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externalLinks/externalLink7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2120 Depr Summary" sheetId="1" r:id="rId1"/>
    <sheet name="Truck Depr - w Salvage " sheetId="4" r:id="rId2"/>
    <sheet name="Depr - Cont, Shop, Serv, Office" sheetId="3" r:id="rId3"/>
    <sheet name="2120 Depr - Orig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2" hidden="1">#REF!</definedName>
    <definedName name="_132Graph_h" localSheetId="1" hidden="1">#REF!</definedName>
    <definedName name="_132Graph_h" hidden="1">#REF!</definedName>
    <definedName name="_ACT1" localSheetId="2">[4]Hidden!#REF!</definedName>
    <definedName name="_ACT1" localSheetId="1">[4]Hidden!#REF!</definedName>
    <definedName name="_ACT1">[4]Hidden!#REF!</definedName>
    <definedName name="_ACT2" localSheetId="2">[4]Hidden!#REF!</definedName>
    <definedName name="_ACT2" localSheetId="1">[4]Hidden!#REF!</definedName>
    <definedName name="_ACT2">[4]Hidden!#REF!</definedName>
    <definedName name="_ACT3" localSheetId="2">[4]Hidden!#REF!</definedName>
    <definedName name="_ACT3" localSheetId="1">[4]Hidden!#REF!</definedName>
    <definedName name="_ACT3">[4]Hidden!#REF!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2" hidden="1">#REF!</definedName>
    <definedName name="_Fill" localSheetId="1" hidden="1">#REF!</definedName>
    <definedName name="_Fill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2" hidden="1">#REF!</definedName>
    <definedName name="_max" localSheetId="1" hidden="1">#REF!</definedName>
    <definedName name="_max" hidden="1">#REF!</definedName>
    <definedName name="_Mon" localSheetId="2" hidden="1">#REF!</definedName>
    <definedName name="_Mon" localSheetId="1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2" hidden="1">#REF!</definedName>
    <definedName name="_Sort" localSheetId="1" hidden="1">#REF!</definedName>
    <definedName name="_Sort" hidden="1">#REF!</definedName>
    <definedName name="_Sort1" hidden="1">'[2]#REF'!$A$10:$Z$281</definedName>
    <definedName name="_sort3" hidden="1">[3]XXXXXX!$G$10:$J$11</definedName>
    <definedName name="ACCT" localSheetId="2">[4]Hidden!#REF!</definedName>
    <definedName name="ACCT" localSheetId="1">[4]Hidden!#REF!</definedName>
    <definedName name="ACCT">[4]Hidden!#REF!</definedName>
    <definedName name="ACCT.ConsolSum">[1]Hidden!$Q$11</definedName>
    <definedName name="ACT_CUR" localSheetId="2">[4]Hidden!#REF!</definedName>
    <definedName name="ACT_CUR" localSheetId="1">[4]Hidden!#REF!</definedName>
    <definedName name="ACT_CUR">[4]Hidden!#REF!</definedName>
    <definedName name="ACT_YTD" localSheetId="2">[4]Hidden!#REF!</definedName>
    <definedName name="ACT_YTD" localSheetId="1">[4]Hidden!#REF!</definedName>
    <definedName name="ACT_YTD">[4]Hidden!#REF!</definedName>
    <definedName name="AmountCount" localSheetId="2">#REF!</definedName>
    <definedName name="AmountCount" localSheetId="1">#REF!</definedName>
    <definedName name="AmountCount">#REF!</definedName>
    <definedName name="AmountCount1" localSheetId="2">#REF!</definedName>
    <definedName name="AmountCount1" localSheetId="1">#REF!</definedName>
    <definedName name="AmountCount1">#REF!</definedName>
    <definedName name="AmountTotal" localSheetId="2">#REF!</definedName>
    <definedName name="AmountTotal" localSheetId="1">#REF!</definedName>
    <definedName name="AmountTotal">#REF!</definedName>
    <definedName name="AmountTotal1" localSheetId="2">#REF!</definedName>
    <definedName name="AmountTotal1" localSheetId="1">#REF!</definedName>
    <definedName name="AmountTotal1">#REF!</definedName>
    <definedName name="BookRev">'[5]Pacific Regulated - Price Out'!$F$50</definedName>
    <definedName name="BookRev_com">'[5]Pacific Regulated - Price Out'!$F$214</definedName>
    <definedName name="BookRev_mfr">'[5]Pacific Regulated - Price Out'!$F$222</definedName>
    <definedName name="BookRev_ro">'[5]Pacific Regulated - Price Out'!$F$282</definedName>
    <definedName name="BookRev_rr">'[5]Pacific Regulated - Price Out'!$F$59</definedName>
    <definedName name="BookRev_yw">'[5]Pacific Regulated - Price Out'!$F$70</definedName>
    <definedName name="BREMAIR_COST_of_SERVICE_STUDY" localSheetId="2">#REF!</definedName>
    <definedName name="BREMAIR_COST_of_SERVICE_STUDY" localSheetId="1">#REF!</definedName>
    <definedName name="BREMAIR_COST_of_SERVICE_STUDY">#REF!</definedName>
    <definedName name="BUD_CUR" localSheetId="2">[4]Hidden!#REF!</definedName>
    <definedName name="BUD_CUR" localSheetId="1">[4]Hidden!#REF!</definedName>
    <definedName name="BUD_CUR">[4]Hidden!#REF!</definedName>
    <definedName name="BUD_YTD" localSheetId="2">[4]Hidden!#REF!</definedName>
    <definedName name="BUD_YTD" localSheetId="1">[4]Hidden!#REF!</definedName>
    <definedName name="BUD_YTD">[4]Hidden!#REF!</definedName>
    <definedName name="CalRecyTons">'[6]Recycl Tons, Commodity Value'!$L$23</definedName>
    <definedName name="CheckTotals" localSheetId="2">#REF!</definedName>
    <definedName name="CheckTotals" localSheetId="1">#REF!</definedName>
    <definedName name="CheckTotals">#REF!</definedName>
    <definedName name="colgroup">[1]Orientation!$G$6</definedName>
    <definedName name="colsegment">[1]Orientation!$F$6</definedName>
    <definedName name="CRCTable" localSheetId="2">#REF!</definedName>
    <definedName name="CRCTable" localSheetId="1">#REF!</definedName>
    <definedName name="CRCTable">#REF!</definedName>
    <definedName name="CRCTableOLD" localSheetId="2">#REF!</definedName>
    <definedName name="CRCTableOLD" localSheetId="1">#REF!</definedName>
    <definedName name="CRCTableOLD">#REF!</definedName>
    <definedName name="CriteriaType">[7]ControlPanel!$Z$2:$Z$5</definedName>
    <definedName name="CurrentMonth">'[8]38000 Other Rev'!$H$8</definedName>
    <definedName name="Cutomers" localSheetId="2">#REF!</definedName>
    <definedName name="Cutomers" localSheetId="1">#REF!</definedName>
    <definedName name="Cutomers">#REF!</definedName>
    <definedName name="_xlnm.Database" localSheetId="2">#REF!</definedName>
    <definedName name="_xlnm.Database" localSheetId="1">#REF!</definedName>
    <definedName name="_xlnm.Database">#REF!</definedName>
    <definedName name="Database1" localSheetId="2">#REF!</definedName>
    <definedName name="Database1" localSheetId="1">#REF!</definedName>
    <definedName name="Database1">#REF!</definedName>
    <definedName name="DateFrom">'[8]38000 Other Rev'!$G$12</definedName>
    <definedName name="DateTo">'[8]38000 Other Rev'!$G$13</definedName>
    <definedName name="DEPT" localSheetId="2">[4]Hidden!#REF!</definedName>
    <definedName name="DEPT" localSheetId="1">[4]Hidden!#REF!</definedName>
    <definedName name="DEPT">[4]Hidden!#REF!</definedName>
    <definedName name="Dist">[9]Data!$E$3</definedName>
    <definedName name="District" localSheetId="2">'[10]Vashon BS'!#REF!</definedName>
    <definedName name="District" localSheetId="1">'[10]Vashon BS'!#REF!</definedName>
    <definedName name="District">'[10]Vashon BS'!#REF!</definedName>
    <definedName name="DistrictNum" localSheetId="2">#REF!</definedName>
    <definedName name="DistrictNum" localSheetId="1">#REF!</definedName>
    <definedName name="DistrictNum">#REF!</definedName>
    <definedName name="dOG" localSheetId="2">#REF!</definedName>
    <definedName name="dOG" localSheetId="1">#REF!</definedName>
    <definedName name="dOG">#REF!</definedName>
    <definedName name="drlFilter">[1]Settings!$D$27</definedName>
    <definedName name="End" localSheetId="2">#REF!</definedName>
    <definedName name="End" localSheetId="1">#REF!</definedName>
    <definedName name="End">#REF!</definedName>
    <definedName name="EntrieShownLimit">'[8]38000 Other Rev'!$D$6</definedName>
    <definedName name="ExcludeIC" localSheetId="2">'[8]2025 BS'!#REF!</definedName>
    <definedName name="ExcludeIC" localSheetId="1">'[8]2025 BS'!#REF!</definedName>
    <definedName name="ExcludeIC">'[8]2025 BS'!#REF!</definedName>
    <definedName name="FBTable" localSheetId="2">#REF!</definedName>
    <definedName name="FBTable" localSheetId="1">#REF!</definedName>
    <definedName name="FBTable">#REF!</definedName>
    <definedName name="FBTableOld" localSheetId="2">#REF!</definedName>
    <definedName name="FBTableOld" localSheetId="1">#REF!</definedName>
    <definedName name="FBTableOld">#REF!</definedName>
    <definedName name="filter">[1]Settings!$B$14:$H$25</definedName>
    <definedName name="FundsApprPend" localSheetId="2">[9]Data!#REF!</definedName>
    <definedName name="FundsApprPend" localSheetId="1">[9]Data!#REF!</definedName>
    <definedName name="FundsApprPend">[9]Data!#REF!</definedName>
    <definedName name="FundsBudUnbud" localSheetId="2">[9]Data!#REF!</definedName>
    <definedName name="FundsBudUnbud" localSheetId="1">[9]Data!#REF!</definedName>
    <definedName name="FundsBudUnbud">[9]Data!#REF!</definedName>
    <definedName name="GLMappingStart" localSheetId="2">#REF!</definedName>
    <definedName name="GLMappingStart" localSheetId="1">#REF!</definedName>
    <definedName name="GLMappingStart">#REF!</definedName>
    <definedName name="GLMappingStart1" localSheetId="2">#REF!</definedName>
    <definedName name="GLMappingStart1" localSheetId="1">#REF!</definedName>
    <definedName name="GLMappingStart1">#REF!</definedName>
    <definedName name="Import_Range" localSheetId="2">[9]Data!#REF!</definedName>
    <definedName name="Import_Range" localSheetId="1">[9]Data!#REF!</definedName>
    <definedName name="Import_Range">[9]Data!#REF!</definedName>
    <definedName name="IncomeStmnt" localSheetId="2">#REF!</definedName>
    <definedName name="IncomeStmnt" localSheetId="1">#REF!</definedName>
    <definedName name="IncomeStmnt">#REF!</definedName>
    <definedName name="INPUT" localSheetId="2">#REF!</definedName>
    <definedName name="INPUT" localSheetId="1">#REF!</definedName>
    <definedName name="INPUT">#REF!</definedName>
    <definedName name="Insurance" localSheetId="2">#REF!</definedName>
    <definedName name="Insurance" localSheetId="1">#REF!</definedName>
    <definedName name="Insurance">#REF!</definedName>
    <definedName name="Invoice_Start" localSheetId="2">[9]Invoice_Drill!#REF!</definedName>
    <definedName name="Invoice_Start" localSheetId="1">[9]Invoice_Drill!#REF!</definedName>
    <definedName name="Invoice_Start">[9]Invoice_Drill!#REF!</definedName>
    <definedName name="JEDetail" localSheetId="2">#REF!</definedName>
    <definedName name="JEDetail" localSheetId="1">#REF!</definedName>
    <definedName name="JEDetail">#REF!</definedName>
    <definedName name="JEDetail1" localSheetId="2">#REF!</definedName>
    <definedName name="JEDetail1" localSheetId="1">#REF!</definedName>
    <definedName name="JEDetail1">#REF!</definedName>
    <definedName name="JEType" localSheetId="2">#REF!</definedName>
    <definedName name="JEType" localSheetId="1">#REF!</definedName>
    <definedName name="JEType">#REF!</definedName>
    <definedName name="JEType1" localSheetId="2">#REF!</definedName>
    <definedName name="JEType1" localSheetId="1">#REF!</definedName>
    <definedName name="JEType1">#REF!</definedName>
    <definedName name="lblBillAreaStatus" localSheetId="2">#REF!</definedName>
    <definedName name="lblBillAreaStatus" localSheetId="1">#REF!</definedName>
    <definedName name="lblBillAreaStatus">#REF!</definedName>
    <definedName name="lblBillCycleStatus" localSheetId="2">#REF!</definedName>
    <definedName name="lblBillCycleStatus" localSheetId="1">#REF!</definedName>
    <definedName name="lblBillCycleStatus">#REF!</definedName>
    <definedName name="lblCategoryStatus" localSheetId="2">#REF!</definedName>
    <definedName name="lblCategoryStatus" localSheetId="1">#REF!</definedName>
    <definedName name="lblCategoryStatus">#REF!</definedName>
    <definedName name="lblCompanyStatus" localSheetId="2">#REF!</definedName>
    <definedName name="lblCompanyStatus" localSheetId="1">#REF!</definedName>
    <definedName name="lblCompanyStatus">#REF!</definedName>
    <definedName name="lblDatabaseStatus" localSheetId="2">#REF!</definedName>
    <definedName name="lblDatabaseStatus" localSheetId="1">#REF!</definedName>
    <definedName name="lblDatabaseStatus">#REF!</definedName>
    <definedName name="lblPullStatus" localSheetId="2">#REF!</definedName>
    <definedName name="lblPullStatus" localSheetId="1">#REF!</definedName>
    <definedName name="lblPullStatus">#REF!</definedName>
    <definedName name="lllllllllllllllllllll" localSheetId="2">#REF!</definedName>
    <definedName name="lllllllllllllllllllll" localSheetId="1">#REF!</definedName>
    <definedName name="lllllllllllllllllllll">#REF!</definedName>
    <definedName name="MainDataEnd" localSheetId="2">#REF!</definedName>
    <definedName name="MainDataEnd" localSheetId="1">#REF!</definedName>
    <definedName name="MainDataEnd">#REF!</definedName>
    <definedName name="MainDataStart" localSheetId="2">#REF!</definedName>
    <definedName name="MainDataStart" localSheetId="1">#REF!</definedName>
    <definedName name="MainDataStart">#REF!</definedName>
    <definedName name="MapKeyStart" localSheetId="2">#REF!</definedName>
    <definedName name="MapKeyStart" localSheetId="1">#REF!</definedName>
    <definedName name="MapKeyStart">#REF!</definedName>
    <definedName name="master_def" localSheetId="2">#REF!</definedName>
    <definedName name="master_def" localSheetId="1">#REF!</definedName>
    <definedName name="master_def">#REF!</definedName>
    <definedName name="MemoAttachment" localSheetId="2">#REF!</definedName>
    <definedName name="MemoAttachment" localSheetId="1">#REF!</definedName>
    <definedName name="MemoAttachment">#REF!</definedName>
    <definedName name="MetaSet">[1]Orientation!$C$22</definedName>
    <definedName name="MonthList">'[9]Lookup Tables'!$A$1:$A$13</definedName>
    <definedName name="NewOnlyOrg">#N/A</definedName>
    <definedName name="NOTES" localSheetId="2">#REF!</definedName>
    <definedName name="NOTES" localSheetId="1">#REF!</definedName>
    <definedName name="NOTES">#REF!</definedName>
    <definedName name="NR" localSheetId="2">#REF!</definedName>
    <definedName name="NR" localSheetId="1">#REF!</definedName>
    <definedName name="NR">#REF!</definedName>
    <definedName name="OfficerSalary">#N/A</definedName>
    <definedName name="OffsetAcctBil">[11]JEexport!$L$10</definedName>
    <definedName name="OffsetAcctPmt">[11]JEexport!$L$9</definedName>
    <definedName name="Org11_13">#N/A</definedName>
    <definedName name="Org7_10">#N/A</definedName>
    <definedName name="p" localSheetId="2">#REF!</definedName>
    <definedName name="p" localSheetId="1">#REF!</definedName>
    <definedName name="p">#REF!</definedName>
    <definedName name="PAGE_1" localSheetId="2">#REF!</definedName>
    <definedName name="PAGE_1" localSheetId="1">#REF!</definedName>
    <definedName name="PAGE_1">#REF!</definedName>
    <definedName name="pBatchID" localSheetId="2">#REF!</definedName>
    <definedName name="pBatchID" localSheetId="1">#REF!</definedName>
    <definedName name="pBatchID">#REF!</definedName>
    <definedName name="pBillArea" localSheetId="2">#REF!</definedName>
    <definedName name="pBillArea" localSheetId="1">#REF!</definedName>
    <definedName name="pBillArea">#REF!</definedName>
    <definedName name="pBillCycle" localSheetId="2">#REF!</definedName>
    <definedName name="pBillCycle" localSheetId="1">#REF!</definedName>
    <definedName name="pBillCycle">#REF!</definedName>
    <definedName name="pCategory" localSheetId="2">#REF!</definedName>
    <definedName name="pCategory" localSheetId="1">#REF!</definedName>
    <definedName name="pCategory">#REF!</definedName>
    <definedName name="pCompany" localSheetId="2">#REF!</definedName>
    <definedName name="pCompany" localSheetId="1">#REF!</definedName>
    <definedName name="pCompany">#REF!</definedName>
    <definedName name="pCustomerNumber" localSheetId="2">#REF!</definedName>
    <definedName name="pCustomerNumber" localSheetId="1">#REF!</definedName>
    <definedName name="pCustomerNumber">#REF!</definedName>
    <definedName name="pDatabase" localSheetId="2">#REF!</definedName>
    <definedName name="pDatabase" localSheetId="1">#REF!</definedName>
    <definedName name="pDatabase">#REF!</definedName>
    <definedName name="pEndPostDate" localSheetId="2">#REF!</definedName>
    <definedName name="pEndPostDate" localSheetId="1">#REF!</definedName>
    <definedName name="pEndPostDate">#REF!</definedName>
    <definedName name="Period" localSheetId="2">#REF!</definedName>
    <definedName name="Period" localSheetId="1">#REF!</definedName>
    <definedName name="Period">#REF!</definedName>
    <definedName name="pMonth" localSheetId="2">#REF!</definedName>
    <definedName name="pMonth" localSheetId="1">#REF!</definedName>
    <definedName name="pMonth">#REF!</definedName>
    <definedName name="pOnlyShowLastTranx" localSheetId="2">#REF!</definedName>
    <definedName name="pOnlyShowLastTranx" localSheetId="1">#REF!</definedName>
    <definedName name="pOnlyShowLastTranx">#REF!</definedName>
    <definedName name="primtbl">[1]Orientation!$C$23</definedName>
    <definedName name="_xlnm.Print_Area" localSheetId="3">'2120 Depr - Orig'!$B$1:$AH$323</definedName>
    <definedName name="_xlnm.Print_Area" localSheetId="0">'2120 Depr Summary'!$A$1:$U$49</definedName>
    <definedName name="_xlnm.Print_Area" localSheetId="2">'Depr - Cont, Shop, Serv, Office'!$B$1:$AH$284</definedName>
    <definedName name="_xlnm.Print_Area" localSheetId="1">'Truck Depr - w Salvage '!$B$1:$U$103</definedName>
    <definedName name="_xlnm.Print_Area">#REF!</definedName>
    <definedName name="Print_Area_MI" localSheetId="3">'2120 Depr - Orig'!$C$1:$AC$58</definedName>
    <definedName name="Print_Area_MI" localSheetId="2">'Depr - Cont, Shop, Serv, Office'!$C$1:$AC$11</definedName>
    <definedName name="Print_Area_MI" localSheetId="1">'Truck Depr - w Salvage '!$C$1:$U$72</definedName>
    <definedName name="Print_Area_MI">#REF!</definedName>
    <definedName name="Print_Area1" localSheetId="2">#REF!</definedName>
    <definedName name="Print_Area1" localSheetId="1">#REF!</definedName>
    <definedName name="Print_Area1">#REF!</definedName>
    <definedName name="Print_Area2" localSheetId="2">#REF!</definedName>
    <definedName name="Print_Area2" localSheetId="1">#REF!</definedName>
    <definedName name="Print_Area2">#REF!</definedName>
    <definedName name="Print_Area3" localSheetId="2">#REF!</definedName>
    <definedName name="Print_Area3" localSheetId="1">#REF!</definedName>
    <definedName name="Print_Area3">#REF!</definedName>
    <definedName name="Print_Area5" localSheetId="2">#REF!</definedName>
    <definedName name="Print_Area5" localSheetId="1">#REF!</definedName>
    <definedName name="Print_Area5">#REF!</definedName>
    <definedName name="_xlnm.Print_Titles" localSheetId="3">'2120 Depr - Orig'!$1:$11</definedName>
    <definedName name="_xlnm.Print_Titles" localSheetId="0">'2120 Depr Summary'!$A:$A</definedName>
    <definedName name="_xlnm.Print_Titles" localSheetId="2">'Depr - Cont, Shop, Serv, Office'!$1:$11</definedName>
    <definedName name="_xlnm.Print_Titles" localSheetId="1">'Truck Depr - w Salvage '!$1:$11</definedName>
    <definedName name="Print1" localSheetId="2">#REF!</definedName>
    <definedName name="Print1" localSheetId="1">#REF!</definedName>
    <definedName name="Print1">#REF!</definedName>
    <definedName name="Print2" localSheetId="2">#REF!</definedName>
    <definedName name="Print2" localSheetId="1">#REF!</definedName>
    <definedName name="Print2">#REF!</definedName>
    <definedName name="Print5" localSheetId="2">#REF!</definedName>
    <definedName name="Print5" localSheetId="1">#REF!</definedName>
    <definedName name="Print5">#REF!</definedName>
    <definedName name="ProRev">'[5]Pacific Regulated - Price Out'!$M$49</definedName>
    <definedName name="ProRev_com">'[5]Pacific Regulated - Price Out'!$M$213</definedName>
    <definedName name="ProRev_mfr">'[5]Pacific Regulated - Price Out'!$M$221</definedName>
    <definedName name="ProRev_ro">'[5]Pacific Regulated - Price Out'!$M$281</definedName>
    <definedName name="ProRev_rr">'[5]Pacific Regulated - Price Out'!$M$58</definedName>
    <definedName name="ProRev_yw">'[5]Pacific Regulated - Price Out'!$M$69</definedName>
    <definedName name="pServer" localSheetId="2">#REF!</definedName>
    <definedName name="pServer" localSheetId="1">#REF!</definedName>
    <definedName name="pServer">#REF!</definedName>
    <definedName name="pServiceCode" localSheetId="2">#REF!</definedName>
    <definedName name="pServiceCode" localSheetId="1">#REF!</definedName>
    <definedName name="pServiceCode">#REF!</definedName>
    <definedName name="pShowAllUnposted" localSheetId="2">#REF!</definedName>
    <definedName name="pShowAllUnposted" localSheetId="1">#REF!</definedName>
    <definedName name="pShowAllUnposted">#REF!</definedName>
    <definedName name="pShowCustomerDetail" localSheetId="2">#REF!</definedName>
    <definedName name="pShowCustomerDetail" localSheetId="1">#REF!</definedName>
    <definedName name="pShowCustomerDetail">#REF!</definedName>
    <definedName name="pSortOption" localSheetId="2">#REF!</definedName>
    <definedName name="pSortOption" localSheetId="1">#REF!</definedName>
    <definedName name="pSortOption">#REF!</definedName>
    <definedName name="pStartPostDate" localSheetId="2">#REF!</definedName>
    <definedName name="pStartPostDate" localSheetId="1">#REF!</definedName>
    <definedName name="pStartPostDate">#REF!</definedName>
    <definedName name="pTransType" localSheetId="2">#REF!</definedName>
    <definedName name="pTransType" localSheetId="1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[12]ControlPanel!$S$2:$S$16</definedName>
    <definedName name="ReportVersion">[1]Settings!$D$5</definedName>
    <definedName name="RetainedEarnings" localSheetId="2">#REF!</definedName>
    <definedName name="RetainedEarnings" localSheetId="1">#REF!</definedName>
    <definedName name="RetainedEarnings">#REF!</definedName>
    <definedName name="RevCust" localSheetId="2">[13]RevenuesCust!#REF!</definedName>
    <definedName name="RevCust" localSheetId="1">[13]RevenuesCust!#REF!</definedName>
    <definedName name="RevCust">[13]RevenuesCust!#REF!</definedName>
    <definedName name="RevCustomer" localSheetId="2">#REF!</definedName>
    <definedName name="RevCustomer" localSheetId="1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2">#REF!</definedName>
    <definedName name="sortcol" localSheetId="1">#REF!</definedName>
    <definedName name="sortcol">#REF!</definedName>
    <definedName name="sSRCDate" localSheetId="2">'[14]Feb''12 FAR Data'!#REF!</definedName>
    <definedName name="sSRCDate" localSheetId="1">'[14]Feb''12 FAR Data'!#REF!</definedName>
    <definedName name="sSRCDate">'[14]Feb''12 FAR Data'!#REF!</definedName>
    <definedName name="Supplemental_filter">[1]Settings!$C$31</definedName>
    <definedName name="SWDisposal">#N/A</definedName>
    <definedName name="System">[15]BS_Close!$V$8</definedName>
    <definedName name="TemplateEnd" localSheetId="2">#REF!</definedName>
    <definedName name="TemplateEnd" localSheetId="1">#REF!</definedName>
    <definedName name="TemplateEnd">#REF!</definedName>
    <definedName name="TemplateStart" localSheetId="2">#REF!</definedName>
    <definedName name="TemplateStart" localSheetId="1">#REF!</definedName>
    <definedName name="TemplateStart">#REF!</definedName>
    <definedName name="TheTable" localSheetId="2">#REF!</definedName>
    <definedName name="TheTable" localSheetId="1">#REF!</definedName>
    <definedName name="TheTable">#REF!</definedName>
    <definedName name="TheTableOLD" localSheetId="2">#REF!</definedName>
    <definedName name="TheTableOLD" localSheetId="1">#REF!</definedName>
    <definedName name="TheTableOLD">#REF!</definedName>
    <definedName name="timeseries">[1]Orientation!$B$6:$C$13</definedName>
    <definedName name="Total_Comm">'[6]Tariff Rate Sheet'!$L$214</definedName>
    <definedName name="Total_DB">'[6]Tariff Rate Sheet'!$L$278</definedName>
    <definedName name="Total_Resi">'[6]Tariff Rate Sheet'!$L$107</definedName>
    <definedName name="Transactions" localSheetId="2">#REF!</definedName>
    <definedName name="Transactions" localSheetId="1">#REF!</definedName>
    <definedName name="Transactions">#REF!</definedName>
    <definedName name="Version" localSheetId="2">[9]Data!#REF!</definedName>
    <definedName name="Version" localSheetId="1">[9]Data!#REF!</definedName>
    <definedName name="Version">[9]Data!#REF!</definedName>
    <definedName name="WTable" localSheetId="2">#REF!</definedName>
    <definedName name="WTable" localSheetId="1">#REF!</definedName>
    <definedName name="WTable">#REF!</definedName>
    <definedName name="WTableOld" localSheetId="2">#REF!</definedName>
    <definedName name="WTableOld" localSheetId="1">#REF!</definedName>
    <definedName name="WTableOld">#REF!</definedName>
    <definedName name="ww" localSheetId="2">#REF!</definedName>
    <definedName name="ww" localSheetId="1">#REF!</definedName>
    <definedName name="ww">#REF!</definedName>
    <definedName name="xperiod">[1]Orientation!$G$15</definedName>
    <definedName name="xtabin" localSheetId="2">[4]Hidden!#REF!</definedName>
    <definedName name="xtabin" localSheetId="1">[4]Hidden!#REF!</definedName>
    <definedName name="xtabin">[4]Hidden!#REF!</definedName>
    <definedName name="xx" localSheetId="2">#REF!</definedName>
    <definedName name="xx" localSheetId="1">#REF!</definedName>
    <definedName name="xx">#REF!</definedName>
    <definedName name="xxx" localSheetId="2">#REF!</definedName>
    <definedName name="xxx" localSheetId="1">#REF!</definedName>
    <definedName name="xxx">#REF!</definedName>
    <definedName name="xxxx" localSheetId="2">#REF!</definedName>
    <definedName name="xxxx" localSheetId="1">#REF!</definedName>
    <definedName name="xxxx">#REF!</definedName>
    <definedName name="YearMonth" localSheetId="2">'[10]Vashon BS'!#REF!</definedName>
    <definedName name="YearMonth" localSheetId="1">'[10]Vashon BS'!#REF!</definedName>
    <definedName name="YearMonth">'[10]Vashon BS'!#REF!</definedName>
    <definedName name="YWMedWasteDisp">#N/A</definedName>
    <definedName name="yy" localSheetId="2">#REF!</definedName>
    <definedName name="yy" localSheetId="1">#REF!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N53" i="4" l="1"/>
  <c r="O53" i="4" s="1"/>
  <c r="P53" i="4" s="1"/>
  <c r="K53" i="4"/>
  <c r="Q53" i="4" l="1"/>
  <c r="S53" i="4" s="1"/>
  <c r="O8" i="1"/>
  <c r="O10" i="1"/>
  <c r="O12" i="1"/>
  <c r="O14" i="1"/>
  <c r="T53" i="4" l="1"/>
  <c r="U53" i="4" s="1"/>
  <c r="K281" i="3" l="1"/>
  <c r="AD281" i="3"/>
  <c r="AE281" i="3"/>
  <c r="AF281" i="3"/>
  <c r="AG281" i="3"/>
  <c r="AH281" i="3"/>
  <c r="J282" i="3"/>
  <c r="K282" i="3" s="1"/>
  <c r="AF282" i="3" s="1"/>
  <c r="AD282" i="3"/>
  <c r="AE282" i="3"/>
  <c r="AG282" i="3"/>
  <c r="AH282" i="3"/>
  <c r="N36" i="4"/>
  <c r="O36" i="4" s="1"/>
  <c r="P36" i="4" s="1"/>
  <c r="K36" i="4"/>
  <c r="N35" i="4"/>
  <c r="O35" i="4" s="1"/>
  <c r="P35" i="4" s="1"/>
  <c r="K35" i="4"/>
  <c r="R281" i="3" l="1"/>
  <c r="V281" i="3" s="1"/>
  <c r="X282" i="3"/>
  <c r="Y282" i="3" s="1"/>
  <c r="AA282" i="3" s="1"/>
  <c r="T281" i="3"/>
  <c r="L52" i="4"/>
  <c r="Z216" i="3" l="1"/>
  <c r="W216" i="3"/>
  <c r="U216" i="3"/>
  <c r="S216" i="3"/>
  <c r="AH223" i="3" l="1"/>
  <c r="AG223" i="3"/>
  <c r="AE223" i="3"/>
  <c r="AD223" i="3"/>
  <c r="J223" i="3"/>
  <c r="K223" i="3" s="1"/>
  <c r="AF223" i="3" s="1"/>
  <c r="AH221" i="3"/>
  <c r="AG221" i="3"/>
  <c r="AE221" i="3"/>
  <c r="AD221" i="3"/>
  <c r="J221" i="3"/>
  <c r="K221" i="3" s="1"/>
  <c r="AF221" i="3" s="1"/>
  <c r="AD213" i="3"/>
  <c r="AE213" i="3"/>
  <c r="AG213" i="3"/>
  <c r="AH213" i="3"/>
  <c r="J213" i="3"/>
  <c r="K213" i="3" s="1"/>
  <c r="AF213" i="3" s="1"/>
  <c r="AH214" i="3"/>
  <c r="AG214" i="3"/>
  <c r="AE214" i="3"/>
  <c r="AD214" i="3"/>
  <c r="P214" i="3"/>
  <c r="Q214" i="3" s="1"/>
  <c r="K214" i="3"/>
  <c r="AF214" i="3" s="1"/>
  <c r="AH153" i="3"/>
  <c r="AG153" i="3"/>
  <c r="AE153" i="3"/>
  <c r="AD153" i="3"/>
  <c r="P153" i="3"/>
  <c r="Q153" i="3" s="1"/>
  <c r="K153" i="3"/>
  <c r="AF153" i="3" s="1"/>
  <c r="AD154" i="3"/>
  <c r="AE154" i="3"/>
  <c r="AG154" i="3"/>
  <c r="AH154" i="3"/>
  <c r="P154" i="3"/>
  <c r="Q154" i="3" s="1"/>
  <c r="K154" i="3"/>
  <c r="AF154" i="3" s="1"/>
  <c r="AD152" i="3"/>
  <c r="AE152" i="3"/>
  <c r="AG152" i="3"/>
  <c r="AH152" i="3"/>
  <c r="P152" i="3"/>
  <c r="Q152" i="3" s="1"/>
  <c r="K152" i="3"/>
  <c r="AF152" i="3" s="1"/>
  <c r="R214" i="3" l="1"/>
  <c r="T214" i="3" s="1"/>
  <c r="X214" i="3"/>
  <c r="Y214" i="3" s="1"/>
  <c r="AA214" i="3" s="1"/>
  <c r="X223" i="3"/>
  <c r="Y223" i="3" s="1"/>
  <c r="AA223" i="3" s="1"/>
  <c r="X221" i="3"/>
  <c r="Y221" i="3" s="1"/>
  <c r="AA221" i="3" s="1"/>
  <c r="X213" i="3"/>
  <c r="Y213" i="3" s="1"/>
  <c r="AA213" i="3" s="1"/>
  <c r="R153" i="3"/>
  <c r="V153" i="3" s="1"/>
  <c r="X153" i="3"/>
  <c r="Y153" i="3" s="1"/>
  <c r="AA153" i="3" s="1"/>
  <c r="R154" i="3"/>
  <c r="T154" i="3" s="1"/>
  <c r="X154" i="3"/>
  <c r="Y154" i="3" s="1"/>
  <c r="AA154" i="3" s="1"/>
  <c r="R152" i="3"/>
  <c r="T152" i="3" s="1"/>
  <c r="X152" i="3"/>
  <c r="Y152" i="3" s="1"/>
  <c r="AA152" i="3" s="1"/>
  <c r="V214" i="3" l="1"/>
  <c r="AB214" i="3" s="1"/>
  <c r="AC214" i="3" s="1"/>
  <c r="V154" i="3"/>
  <c r="V152" i="3"/>
  <c r="AB152" i="3" s="1"/>
  <c r="AC152" i="3" s="1"/>
  <c r="T153" i="3"/>
  <c r="AB154" i="3"/>
  <c r="AC154" i="3" s="1"/>
  <c r="AB153" i="3"/>
  <c r="AC153" i="3" s="1"/>
  <c r="N99" i="4"/>
  <c r="O99" i="4" s="1"/>
  <c r="P99" i="4" s="1"/>
  <c r="N100" i="4"/>
  <c r="O100" i="4" s="1"/>
  <c r="P100" i="4" s="1"/>
  <c r="N101" i="4"/>
  <c r="O101" i="4" s="1"/>
  <c r="P101" i="4" s="1"/>
  <c r="N50" i="4"/>
  <c r="O50" i="4" s="1"/>
  <c r="P50" i="4" s="1"/>
  <c r="N51" i="4"/>
  <c r="O51" i="4" s="1"/>
  <c r="P51" i="4" s="1"/>
  <c r="N52" i="4"/>
  <c r="O52" i="4" s="1"/>
  <c r="P52" i="4" s="1"/>
  <c r="N48" i="4"/>
  <c r="O48" i="4" s="1"/>
  <c r="P48" i="4" s="1"/>
  <c r="AH172" i="3" l="1"/>
  <c r="AG172" i="3"/>
  <c r="AE172" i="3"/>
  <c r="AD172" i="3"/>
  <c r="P172" i="3"/>
  <c r="Q172" i="3" s="1"/>
  <c r="K172" i="3"/>
  <c r="AF172" i="3" s="1"/>
  <c r="K48" i="4"/>
  <c r="Q48" i="4" s="1"/>
  <c r="K52" i="4"/>
  <c r="K72" i="4"/>
  <c r="L87" i="4"/>
  <c r="N87" i="4" s="1"/>
  <c r="O87" i="4" s="1"/>
  <c r="P87" i="4" s="1"/>
  <c r="K87" i="4"/>
  <c r="Q87" i="4" s="1"/>
  <c r="U87" i="4" s="1"/>
  <c r="K95" i="4"/>
  <c r="Q95" i="4" s="1"/>
  <c r="U95" i="4" s="1"/>
  <c r="U96" i="4" s="1"/>
  <c r="K51" i="4"/>
  <c r="Q51" i="4" s="1"/>
  <c r="K50" i="4"/>
  <c r="L49" i="4"/>
  <c r="N49" i="4" s="1"/>
  <c r="O49" i="4" s="1"/>
  <c r="P49" i="4" s="1"/>
  <c r="K49" i="4"/>
  <c r="K101" i="4"/>
  <c r="K100" i="4"/>
  <c r="K99" i="4"/>
  <c r="Q99" i="4" s="1"/>
  <c r="K97" i="4"/>
  <c r="K46" i="4"/>
  <c r="Q46" i="4" s="1"/>
  <c r="K44" i="4"/>
  <c r="Q44" i="4" s="1"/>
  <c r="K42" i="4"/>
  <c r="N34" i="4"/>
  <c r="O34" i="4" s="1"/>
  <c r="P34" i="4" s="1"/>
  <c r="K34" i="4"/>
  <c r="L33" i="4"/>
  <c r="N33" i="4" s="1"/>
  <c r="O33" i="4" s="1"/>
  <c r="P33" i="4" s="1"/>
  <c r="K33" i="4"/>
  <c r="Q33" i="4" s="1"/>
  <c r="K31" i="4"/>
  <c r="K66" i="4"/>
  <c r="K29" i="4"/>
  <c r="N28" i="4"/>
  <c r="O28" i="4" s="1"/>
  <c r="P28" i="4" s="1"/>
  <c r="K28" i="4"/>
  <c r="Q28" i="4" s="1"/>
  <c r="K26" i="4"/>
  <c r="Q26" i="4" s="1"/>
  <c r="K59" i="4"/>
  <c r="K24" i="4"/>
  <c r="Q24" i="4" s="1"/>
  <c r="K22" i="4"/>
  <c r="Q22" i="4" s="1"/>
  <c r="K20" i="4"/>
  <c r="Q20" i="4" s="1"/>
  <c r="K18" i="4"/>
  <c r="Q18" i="4" s="1"/>
  <c r="N17" i="4"/>
  <c r="O17" i="4" s="1"/>
  <c r="P17" i="4" s="1"/>
  <c r="K17" i="4"/>
  <c r="Q17" i="4" s="1"/>
  <c r="K15" i="4"/>
  <c r="Q15" i="4" s="1"/>
  <c r="K13" i="4"/>
  <c r="Q13" i="4" s="1"/>
  <c r="K88" i="4"/>
  <c r="Q88" i="4" s="1"/>
  <c r="K93" i="4"/>
  <c r="Q93" i="4" s="1"/>
  <c r="N12" i="4"/>
  <c r="O12" i="4" s="1"/>
  <c r="P12" i="4" s="1"/>
  <c r="K12" i="4"/>
  <c r="Q12" i="4" s="1"/>
  <c r="K91" i="4"/>
  <c r="Q91" i="4" s="1"/>
  <c r="N90" i="4"/>
  <c r="K90" i="4"/>
  <c r="Q90" i="4" s="1"/>
  <c r="S11" i="4"/>
  <c r="Q72" i="4" l="1"/>
  <c r="U72" i="4" s="1"/>
  <c r="U73" i="4" s="1"/>
  <c r="Q34" i="4"/>
  <c r="Q97" i="4"/>
  <c r="U97" i="4" s="1"/>
  <c r="U98" i="4" s="1"/>
  <c r="Q49" i="4"/>
  <c r="U49" i="4" s="1"/>
  <c r="Q42" i="4"/>
  <c r="U42" i="4" s="1"/>
  <c r="U43" i="4" s="1"/>
  <c r="Q52" i="4"/>
  <c r="S52" i="4" s="1"/>
  <c r="Q100" i="4"/>
  <c r="S100" i="4" s="1"/>
  <c r="T100" i="4" s="1"/>
  <c r="S50" i="4"/>
  <c r="T50" i="4" s="1"/>
  <c r="U50" i="4" s="1"/>
  <c r="Q50" i="4"/>
  <c r="U101" i="4"/>
  <c r="Q101" i="4"/>
  <c r="S87" i="4"/>
  <c r="T87" i="4" s="1"/>
  <c r="S51" i="4"/>
  <c r="T51" i="4" s="1"/>
  <c r="S99" i="4"/>
  <c r="T99" i="4" s="1"/>
  <c r="U99" i="4"/>
  <c r="U46" i="4"/>
  <c r="U47" i="4" s="1"/>
  <c r="S48" i="4"/>
  <c r="T48" i="4" s="1"/>
  <c r="U48" i="4"/>
  <c r="S101" i="4"/>
  <c r="T101" i="4" s="1"/>
  <c r="U44" i="4"/>
  <c r="U45" i="4" s="1"/>
  <c r="R172" i="3"/>
  <c r="V172" i="3" s="1"/>
  <c r="U13" i="4"/>
  <c r="U14" i="4" s="1"/>
  <c r="U20" i="4"/>
  <c r="U21" i="4" s="1"/>
  <c r="U24" i="4"/>
  <c r="U25" i="4" s="1"/>
  <c r="U26" i="4"/>
  <c r="U27" i="4" s="1"/>
  <c r="U91" i="4"/>
  <c r="U92" i="4" s="1"/>
  <c r="U93" i="4"/>
  <c r="U94" i="4" s="1"/>
  <c r="U88" i="4"/>
  <c r="U89" i="4" s="1"/>
  <c r="U15" i="4"/>
  <c r="U16" i="4" s="1"/>
  <c r="U18" i="4"/>
  <c r="U19" i="4" s="1"/>
  <c r="U22" i="4"/>
  <c r="U23" i="4" s="1"/>
  <c r="U90" i="4"/>
  <c r="S90" i="4"/>
  <c r="T90" i="4" s="1"/>
  <c r="J19" i="4"/>
  <c r="K19" i="4" s="1"/>
  <c r="J96" i="4"/>
  <c r="J73" i="4"/>
  <c r="J98" i="4"/>
  <c r="J47" i="4"/>
  <c r="J45" i="4"/>
  <c r="J43" i="4"/>
  <c r="J32" i="4"/>
  <c r="K32" i="4" s="1"/>
  <c r="J67" i="4"/>
  <c r="K67" i="4" s="1"/>
  <c r="J30" i="4"/>
  <c r="K30" i="4" s="1"/>
  <c r="J27" i="4"/>
  <c r="K27" i="4" s="1"/>
  <c r="J60" i="4"/>
  <c r="J25" i="4"/>
  <c r="K25" i="4" s="1"/>
  <c r="J23" i="4"/>
  <c r="K23" i="4" s="1"/>
  <c r="J21" i="4"/>
  <c r="K21" i="4" s="1"/>
  <c r="J16" i="4"/>
  <c r="K16" i="4" s="1"/>
  <c r="J14" i="4"/>
  <c r="J89" i="4"/>
  <c r="K89" i="4" s="1"/>
  <c r="J94" i="4"/>
  <c r="K94" i="4" s="1"/>
  <c r="J92" i="4"/>
  <c r="X172" i="3"/>
  <c r="Y172" i="3" s="1"/>
  <c r="AA172" i="3" s="1"/>
  <c r="O90" i="4"/>
  <c r="P90" i="4" s="1"/>
  <c r="AH269" i="3"/>
  <c r="AG269" i="3"/>
  <c r="AE269" i="3"/>
  <c r="AD269" i="3"/>
  <c r="P269" i="3"/>
  <c r="Q269" i="3" s="1"/>
  <c r="K269" i="3"/>
  <c r="AF269" i="3" s="1"/>
  <c r="AH268" i="3"/>
  <c r="AG268" i="3"/>
  <c r="AE268" i="3"/>
  <c r="AD268" i="3"/>
  <c r="P268" i="3"/>
  <c r="Q268" i="3" s="1"/>
  <c r="K268" i="3"/>
  <c r="AF268" i="3" s="1"/>
  <c r="AH267" i="3"/>
  <c r="AG267" i="3"/>
  <c r="AE267" i="3"/>
  <c r="AD267" i="3"/>
  <c r="P267" i="3"/>
  <c r="Q267" i="3" s="1"/>
  <c r="K267" i="3"/>
  <c r="AF267" i="3" s="1"/>
  <c r="AH266" i="3"/>
  <c r="AG266" i="3"/>
  <c r="AE266" i="3"/>
  <c r="AD266" i="3"/>
  <c r="P266" i="3"/>
  <c r="Q266" i="3" s="1"/>
  <c r="K266" i="3"/>
  <c r="AF266" i="3" s="1"/>
  <c r="AH265" i="3"/>
  <c r="AG265" i="3"/>
  <c r="AE265" i="3"/>
  <c r="AD265" i="3"/>
  <c r="P265" i="3"/>
  <c r="Q265" i="3" s="1"/>
  <c r="K265" i="3"/>
  <c r="AF265" i="3" s="1"/>
  <c r="AH264" i="3"/>
  <c r="AG264" i="3"/>
  <c r="AE264" i="3"/>
  <c r="AD264" i="3"/>
  <c r="P264" i="3"/>
  <c r="Q264" i="3" s="1"/>
  <c r="K264" i="3"/>
  <c r="AF264" i="3" s="1"/>
  <c r="AH263" i="3"/>
  <c r="AG263" i="3"/>
  <c r="AE263" i="3"/>
  <c r="AD263" i="3"/>
  <c r="P263" i="3"/>
  <c r="Q263" i="3" s="1"/>
  <c r="K263" i="3"/>
  <c r="AF263" i="3" s="1"/>
  <c r="AH262" i="3"/>
  <c r="AG262" i="3"/>
  <c r="AE262" i="3"/>
  <c r="AD262" i="3"/>
  <c r="N262" i="3"/>
  <c r="P262" i="3" s="1"/>
  <c r="Q262" i="3" s="1"/>
  <c r="K262" i="3"/>
  <c r="AF262" i="3" s="1"/>
  <c r="AH261" i="3"/>
  <c r="AG261" i="3"/>
  <c r="AE261" i="3"/>
  <c r="AD261" i="3"/>
  <c r="N261" i="3"/>
  <c r="K261" i="3"/>
  <c r="AF261" i="3" s="1"/>
  <c r="AH260" i="3"/>
  <c r="AG260" i="3"/>
  <c r="AE260" i="3"/>
  <c r="AD260" i="3"/>
  <c r="P260" i="3"/>
  <c r="Q260" i="3" s="1"/>
  <c r="K260" i="3"/>
  <c r="AF260" i="3" s="1"/>
  <c r="AH259" i="3"/>
  <c r="AG259" i="3"/>
  <c r="AE259" i="3"/>
  <c r="AD259" i="3"/>
  <c r="P259" i="3"/>
  <c r="Q259" i="3" s="1"/>
  <c r="K259" i="3"/>
  <c r="AF259" i="3" s="1"/>
  <c r="AH258" i="3"/>
  <c r="AG258" i="3"/>
  <c r="AE258" i="3"/>
  <c r="AD258" i="3"/>
  <c r="P258" i="3"/>
  <c r="Q258" i="3" s="1"/>
  <c r="K258" i="3"/>
  <c r="AF258" i="3" s="1"/>
  <c r="AH253" i="3"/>
  <c r="AG253" i="3"/>
  <c r="AE253" i="3"/>
  <c r="AD253" i="3"/>
  <c r="P253" i="3"/>
  <c r="Q253" i="3" s="1"/>
  <c r="K253" i="3"/>
  <c r="AF253" i="3" s="1"/>
  <c r="AH252" i="3"/>
  <c r="AG252" i="3"/>
  <c r="AE252" i="3"/>
  <c r="AD252" i="3"/>
  <c r="N252" i="3"/>
  <c r="P252" i="3" s="1"/>
  <c r="Q252" i="3" s="1"/>
  <c r="K252" i="3"/>
  <c r="AF252" i="3" s="1"/>
  <c r="AH251" i="3"/>
  <c r="AG251" i="3"/>
  <c r="AE251" i="3"/>
  <c r="AD251" i="3"/>
  <c r="P251" i="3"/>
  <c r="Q251" i="3" s="1"/>
  <c r="K251" i="3"/>
  <c r="AF251" i="3" s="1"/>
  <c r="AH250" i="3"/>
  <c r="AG250" i="3"/>
  <c r="AE250" i="3"/>
  <c r="AD250" i="3"/>
  <c r="P250" i="3"/>
  <c r="Q250" i="3" s="1"/>
  <c r="K250" i="3"/>
  <c r="AF250" i="3" s="1"/>
  <c r="AH249" i="3"/>
  <c r="AG249" i="3"/>
  <c r="AE249" i="3"/>
  <c r="AD249" i="3"/>
  <c r="P249" i="3"/>
  <c r="Q249" i="3" s="1"/>
  <c r="K249" i="3"/>
  <c r="AF249" i="3" s="1"/>
  <c r="AH248" i="3"/>
  <c r="AG248" i="3"/>
  <c r="AE248" i="3"/>
  <c r="AD248" i="3"/>
  <c r="P248" i="3"/>
  <c r="Q248" i="3" s="1"/>
  <c r="K248" i="3"/>
  <c r="AF248" i="3" s="1"/>
  <c r="AH247" i="3"/>
  <c r="AG247" i="3"/>
  <c r="AE247" i="3"/>
  <c r="AD247" i="3"/>
  <c r="P247" i="3"/>
  <c r="Q247" i="3" s="1"/>
  <c r="K247" i="3"/>
  <c r="AF247" i="3" s="1"/>
  <c r="AH246" i="3"/>
  <c r="AG246" i="3"/>
  <c r="AE246" i="3"/>
  <c r="AD246" i="3"/>
  <c r="P246" i="3"/>
  <c r="Q246" i="3" s="1"/>
  <c r="K246" i="3"/>
  <c r="AF246" i="3" s="1"/>
  <c r="AH245" i="3"/>
  <c r="AG245" i="3"/>
  <c r="AE245" i="3"/>
  <c r="AD245" i="3"/>
  <c r="N245" i="3"/>
  <c r="K245" i="3"/>
  <c r="AF245" i="3" s="1"/>
  <c r="AH244" i="3"/>
  <c r="AG244" i="3"/>
  <c r="AE244" i="3"/>
  <c r="AD244" i="3"/>
  <c r="P244" i="3"/>
  <c r="Q244" i="3" s="1"/>
  <c r="K244" i="3"/>
  <c r="AF244" i="3" s="1"/>
  <c r="AH243" i="3"/>
  <c r="AG243" i="3"/>
  <c r="AE243" i="3"/>
  <c r="AD243" i="3"/>
  <c r="P243" i="3"/>
  <c r="Q243" i="3" s="1"/>
  <c r="K243" i="3"/>
  <c r="AF243" i="3" s="1"/>
  <c r="AH238" i="3"/>
  <c r="AG238" i="3"/>
  <c r="AE238" i="3"/>
  <c r="AD238" i="3"/>
  <c r="P238" i="3"/>
  <c r="Q238" i="3" s="1"/>
  <c r="K238" i="3"/>
  <c r="AF238" i="3" s="1"/>
  <c r="AH237" i="3"/>
  <c r="AG237" i="3"/>
  <c r="AE237" i="3"/>
  <c r="AD237" i="3"/>
  <c r="P237" i="3"/>
  <c r="Q237" i="3" s="1"/>
  <c r="K237" i="3"/>
  <c r="AF237" i="3" s="1"/>
  <c r="AH236" i="3"/>
  <c r="AG236" i="3"/>
  <c r="AE236" i="3"/>
  <c r="AD236" i="3"/>
  <c r="N236" i="3"/>
  <c r="K236" i="3"/>
  <c r="AF236" i="3" s="1"/>
  <c r="AH235" i="3"/>
  <c r="AG235" i="3"/>
  <c r="AE235" i="3"/>
  <c r="AD235" i="3"/>
  <c r="P235" i="3"/>
  <c r="Q235" i="3" s="1"/>
  <c r="K235" i="3"/>
  <c r="AF235" i="3" s="1"/>
  <c r="AH234" i="3"/>
  <c r="AG234" i="3"/>
  <c r="AE234" i="3"/>
  <c r="AD234" i="3"/>
  <c r="P234" i="3"/>
  <c r="Q234" i="3" s="1"/>
  <c r="K234" i="3"/>
  <c r="AF234" i="3" s="1"/>
  <c r="AH233" i="3"/>
  <c r="AG233" i="3"/>
  <c r="AE233" i="3"/>
  <c r="AD233" i="3"/>
  <c r="P233" i="3"/>
  <c r="Q233" i="3" s="1"/>
  <c r="K233" i="3"/>
  <c r="AF233" i="3" s="1"/>
  <c r="AH232" i="3"/>
  <c r="AG232" i="3"/>
  <c r="AE232" i="3"/>
  <c r="AD232" i="3"/>
  <c r="P232" i="3"/>
  <c r="Q232" i="3" s="1"/>
  <c r="K232" i="3"/>
  <c r="AF232" i="3" s="1"/>
  <c r="AH280" i="3"/>
  <c r="AG280" i="3"/>
  <c r="AE280" i="3"/>
  <c r="AD280" i="3"/>
  <c r="P280" i="3"/>
  <c r="Q280" i="3" s="1"/>
  <c r="K280" i="3"/>
  <c r="AF280" i="3" s="1"/>
  <c r="AH231" i="3"/>
  <c r="AG231" i="3"/>
  <c r="AE231" i="3"/>
  <c r="AD231" i="3"/>
  <c r="P231" i="3"/>
  <c r="Q231" i="3" s="1"/>
  <c r="K231" i="3"/>
  <c r="AF231" i="3" s="1"/>
  <c r="AH230" i="3"/>
  <c r="AG230" i="3"/>
  <c r="AE230" i="3"/>
  <c r="AD230" i="3"/>
  <c r="P230" i="3"/>
  <c r="Q230" i="3" s="1"/>
  <c r="K230" i="3"/>
  <c r="AF230" i="3" s="1"/>
  <c r="AH229" i="3"/>
  <c r="AG229" i="3"/>
  <c r="AE229" i="3"/>
  <c r="AD229" i="3"/>
  <c r="P229" i="3"/>
  <c r="Q229" i="3" s="1"/>
  <c r="K229" i="3"/>
  <c r="AF229" i="3" s="1"/>
  <c r="AH228" i="3"/>
  <c r="AG228" i="3"/>
  <c r="AE228" i="3"/>
  <c r="AD228" i="3"/>
  <c r="P228" i="3"/>
  <c r="Q228" i="3" s="1"/>
  <c r="K228" i="3"/>
  <c r="AF228" i="3" s="1"/>
  <c r="AH227" i="3"/>
  <c r="AG227" i="3"/>
  <c r="AE227" i="3"/>
  <c r="AD227" i="3"/>
  <c r="P227" i="3"/>
  <c r="K227" i="3"/>
  <c r="AF227" i="3" s="1"/>
  <c r="AH226" i="3"/>
  <c r="AG226" i="3"/>
  <c r="AE226" i="3"/>
  <c r="AD226" i="3"/>
  <c r="P226" i="3"/>
  <c r="Q226" i="3" s="1"/>
  <c r="K226" i="3"/>
  <c r="AF226" i="3" s="1"/>
  <c r="AH225" i="3"/>
  <c r="AG225" i="3"/>
  <c r="AE225" i="3"/>
  <c r="AD225" i="3"/>
  <c r="P225" i="3"/>
  <c r="Q225" i="3" s="1"/>
  <c r="K225" i="3"/>
  <c r="AF225" i="3" s="1"/>
  <c r="AH224" i="3"/>
  <c r="AG224" i="3"/>
  <c r="AE224" i="3"/>
  <c r="AD224" i="3"/>
  <c r="P224" i="3"/>
  <c r="Q224" i="3" s="1"/>
  <c r="K224" i="3"/>
  <c r="AF224" i="3" s="1"/>
  <c r="AH222" i="3"/>
  <c r="AG222" i="3"/>
  <c r="AE222" i="3"/>
  <c r="AD222" i="3"/>
  <c r="K222" i="3"/>
  <c r="AF222" i="3" s="1"/>
  <c r="AH220" i="3"/>
  <c r="AG220" i="3"/>
  <c r="AE220" i="3"/>
  <c r="AD220" i="3"/>
  <c r="K220" i="3"/>
  <c r="AF220" i="3" s="1"/>
  <c r="AH212" i="3"/>
  <c r="AG212" i="3"/>
  <c r="AE212" i="3"/>
  <c r="AD212" i="3"/>
  <c r="K212" i="3"/>
  <c r="AF212" i="3" s="1"/>
  <c r="C208" i="3"/>
  <c r="AH206" i="3"/>
  <c r="AG206" i="3"/>
  <c r="AE206" i="3"/>
  <c r="AD206" i="3"/>
  <c r="P206" i="3"/>
  <c r="Q206" i="3" s="1"/>
  <c r="K206" i="3"/>
  <c r="AF206" i="3" s="1"/>
  <c r="AH205" i="3"/>
  <c r="AG205" i="3"/>
  <c r="AE205" i="3"/>
  <c r="AD205" i="3"/>
  <c r="P205" i="3"/>
  <c r="Q205" i="3" s="1"/>
  <c r="K205" i="3"/>
  <c r="AF205" i="3" s="1"/>
  <c r="AH204" i="3"/>
  <c r="AG204" i="3"/>
  <c r="AE204" i="3"/>
  <c r="AD204" i="3"/>
  <c r="P204" i="3"/>
  <c r="Q204" i="3" s="1"/>
  <c r="K204" i="3"/>
  <c r="AF204" i="3" s="1"/>
  <c r="AH203" i="3"/>
  <c r="AG203" i="3"/>
  <c r="AE203" i="3"/>
  <c r="AD203" i="3"/>
  <c r="P203" i="3"/>
  <c r="Q203" i="3" s="1"/>
  <c r="K203" i="3"/>
  <c r="AF203" i="3" s="1"/>
  <c r="AH202" i="3"/>
  <c r="AG202" i="3"/>
  <c r="AE202" i="3"/>
  <c r="AD202" i="3"/>
  <c r="P202" i="3"/>
  <c r="Q202" i="3" s="1"/>
  <c r="K202" i="3"/>
  <c r="AF202" i="3" s="1"/>
  <c r="AH201" i="3"/>
  <c r="AG201" i="3"/>
  <c r="AE201" i="3"/>
  <c r="AD201" i="3"/>
  <c r="P201" i="3"/>
  <c r="Q201" i="3" s="1"/>
  <c r="K201" i="3"/>
  <c r="AF201" i="3" s="1"/>
  <c r="AH200" i="3"/>
  <c r="AG200" i="3"/>
  <c r="AE200" i="3"/>
  <c r="AD200" i="3"/>
  <c r="P200" i="3"/>
  <c r="Q200" i="3" s="1"/>
  <c r="K200" i="3"/>
  <c r="AF200" i="3" s="1"/>
  <c r="AH199" i="3"/>
  <c r="AG199" i="3"/>
  <c r="AE199" i="3"/>
  <c r="AD199" i="3"/>
  <c r="P199" i="3"/>
  <c r="Q199" i="3" s="1"/>
  <c r="K199" i="3"/>
  <c r="AF199" i="3" s="1"/>
  <c r="AH198" i="3"/>
  <c r="AG198" i="3"/>
  <c r="AE198" i="3"/>
  <c r="AD198" i="3"/>
  <c r="P198" i="3"/>
  <c r="K198" i="3"/>
  <c r="AF198" i="3" s="1"/>
  <c r="AH197" i="3"/>
  <c r="AG197" i="3"/>
  <c r="AE197" i="3"/>
  <c r="AD197" i="3"/>
  <c r="P197" i="3"/>
  <c r="Q197" i="3" s="1"/>
  <c r="K197" i="3"/>
  <c r="AF197" i="3" s="1"/>
  <c r="AH196" i="3"/>
  <c r="AG196" i="3"/>
  <c r="AE196" i="3"/>
  <c r="AD196" i="3"/>
  <c r="N196" i="3"/>
  <c r="K196" i="3"/>
  <c r="AF196" i="3" s="1"/>
  <c r="AH195" i="3"/>
  <c r="AG195" i="3"/>
  <c r="AE195" i="3"/>
  <c r="AD195" i="3"/>
  <c r="P195" i="3"/>
  <c r="Q195" i="3" s="1"/>
  <c r="K195" i="3"/>
  <c r="AF195" i="3" s="1"/>
  <c r="AH194" i="3"/>
  <c r="AG194" i="3"/>
  <c r="AE194" i="3"/>
  <c r="AD194" i="3"/>
  <c r="P194" i="3"/>
  <c r="Q194" i="3" s="1"/>
  <c r="K194" i="3"/>
  <c r="AF194" i="3" s="1"/>
  <c r="AH193" i="3"/>
  <c r="AG193" i="3"/>
  <c r="AE193" i="3"/>
  <c r="AD193" i="3"/>
  <c r="P193" i="3"/>
  <c r="Q193" i="3" s="1"/>
  <c r="K193" i="3"/>
  <c r="AF193" i="3" s="1"/>
  <c r="AH192" i="3"/>
  <c r="AG192" i="3"/>
  <c r="AE192" i="3"/>
  <c r="AD192" i="3"/>
  <c r="P192" i="3"/>
  <c r="Q192" i="3" s="1"/>
  <c r="K192" i="3"/>
  <c r="AF192" i="3" s="1"/>
  <c r="AH191" i="3"/>
  <c r="AG191" i="3"/>
  <c r="AE191" i="3"/>
  <c r="AD191" i="3"/>
  <c r="P191" i="3"/>
  <c r="Q191" i="3" s="1"/>
  <c r="K191" i="3"/>
  <c r="AF191" i="3" s="1"/>
  <c r="D191" i="3"/>
  <c r="D192" i="3" s="1"/>
  <c r="AH190" i="3"/>
  <c r="AG190" i="3"/>
  <c r="AE190" i="3"/>
  <c r="AD190" i="3"/>
  <c r="P190" i="3"/>
  <c r="Q190" i="3" s="1"/>
  <c r="K190" i="3"/>
  <c r="AF190" i="3" s="1"/>
  <c r="Z186" i="3"/>
  <c r="AH184" i="3"/>
  <c r="AG184" i="3"/>
  <c r="AE184" i="3"/>
  <c r="AD184" i="3"/>
  <c r="P184" i="3"/>
  <c r="Q184" i="3" s="1"/>
  <c r="K184" i="3"/>
  <c r="AF184" i="3" s="1"/>
  <c r="AH183" i="3"/>
  <c r="AG183" i="3"/>
  <c r="AE183" i="3"/>
  <c r="AD183" i="3"/>
  <c r="P183" i="3"/>
  <c r="Q183" i="3" s="1"/>
  <c r="K183" i="3"/>
  <c r="AF183" i="3" s="1"/>
  <c r="AH182" i="3"/>
  <c r="AG182" i="3"/>
  <c r="AE182" i="3"/>
  <c r="AD182" i="3"/>
  <c r="P182" i="3"/>
  <c r="Q182" i="3" s="1"/>
  <c r="K182" i="3"/>
  <c r="AF182" i="3" s="1"/>
  <c r="AH181" i="3"/>
  <c r="AG181" i="3"/>
  <c r="AE181" i="3"/>
  <c r="AD181" i="3"/>
  <c r="P181" i="3"/>
  <c r="Q181" i="3" s="1"/>
  <c r="K181" i="3"/>
  <c r="AF181" i="3" s="1"/>
  <c r="AH180" i="3"/>
  <c r="AG180" i="3"/>
  <c r="AE180" i="3"/>
  <c r="AD180" i="3"/>
  <c r="N180" i="3"/>
  <c r="P180" i="3" s="1"/>
  <c r="Q180" i="3" s="1"/>
  <c r="K180" i="3"/>
  <c r="AF180" i="3" s="1"/>
  <c r="AH179" i="3"/>
  <c r="AG179" i="3"/>
  <c r="AE179" i="3"/>
  <c r="AD179" i="3"/>
  <c r="N179" i="3"/>
  <c r="P179" i="3" s="1"/>
  <c r="Q179" i="3" s="1"/>
  <c r="K179" i="3"/>
  <c r="AF179" i="3" s="1"/>
  <c r="AH178" i="3"/>
  <c r="AG178" i="3"/>
  <c r="AE178" i="3"/>
  <c r="AD178" i="3"/>
  <c r="P178" i="3"/>
  <c r="Q178" i="3" s="1"/>
  <c r="K178" i="3"/>
  <c r="AF178" i="3" s="1"/>
  <c r="AH177" i="3"/>
  <c r="AG177" i="3"/>
  <c r="AE177" i="3"/>
  <c r="AD177" i="3"/>
  <c r="P177" i="3"/>
  <c r="K177" i="3"/>
  <c r="AF177" i="3" s="1"/>
  <c r="Z174" i="3"/>
  <c r="AH171" i="3"/>
  <c r="AG171" i="3"/>
  <c r="AE171" i="3"/>
  <c r="AD171" i="3"/>
  <c r="P171" i="3"/>
  <c r="Q171" i="3" s="1"/>
  <c r="K171" i="3"/>
  <c r="AF171" i="3" s="1"/>
  <c r="AH170" i="3"/>
  <c r="AG170" i="3"/>
  <c r="AE170" i="3"/>
  <c r="AD170" i="3"/>
  <c r="P170" i="3"/>
  <c r="Q170" i="3" s="1"/>
  <c r="K170" i="3"/>
  <c r="AF170" i="3" s="1"/>
  <c r="AH169" i="3"/>
  <c r="AG169" i="3"/>
  <c r="AE169" i="3"/>
  <c r="AD169" i="3"/>
  <c r="P169" i="3"/>
  <c r="Q169" i="3" s="1"/>
  <c r="K169" i="3"/>
  <c r="AF169" i="3" s="1"/>
  <c r="AH168" i="3"/>
  <c r="AG168" i="3"/>
  <c r="AE168" i="3"/>
  <c r="AD168" i="3"/>
  <c r="P168" i="3"/>
  <c r="Q168" i="3" s="1"/>
  <c r="K168" i="3"/>
  <c r="AF168" i="3" s="1"/>
  <c r="AH167" i="3"/>
  <c r="AG167" i="3"/>
  <c r="AE167" i="3"/>
  <c r="AD167" i="3"/>
  <c r="P167" i="3"/>
  <c r="Q167" i="3" s="1"/>
  <c r="K167" i="3"/>
  <c r="AF167" i="3" s="1"/>
  <c r="AH166" i="3"/>
  <c r="AG166" i="3"/>
  <c r="AE166" i="3"/>
  <c r="AD166" i="3"/>
  <c r="P166" i="3"/>
  <c r="Q166" i="3" s="1"/>
  <c r="K166" i="3"/>
  <c r="AF166" i="3" s="1"/>
  <c r="AH165" i="3"/>
  <c r="AG165" i="3"/>
  <c r="AE165" i="3"/>
  <c r="AD165" i="3"/>
  <c r="N165" i="3"/>
  <c r="P165" i="3" s="1"/>
  <c r="Q165" i="3" s="1"/>
  <c r="K165" i="3"/>
  <c r="AF165" i="3" s="1"/>
  <c r="AH164" i="3"/>
  <c r="AG164" i="3"/>
  <c r="AE164" i="3"/>
  <c r="AD164" i="3"/>
  <c r="N164" i="3"/>
  <c r="K164" i="3"/>
  <c r="AF164" i="3" s="1"/>
  <c r="AH163" i="3"/>
  <c r="AG163" i="3"/>
  <c r="AE163" i="3"/>
  <c r="AD163" i="3"/>
  <c r="N163" i="3"/>
  <c r="K163" i="3"/>
  <c r="AF163" i="3" s="1"/>
  <c r="AH162" i="3"/>
  <c r="AG162" i="3"/>
  <c r="AE162" i="3"/>
  <c r="AD162" i="3"/>
  <c r="P162" i="3"/>
  <c r="Q162" i="3" s="1"/>
  <c r="K162" i="3"/>
  <c r="AF162" i="3" s="1"/>
  <c r="AH161" i="3"/>
  <c r="AG161" i="3"/>
  <c r="AE161" i="3"/>
  <c r="AD161" i="3"/>
  <c r="P161" i="3"/>
  <c r="Q161" i="3" s="1"/>
  <c r="K161" i="3"/>
  <c r="AF161" i="3" s="1"/>
  <c r="AH160" i="3"/>
  <c r="AG160" i="3"/>
  <c r="AE160" i="3"/>
  <c r="AD160" i="3"/>
  <c r="P160" i="3"/>
  <c r="Q160" i="3" s="1"/>
  <c r="K160" i="3"/>
  <c r="AF160" i="3" s="1"/>
  <c r="AH283" i="3"/>
  <c r="AG283" i="3"/>
  <c r="AE283" i="3"/>
  <c r="AD283" i="3"/>
  <c r="P283" i="3"/>
  <c r="K283" i="3"/>
  <c r="AF283" i="3" s="1"/>
  <c r="C283" i="3"/>
  <c r="AH149" i="3"/>
  <c r="AG149" i="3"/>
  <c r="AE149" i="3"/>
  <c r="AD149" i="3"/>
  <c r="P149" i="3"/>
  <c r="Q149" i="3" s="1"/>
  <c r="K149" i="3"/>
  <c r="AF149" i="3" s="1"/>
  <c r="AH151" i="3"/>
  <c r="AG151" i="3"/>
  <c r="AE151" i="3"/>
  <c r="AD151" i="3"/>
  <c r="P151" i="3"/>
  <c r="Q151" i="3" s="1"/>
  <c r="K151" i="3"/>
  <c r="AF151" i="3" s="1"/>
  <c r="AH150" i="3"/>
  <c r="AG150" i="3"/>
  <c r="AE150" i="3"/>
  <c r="AD150" i="3"/>
  <c r="P150" i="3"/>
  <c r="Q150" i="3" s="1"/>
  <c r="K150" i="3"/>
  <c r="AF150" i="3" s="1"/>
  <c r="AH148" i="3"/>
  <c r="AG148" i="3"/>
  <c r="AE148" i="3"/>
  <c r="AD148" i="3"/>
  <c r="P148" i="3"/>
  <c r="Q148" i="3" s="1"/>
  <c r="K148" i="3"/>
  <c r="AF148" i="3" s="1"/>
  <c r="AH146" i="3"/>
  <c r="AG146" i="3"/>
  <c r="AE146" i="3"/>
  <c r="AD146" i="3"/>
  <c r="P146" i="3"/>
  <c r="Q146" i="3" s="1"/>
  <c r="K146" i="3"/>
  <c r="AF146" i="3" s="1"/>
  <c r="AH147" i="3"/>
  <c r="AG147" i="3"/>
  <c r="AE147" i="3"/>
  <c r="AD147" i="3"/>
  <c r="P147" i="3"/>
  <c r="Q147" i="3" s="1"/>
  <c r="K147" i="3"/>
  <c r="AF147" i="3" s="1"/>
  <c r="AH142" i="3"/>
  <c r="AG142" i="3"/>
  <c r="AE142" i="3"/>
  <c r="AD142" i="3"/>
  <c r="P142" i="3"/>
  <c r="Q142" i="3" s="1"/>
  <c r="K142" i="3"/>
  <c r="AF142" i="3" s="1"/>
  <c r="AH145" i="3"/>
  <c r="AG145" i="3"/>
  <c r="AE145" i="3"/>
  <c r="AD145" i="3"/>
  <c r="P145" i="3"/>
  <c r="Q145" i="3" s="1"/>
  <c r="K145" i="3"/>
  <c r="AF145" i="3" s="1"/>
  <c r="AH144" i="3"/>
  <c r="AG144" i="3"/>
  <c r="AE144" i="3"/>
  <c r="AD144" i="3"/>
  <c r="P144" i="3"/>
  <c r="Q144" i="3" s="1"/>
  <c r="K144" i="3"/>
  <c r="AF144" i="3" s="1"/>
  <c r="AH143" i="3"/>
  <c r="AG143" i="3"/>
  <c r="AE143" i="3"/>
  <c r="AD143" i="3"/>
  <c r="P143" i="3"/>
  <c r="Q143" i="3" s="1"/>
  <c r="K143" i="3"/>
  <c r="AF143" i="3" s="1"/>
  <c r="AH141" i="3"/>
  <c r="AG141" i="3"/>
  <c r="AE141" i="3"/>
  <c r="AD141" i="3"/>
  <c r="P141" i="3"/>
  <c r="Q141" i="3" s="1"/>
  <c r="K141" i="3"/>
  <c r="AF141" i="3" s="1"/>
  <c r="AH140" i="3"/>
  <c r="AG140" i="3"/>
  <c r="AE140" i="3"/>
  <c r="AD140" i="3"/>
  <c r="P140" i="3"/>
  <c r="Q140" i="3" s="1"/>
  <c r="K140" i="3"/>
  <c r="AF140" i="3" s="1"/>
  <c r="AH139" i="3"/>
  <c r="AG139" i="3"/>
  <c r="AE139" i="3"/>
  <c r="AD139" i="3"/>
  <c r="P139" i="3"/>
  <c r="Q139" i="3" s="1"/>
  <c r="K139" i="3"/>
  <c r="AF139" i="3" s="1"/>
  <c r="AH138" i="3"/>
  <c r="AG138" i="3"/>
  <c r="AE138" i="3"/>
  <c r="AD138" i="3"/>
  <c r="P138" i="3"/>
  <c r="Q138" i="3" s="1"/>
  <c r="K138" i="3"/>
  <c r="AF138" i="3" s="1"/>
  <c r="AH137" i="3"/>
  <c r="AG137" i="3"/>
  <c r="AE137" i="3"/>
  <c r="AD137" i="3"/>
  <c r="P137" i="3"/>
  <c r="Q137" i="3" s="1"/>
  <c r="K137" i="3"/>
  <c r="AF137" i="3" s="1"/>
  <c r="AH136" i="3"/>
  <c r="AG136" i="3"/>
  <c r="AE136" i="3"/>
  <c r="AD136" i="3"/>
  <c r="P136" i="3"/>
  <c r="Q136" i="3" s="1"/>
  <c r="K136" i="3"/>
  <c r="AF136" i="3" s="1"/>
  <c r="AH135" i="3"/>
  <c r="AG135" i="3"/>
  <c r="AE135" i="3"/>
  <c r="AD135" i="3"/>
  <c r="P135" i="3"/>
  <c r="Q135" i="3" s="1"/>
  <c r="K135" i="3"/>
  <c r="AF135" i="3" s="1"/>
  <c r="AH134" i="3"/>
  <c r="AG134" i="3"/>
  <c r="AE134" i="3"/>
  <c r="AD134" i="3"/>
  <c r="P134" i="3"/>
  <c r="Q134" i="3" s="1"/>
  <c r="K134" i="3"/>
  <c r="AF134" i="3" s="1"/>
  <c r="AH133" i="3"/>
  <c r="AG133" i="3"/>
  <c r="AE133" i="3"/>
  <c r="AD133" i="3"/>
  <c r="P133" i="3"/>
  <c r="Q133" i="3" s="1"/>
  <c r="K133" i="3"/>
  <c r="AF133" i="3" s="1"/>
  <c r="AH132" i="3"/>
  <c r="AG132" i="3"/>
  <c r="AE132" i="3"/>
  <c r="AD132" i="3"/>
  <c r="P132" i="3"/>
  <c r="Q132" i="3" s="1"/>
  <c r="K132" i="3"/>
  <c r="AF132" i="3" s="1"/>
  <c r="AH131" i="3"/>
  <c r="AG131" i="3"/>
  <c r="AE131" i="3"/>
  <c r="AD131" i="3"/>
  <c r="P131" i="3"/>
  <c r="Q131" i="3" s="1"/>
  <c r="K131" i="3"/>
  <c r="AF131" i="3" s="1"/>
  <c r="AH130" i="3"/>
  <c r="AG130" i="3"/>
  <c r="AE130" i="3"/>
  <c r="AD130" i="3"/>
  <c r="P130" i="3"/>
  <c r="Q130" i="3" s="1"/>
  <c r="K130" i="3"/>
  <c r="AF130" i="3" s="1"/>
  <c r="AH129" i="3"/>
  <c r="AG129" i="3"/>
  <c r="AE129" i="3"/>
  <c r="AD129" i="3"/>
  <c r="P129" i="3"/>
  <c r="Q129" i="3" s="1"/>
  <c r="K129" i="3"/>
  <c r="AF129" i="3" s="1"/>
  <c r="AH128" i="3"/>
  <c r="AG128" i="3"/>
  <c r="AE128" i="3"/>
  <c r="AD128" i="3"/>
  <c r="P128" i="3"/>
  <c r="Q128" i="3" s="1"/>
  <c r="K128" i="3"/>
  <c r="AF128" i="3" s="1"/>
  <c r="AH127" i="3"/>
  <c r="AG127" i="3"/>
  <c r="AE127" i="3"/>
  <c r="AD127" i="3"/>
  <c r="P127" i="3"/>
  <c r="Q127" i="3" s="1"/>
  <c r="K127" i="3"/>
  <c r="AF127" i="3" s="1"/>
  <c r="AH126" i="3"/>
  <c r="AG126" i="3"/>
  <c r="AE126" i="3"/>
  <c r="AD126" i="3"/>
  <c r="P126" i="3"/>
  <c r="Q126" i="3" s="1"/>
  <c r="K126" i="3"/>
  <c r="AF126" i="3" s="1"/>
  <c r="AH125" i="3"/>
  <c r="AG125" i="3"/>
  <c r="AE125" i="3"/>
  <c r="AD125" i="3"/>
  <c r="P125" i="3"/>
  <c r="Q125" i="3" s="1"/>
  <c r="K125" i="3"/>
  <c r="AF125" i="3" s="1"/>
  <c r="AH124" i="3"/>
  <c r="AG124" i="3"/>
  <c r="AE124" i="3"/>
  <c r="AD124" i="3"/>
  <c r="K124" i="3"/>
  <c r="AF124" i="3" s="1"/>
  <c r="AH123" i="3"/>
  <c r="AG123" i="3"/>
  <c r="AE123" i="3"/>
  <c r="AD123" i="3"/>
  <c r="N123" i="3"/>
  <c r="N124" i="3" s="1"/>
  <c r="K123" i="3"/>
  <c r="AF123" i="3" s="1"/>
  <c r="AH122" i="3"/>
  <c r="AG122" i="3"/>
  <c r="AE122" i="3"/>
  <c r="AD122" i="3"/>
  <c r="N122" i="3"/>
  <c r="P122" i="3" s="1"/>
  <c r="Q122" i="3" s="1"/>
  <c r="K122" i="3"/>
  <c r="AF122" i="3" s="1"/>
  <c r="AH121" i="3"/>
  <c r="AG121" i="3"/>
  <c r="AE121" i="3"/>
  <c r="AD121" i="3"/>
  <c r="N121" i="3"/>
  <c r="P121" i="3" s="1"/>
  <c r="K121" i="3"/>
  <c r="AF121" i="3" s="1"/>
  <c r="AH120" i="3"/>
  <c r="AG120" i="3"/>
  <c r="AE120" i="3"/>
  <c r="AD120" i="3"/>
  <c r="N120" i="3"/>
  <c r="K120" i="3"/>
  <c r="AF120" i="3" s="1"/>
  <c r="AH119" i="3"/>
  <c r="AG119" i="3"/>
  <c r="AE119" i="3"/>
  <c r="AD119" i="3"/>
  <c r="P119" i="3"/>
  <c r="Q119" i="3" s="1"/>
  <c r="K119" i="3"/>
  <c r="AF119" i="3" s="1"/>
  <c r="AH118" i="3"/>
  <c r="AG118" i="3"/>
  <c r="AE118" i="3"/>
  <c r="AD118" i="3"/>
  <c r="P118" i="3"/>
  <c r="Q118" i="3" s="1"/>
  <c r="K118" i="3"/>
  <c r="AF118" i="3" s="1"/>
  <c r="AH117" i="3"/>
  <c r="AG117" i="3"/>
  <c r="AE117" i="3"/>
  <c r="AD117" i="3"/>
  <c r="P117" i="3"/>
  <c r="Q117" i="3" s="1"/>
  <c r="K117" i="3"/>
  <c r="AF117" i="3" s="1"/>
  <c r="AH116" i="3"/>
  <c r="AG116" i="3"/>
  <c r="AE116" i="3"/>
  <c r="AD116" i="3"/>
  <c r="P116" i="3"/>
  <c r="Q116" i="3" s="1"/>
  <c r="K116" i="3"/>
  <c r="AF116" i="3" s="1"/>
  <c r="AH115" i="3"/>
  <c r="AG115" i="3"/>
  <c r="AE115" i="3"/>
  <c r="AD115" i="3"/>
  <c r="P115" i="3"/>
  <c r="Q115" i="3" s="1"/>
  <c r="K115" i="3"/>
  <c r="AF115" i="3" s="1"/>
  <c r="AH114" i="3"/>
  <c r="AG114" i="3"/>
  <c r="AE114" i="3"/>
  <c r="AD114" i="3"/>
  <c r="P114" i="3"/>
  <c r="Q114" i="3" s="1"/>
  <c r="K114" i="3"/>
  <c r="AF114" i="3" s="1"/>
  <c r="AH113" i="3"/>
  <c r="AG113" i="3"/>
  <c r="AE113" i="3"/>
  <c r="AD113" i="3"/>
  <c r="N113" i="3"/>
  <c r="P113" i="3" s="1"/>
  <c r="Q113" i="3" s="1"/>
  <c r="K113" i="3"/>
  <c r="AF113" i="3" s="1"/>
  <c r="AH112" i="3"/>
  <c r="AG112" i="3"/>
  <c r="AE112" i="3"/>
  <c r="AD112" i="3"/>
  <c r="N112" i="3"/>
  <c r="P112" i="3" s="1"/>
  <c r="K112" i="3"/>
  <c r="AF112" i="3" s="1"/>
  <c r="AH111" i="3"/>
  <c r="AG111" i="3"/>
  <c r="AE111" i="3"/>
  <c r="AD111" i="3"/>
  <c r="N111" i="3"/>
  <c r="P111" i="3" s="1"/>
  <c r="Q111" i="3" s="1"/>
  <c r="K111" i="3"/>
  <c r="AF111" i="3" s="1"/>
  <c r="AH110" i="3"/>
  <c r="AG110" i="3"/>
  <c r="AE110" i="3"/>
  <c r="AD110" i="3"/>
  <c r="P110" i="3"/>
  <c r="K110" i="3"/>
  <c r="AF110" i="3" s="1"/>
  <c r="AH109" i="3"/>
  <c r="AG109" i="3"/>
  <c r="AE109" i="3"/>
  <c r="AD109" i="3"/>
  <c r="P109" i="3"/>
  <c r="Q109" i="3" s="1"/>
  <c r="K109" i="3"/>
  <c r="AF109" i="3" s="1"/>
  <c r="AH108" i="3"/>
  <c r="AG108" i="3"/>
  <c r="AE108" i="3"/>
  <c r="AD108" i="3"/>
  <c r="P108" i="3"/>
  <c r="Q108" i="3" s="1"/>
  <c r="K108" i="3"/>
  <c r="AF108" i="3" s="1"/>
  <c r="AH107" i="3"/>
  <c r="AG107" i="3"/>
  <c r="AE107" i="3"/>
  <c r="AD107" i="3"/>
  <c r="P107" i="3"/>
  <c r="Q107" i="3" s="1"/>
  <c r="K107" i="3"/>
  <c r="AF107" i="3" s="1"/>
  <c r="AH106" i="3"/>
  <c r="AG106" i="3"/>
  <c r="AE106" i="3"/>
  <c r="AD106" i="3"/>
  <c r="P106" i="3"/>
  <c r="Q106" i="3" s="1"/>
  <c r="K106" i="3"/>
  <c r="AF106" i="3" s="1"/>
  <c r="AH105" i="3"/>
  <c r="AG105" i="3"/>
  <c r="AE105" i="3"/>
  <c r="AD105" i="3"/>
  <c r="P105" i="3"/>
  <c r="Q105" i="3" s="1"/>
  <c r="K105" i="3"/>
  <c r="AF105" i="3" s="1"/>
  <c r="AH104" i="3"/>
  <c r="AG104" i="3"/>
  <c r="AE104" i="3"/>
  <c r="AD104" i="3"/>
  <c r="P104" i="3"/>
  <c r="Q104" i="3" s="1"/>
  <c r="K104" i="3"/>
  <c r="AF104" i="3" s="1"/>
  <c r="AH103" i="3"/>
  <c r="AG103" i="3"/>
  <c r="AE103" i="3"/>
  <c r="AD103" i="3"/>
  <c r="P103" i="3"/>
  <c r="Q103" i="3" s="1"/>
  <c r="K103" i="3"/>
  <c r="AF103" i="3" s="1"/>
  <c r="AH102" i="3"/>
  <c r="AG102" i="3"/>
  <c r="AE102" i="3"/>
  <c r="AD102" i="3"/>
  <c r="P102" i="3"/>
  <c r="Q102" i="3" s="1"/>
  <c r="K102" i="3"/>
  <c r="AF102" i="3" s="1"/>
  <c r="AH101" i="3"/>
  <c r="AG101" i="3"/>
  <c r="AE101" i="3"/>
  <c r="AD101" i="3"/>
  <c r="P101" i="3"/>
  <c r="Q101" i="3" s="1"/>
  <c r="K101" i="3"/>
  <c r="AF101" i="3" s="1"/>
  <c r="AH100" i="3"/>
  <c r="AG100" i="3"/>
  <c r="AE100" i="3"/>
  <c r="AD100" i="3"/>
  <c r="P100" i="3"/>
  <c r="Q100" i="3" s="1"/>
  <c r="K100" i="3"/>
  <c r="AF100" i="3" s="1"/>
  <c r="AH99" i="3"/>
  <c r="AG99" i="3"/>
  <c r="AE99" i="3"/>
  <c r="AD99" i="3"/>
  <c r="P99" i="3"/>
  <c r="Q99" i="3" s="1"/>
  <c r="K99" i="3"/>
  <c r="AF99" i="3" s="1"/>
  <c r="AH98" i="3"/>
  <c r="AG98" i="3"/>
  <c r="AE98" i="3"/>
  <c r="AD98" i="3"/>
  <c r="P98" i="3"/>
  <c r="Q98" i="3" s="1"/>
  <c r="K98" i="3"/>
  <c r="AF98" i="3" s="1"/>
  <c r="AH97" i="3"/>
  <c r="AG97" i="3"/>
  <c r="AE97" i="3"/>
  <c r="AD97" i="3"/>
  <c r="P97" i="3"/>
  <c r="Q97" i="3" s="1"/>
  <c r="K97" i="3"/>
  <c r="AF97" i="3" s="1"/>
  <c r="AH96" i="3"/>
  <c r="AG96" i="3"/>
  <c r="AE96" i="3"/>
  <c r="AD96" i="3"/>
  <c r="P96" i="3"/>
  <c r="Q96" i="3" s="1"/>
  <c r="K96" i="3"/>
  <c r="AF96" i="3" s="1"/>
  <c r="AH95" i="3"/>
  <c r="AG95" i="3"/>
  <c r="AE95" i="3"/>
  <c r="AD95" i="3"/>
  <c r="P95" i="3"/>
  <c r="Q95" i="3" s="1"/>
  <c r="K95" i="3"/>
  <c r="AF95" i="3" s="1"/>
  <c r="AH94" i="3"/>
  <c r="AG94" i="3"/>
  <c r="AE94" i="3"/>
  <c r="AD94" i="3"/>
  <c r="P94" i="3"/>
  <c r="Q94" i="3" s="1"/>
  <c r="K94" i="3"/>
  <c r="AF94" i="3" s="1"/>
  <c r="AH93" i="3"/>
  <c r="AG93" i="3"/>
  <c r="AE93" i="3"/>
  <c r="AD93" i="3"/>
  <c r="P93" i="3"/>
  <c r="Q93" i="3" s="1"/>
  <c r="K93" i="3"/>
  <c r="AF93" i="3" s="1"/>
  <c r="AH92" i="3"/>
  <c r="AG92" i="3"/>
  <c r="AE92" i="3"/>
  <c r="AD92" i="3"/>
  <c r="P92" i="3"/>
  <c r="Q92" i="3" s="1"/>
  <c r="K92" i="3"/>
  <c r="AF92" i="3" s="1"/>
  <c r="AH91" i="3"/>
  <c r="AG91" i="3"/>
  <c r="AE91" i="3"/>
  <c r="AD91" i="3"/>
  <c r="P91" i="3"/>
  <c r="Q91" i="3" s="1"/>
  <c r="K91" i="3"/>
  <c r="AF91" i="3" s="1"/>
  <c r="AH90" i="3"/>
  <c r="AG90" i="3"/>
  <c r="AE90" i="3"/>
  <c r="AD90" i="3"/>
  <c r="P90" i="3"/>
  <c r="Q90" i="3" s="1"/>
  <c r="K90" i="3"/>
  <c r="AF90" i="3" s="1"/>
  <c r="AH89" i="3"/>
  <c r="AG89" i="3"/>
  <c r="AE89" i="3"/>
  <c r="AD89" i="3"/>
  <c r="N89" i="3"/>
  <c r="P89" i="3" s="1"/>
  <c r="Q89" i="3" s="1"/>
  <c r="K89" i="3"/>
  <c r="AF89" i="3" s="1"/>
  <c r="AH88" i="3"/>
  <c r="AG88" i="3"/>
  <c r="AE88" i="3"/>
  <c r="AD88" i="3"/>
  <c r="N88" i="3"/>
  <c r="P88" i="3" s="1"/>
  <c r="Q88" i="3" s="1"/>
  <c r="K88" i="3"/>
  <c r="AF88" i="3" s="1"/>
  <c r="AH87" i="3"/>
  <c r="AG87" i="3"/>
  <c r="AE87" i="3"/>
  <c r="AD87" i="3"/>
  <c r="P87" i="3"/>
  <c r="Q87" i="3" s="1"/>
  <c r="K87" i="3"/>
  <c r="AF87" i="3" s="1"/>
  <c r="AH86" i="3"/>
  <c r="AG86" i="3"/>
  <c r="AE86" i="3"/>
  <c r="AD86" i="3"/>
  <c r="N86" i="3"/>
  <c r="P86" i="3" s="1"/>
  <c r="Q86" i="3" s="1"/>
  <c r="K86" i="3"/>
  <c r="AF86" i="3" s="1"/>
  <c r="AH85" i="3"/>
  <c r="AG85" i="3"/>
  <c r="AE85" i="3"/>
  <c r="AD85" i="3"/>
  <c r="N85" i="3"/>
  <c r="N156" i="3" s="1"/>
  <c r="K85" i="3"/>
  <c r="AF85" i="3" s="1"/>
  <c r="AH84" i="3"/>
  <c r="AG84" i="3"/>
  <c r="AE84" i="3"/>
  <c r="AD84" i="3"/>
  <c r="P84" i="3"/>
  <c r="Q84" i="3" s="1"/>
  <c r="K84" i="3"/>
  <c r="AF84" i="3" s="1"/>
  <c r="AH83" i="3"/>
  <c r="AG83" i="3"/>
  <c r="AE83" i="3"/>
  <c r="AD83" i="3"/>
  <c r="P83" i="3"/>
  <c r="Q83" i="3" s="1"/>
  <c r="K83" i="3"/>
  <c r="AF83" i="3" s="1"/>
  <c r="AH82" i="3"/>
  <c r="AG82" i="3"/>
  <c r="AE82" i="3"/>
  <c r="AD82" i="3"/>
  <c r="P82" i="3"/>
  <c r="Q82" i="3" s="1"/>
  <c r="K82" i="3"/>
  <c r="AF82" i="3" s="1"/>
  <c r="AH81" i="3"/>
  <c r="AG81" i="3"/>
  <c r="AE81" i="3"/>
  <c r="AD81" i="3"/>
  <c r="P81" i="3"/>
  <c r="Q81" i="3" s="1"/>
  <c r="K81" i="3"/>
  <c r="AF81" i="3" s="1"/>
  <c r="AH80" i="3"/>
  <c r="AG80" i="3"/>
  <c r="AE80" i="3"/>
  <c r="AD80" i="3"/>
  <c r="P80" i="3"/>
  <c r="Q80" i="3" s="1"/>
  <c r="K80" i="3"/>
  <c r="AF80" i="3" s="1"/>
  <c r="AH79" i="3"/>
  <c r="AG79" i="3"/>
  <c r="AE79" i="3"/>
  <c r="AD79" i="3"/>
  <c r="P79" i="3"/>
  <c r="Q79" i="3" s="1"/>
  <c r="K79" i="3"/>
  <c r="AF79" i="3" s="1"/>
  <c r="AH78" i="3"/>
  <c r="AG78" i="3"/>
  <c r="AE78" i="3"/>
  <c r="AD78" i="3"/>
  <c r="P78" i="3"/>
  <c r="Q78" i="3" s="1"/>
  <c r="K78" i="3"/>
  <c r="AF78" i="3" s="1"/>
  <c r="AH77" i="3"/>
  <c r="AG77" i="3"/>
  <c r="AE77" i="3"/>
  <c r="AD77" i="3"/>
  <c r="P77" i="3"/>
  <c r="Q77" i="3" s="1"/>
  <c r="K77" i="3"/>
  <c r="AF77" i="3" s="1"/>
  <c r="AH76" i="3"/>
  <c r="AG76" i="3"/>
  <c r="AE76" i="3"/>
  <c r="AD76" i="3"/>
  <c r="P76" i="3"/>
  <c r="Q76" i="3" s="1"/>
  <c r="K76" i="3"/>
  <c r="AF76" i="3" s="1"/>
  <c r="AH75" i="3"/>
  <c r="AG75" i="3"/>
  <c r="AE75" i="3"/>
  <c r="AD75" i="3"/>
  <c r="P75" i="3"/>
  <c r="Q75" i="3" s="1"/>
  <c r="K75" i="3"/>
  <c r="AF75" i="3" s="1"/>
  <c r="AH74" i="3"/>
  <c r="AG74" i="3"/>
  <c r="AE74" i="3"/>
  <c r="AD74" i="3"/>
  <c r="P74" i="3"/>
  <c r="Q74" i="3" s="1"/>
  <c r="K74" i="3"/>
  <c r="AF74" i="3" s="1"/>
  <c r="AH73" i="3"/>
  <c r="AG73" i="3"/>
  <c r="AE73" i="3"/>
  <c r="AD73" i="3"/>
  <c r="P73" i="3"/>
  <c r="Q73" i="3" s="1"/>
  <c r="K73" i="3"/>
  <c r="AF73" i="3" s="1"/>
  <c r="AH72" i="3"/>
  <c r="AG72" i="3"/>
  <c r="AE72" i="3"/>
  <c r="AD72" i="3"/>
  <c r="P72" i="3"/>
  <c r="Q72" i="3" s="1"/>
  <c r="K72" i="3"/>
  <c r="AF72" i="3" s="1"/>
  <c r="AH71" i="3"/>
  <c r="AG71" i="3"/>
  <c r="AE71" i="3"/>
  <c r="AD71" i="3"/>
  <c r="P71" i="3"/>
  <c r="Q71" i="3" s="1"/>
  <c r="K71" i="3"/>
  <c r="AF71" i="3" s="1"/>
  <c r="D71" i="3"/>
  <c r="D73" i="3" s="1"/>
  <c r="D74" i="3" s="1"/>
  <c r="D75" i="3" s="1"/>
  <c r="AH70" i="3"/>
  <c r="AG70" i="3"/>
  <c r="AE70" i="3"/>
  <c r="AD70" i="3"/>
  <c r="P70" i="3"/>
  <c r="Q70" i="3" s="1"/>
  <c r="K70" i="3"/>
  <c r="AF70" i="3" s="1"/>
  <c r="AH69" i="3"/>
  <c r="AG69" i="3"/>
  <c r="AE69" i="3"/>
  <c r="AD69" i="3"/>
  <c r="P69" i="3"/>
  <c r="Q69" i="3" s="1"/>
  <c r="K69" i="3"/>
  <c r="AF69" i="3" s="1"/>
  <c r="AH68" i="3"/>
  <c r="AG68" i="3"/>
  <c r="AE68" i="3"/>
  <c r="AD68" i="3"/>
  <c r="P68" i="3"/>
  <c r="Q68" i="3" s="1"/>
  <c r="K68" i="3"/>
  <c r="AF68" i="3" s="1"/>
  <c r="AH67" i="3"/>
  <c r="AG67" i="3"/>
  <c r="AE67" i="3"/>
  <c r="AD67" i="3"/>
  <c r="P67" i="3"/>
  <c r="Q67" i="3" s="1"/>
  <c r="K67" i="3"/>
  <c r="AF67" i="3" s="1"/>
  <c r="AH66" i="3"/>
  <c r="AG66" i="3"/>
  <c r="AE66" i="3"/>
  <c r="AD66" i="3"/>
  <c r="P66" i="3"/>
  <c r="Q66" i="3" s="1"/>
  <c r="K66" i="3"/>
  <c r="AF66" i="3" s="1"/>
  <c r="AH65" i="3"/>
  <c r="AG65" i="3"/>
  <c r="AE65" i="3"/>
  <c r="AD65" i="3"/>
  <c r="P65" i="3"/>
  <c r="Q65" i="3" s="1"/>
  <c r="K65" i="3"/>
  <c r="AF65" i="3" s="1"/>
  <c r="AH64" i="3"/>
  <c r="AG64" i="3"/>
  <c r="AE64" i="3"/>
  <c r="AD64" i="3"/>
  <c r="P64" i="3"/>
  <c r="Q64" i="3" s="1"/>
  <c r="K64" i="3"/>
  <c r="AF64" i="3" s="1"/>
  <c r="AH63" i="3"/>
  <c r="AG63" i="3"/>
  <c r="AE63" i="3"/>
  <c r="AD63" i="3"/>
  <c r="P63" i="3"/>
  <c r="Q63" i="3" s="1"/>
  <c r="K63" i="3"/>
  <c r="AF63" i="3" s="1"/>
  <c r="AH62" i="3"/>
  <c r="AG62" i="3"/>
  <c r="AE62" i="3"/>
  <c r="AD62" i="3"/>
  <c r="P62" i="3"/>
  <c r="Q62" i="3" s="1"/>
  <c r="K62" i="3"/>
  <c r="AF62" i="3" s="1"/>
  <c r="AH60" i="3"/>
  <c r="AG60" i="3"/>
  <c r="AE60" i="3"/>
  <c r="AD60" i="3"/>
  <c r="P60" i="3"/>
  <c r="Q60" i="3" s="1"/>
  <c r="K60" i="3"/>
  <c r="AF60" i="3" s="1"/>
  <c r="AH61" i="3"/>
  <c r="AG61" i="3"/>
  <c r="AE61" i="3"/>
  <c r="AD61" i="3"/>
  <c r="P61" i="3"/>
  <c r="Q61" i="3" s="1"/>
  <c r="K61" i="3"/>
  <c r="AF61" i="3" s="1"/>
  <c r="AH59" i="3"/>
  <c r="AG59" i="3"/>
  <c r="AE59" i="3"/>
  <c r="AD59" i="3"/>
  <c r="P59" i="3"/>
  <c r="Q59" i="3" s="1"/>
  <c r="K59" i="3"/>
  <c r="AF59" i="3" s="1"/>
  <c r="D59" i="3"/>
  <c r="D61" i="3" s="1"/>
  <c r="D72" i="3" s="1"/>
  <c r="AH58" i="3"/>
  <c r="AG58" i="3"/>
  <c r="AE58" i="3"/>
  <c r="AD58" i="3"/>
  <c r="P58" i="3"/>
  <c r="Q58" i="3" s="1"/>
  <c r="K58" i="3"/>
  <c r="AF58" i="3" s="1"/>
  <c r="AH57" i="3"/>
  <c r="AG57" i="3"/>
  <c r="AE57" i="3"/>
  <c r="AD57" i="3"/>
  <c r="P57" i="3"/>
  <c r="Q57" i="3" s="1"/>
  <c r="K57" i="3"/>
  <c r="AF57" i="3" s="1"/>
  <c r="AH56" i="3"/>
  <c r="AG56" i="3"/>
  <c r="AE56" i="3"/>
  <c r="AD56" i="3"/>
  <c r="P56" i="3"/>
  <c r="Q56" i="3" s="1"/>
  <c r="K56" i="3"/>
  <c r="AF56" i="3" s="1"/>
  <c r="AH55" i="3"/>
  <c r="AG55" i="3"/>
  <c r="AE55" i="3"/>
  <c r="AD55" i="3"/>
  <c r="P55" i="3"/>
  <c r="Q55" i="3" s="1"/>
  <c r="K55" i="3"/>
  <c r="AF55" i="3" s="1"/>
  <c r="AH54" i="3"/>
  <c r="AG54" i="3"/>
  <c r="AE54" i="3"/>
  <c r="AD54" i="3"/>
  <c r="P54" i="3"/>
  <c r="Q54" i="3" s="1"/>
  <c r="K54" i="3"/>
  <c r="AF54" i="3" s="1"/>
  <c r="AH53" i="3"/>
  <c r="AG53" i="3"/>
  <c r="AE53" i="3"/>
  <c r="AD53" i="3"/>
  <c r="P53" i="3"/>
  <c r="Q53" i="3" s="1"/>
  <c r="K53" i="3"/>
  <c r="AF53" i="3" s="1"/>
  <c r="AH52" i="3"/>
  <c r="AG52" i="3"/>
  <c r="AE52" i="3"/>
  <c r="AD52" i="3"/>
  <c r="P52" i="3"/>
  <c r="Q52" i="3" s="1"/>
  <c r="K52" i="3"/>
  <c r="AF52" i="3" s="1"/>
  <c r="AH51" i="3"/>
  <c r="AG51" i="3"/>
  <c r="AE51" i="3"/>
  <c r="AD51" i="3"/>
  <c r="P51" i="3"/>
  <c r="Q51" i="3" s="1"/>
  <c r="K51" i="3"/>
  <c r="AF51" i="3" s="1"/>
  <c r="AH50" i="3"/>
  <c r="AG50" i="3"/>
  <c r="AE50" i="3"/>
  <c r="AD50" i="3"/>
  <c r="P50" i="3"/>
  <c r="Q50" i="3" s="1"/>
  <c r="K50" i="3"/>
  <c r="AF50" i="3" s="1"/>
  <c r="D50" i="3"/>
  <c r="D52" i="3" s="1"/>
  <c r="D53" i="3" s="1"/>
  <c r="D54" i="3" s="1"/>
  <c r="AH49" i="3"/>
  <c r="AG49" i="3"/>
  <c r="AE49" i="3"/>
  <c r="AD49" i="3"/>
  <c r="P49" i="3"/>
  <c r="Q49" i="3" s="1"/>
  <c r="K49" i="3"/>
  <c r="AF49" i="3" s="1"/>
  <c r="AH48" i="3"/>
  <c r="AG48" i="3"/>
  <c r="AE48" i="3"/>
  <c r="AD48" i="3"/>
  <c r="P48" i="3"/>
  <c r="Q48" i="3" s="1"/>
  <c r="K48" i="3"/>
  <c r="AF48" i="3" s="1"/>
  <c r="AH47" i="3"/>
  <c r="AG47" i="3"/>
  <c r="AE47" i="3"/>
  <c r="AD47" i="3"/>
  <c r="P47" i="3"/>
  <c r="Q47" i="3" s="1"/>
  <c r="K47" i="3"/>
  <c r="AF47" i="3" s="1"/>
  <c r="D47" i="3"/>
  <c r="AH46" i="3"/>
  <c r="AG46" i="3"/>
  <c r="AE46" i="3"/>
  <c r="AD46" i="3"/>
  <c r="P46" i="3"/>
  <c r="Q46" i="3" s="1"/>
  <c r="K46" i="3"/>
  <c r="AF46" i="3" s="1"/>
  <c r="AH45" i="3"/>
  <c r="AG45" i="3"/>
  <c r="AE45" i="3"/>
  <c r="AD45" i="3"/>
  <c r="P45" i="3"/>
  <c r="Q45" i="3" s="1"/>
  <c r="K45" i="3"/>
  <c r="AF45" i="3" s="1"/>
  <c r="AH44" i="3"/>
  <c r="AG44" i="3"/>
  <c r="AE44" i="3"/>
  <c r="AD44" i="3"/>
  <c r="P44" i="3"/>
  <c r="Q44" i="3" s="1"/>
  <c r="K44" i="3"/>
  <c r="AF44" i="3" s="1"/>
  <c r="AH43" i="3"/>
  <c r="AG43" i="3"/>
  <c r="AE43" i="3"/>
  <c r="AD43" i="3"/>
  <c r="P43" i="3"/>
  <c r="Q43" i="3" s="1"/>
  <c r="K43" i="3"/>
  <c r="AF43" i="3" s="1"/>
  <c r="AH42" i="3"/>
  <c r="AG42" i="3"/>
  <c r="AE42" i="3"/>
  <c r="AD42" i="3"/>
  <c r="P42" i="3"/>
  <c r="Q42" i="3" s="1"/>
  <c r="K42" i="3"/>
  <c r="AF42" i="3" s="1"/>
  <c r="AH41" i="3"/>
  <c r="AG41" i="3"/>
  <c r="AE41" i="3"/>
  <c r="AD41" i="3"/>
  <c r="P41" i="3"/>
  <c r="Q41" i="3" s="1"/>
  <c r="K41" i="3"/>
  <c r="AF41" i="3" s="1"/>
  <c r="AH40" i="3"/>
  <c r="AG40" i="3"/>
  <c r="AE40" i="3"/>
  <c r="AD40" i="3"/>
  <c r="P40" i="3"/>
  <c r="Q40" i="3" s="1"/>
  <c r="K40" i="3"/>
  <c r="AF40" i="3" s="1"/>
  <c r="D40" i="3"/>
  <c r="AH39" i="3"/>
  <c r="AG39" i="3"/>
  <c r="AE39" i="3"/>
  <c r="AD39" i="3"/>
  <c r="P39" i="3"/>
  <c r="Q39" i="3" s="1"/>
  <c r="K39" i="3"/>
  <c r="AF39" i="3" s="1"/>
  <c r="AH38" i="3"/>
  <c r="AG38" i="3"/>
  <c r="AE38" i="3"/>
  <c r="AD38" i="3"/>
  <c r="P38" i="3"/>
  <c r="Q38" i="3" s="1"/>
  <c r="K38" i="3"/>
  <c r="AF38" i="3" s="1"/>
  <c r="AH37" i="3"/>
  <c r="AG37" i="3"/>
  <c r="AE37" i="3"/>
  <c r="AD37" i="3"/>
  <c r="P37" i="3"/>
  <c r="Q37" i="3" s="1"/>
  <c r="K37" i="3"/>
  <c r="AF37" i="3" s="1"/>
  <c r="D37" i="3"/>
  <c r="D39" i="3" s="1"/>
  <c r="AH36" i="3"/>
  <c r="AG36" i="3"/>
  <c r="AE36" i="3"/>
  <c r="AD36" i="3"/>
  <c r="P36" i="3"/>
  <c r="Q36" i="3" s="1"/>
  <c r="K36" i="3"/>
  <c r="AF36" i="3" s="1"/>
  <c r="AH35" i="3"/>
  <c r="AG35" i="3"/>
  <c r="AE35" i="3"/>
  <c r="AD35" i="3"/>
  <c r="P35" i="3"/>
  <c r="Q35" i="3" s="1"/>
  <c r="K35" i="3"/>
  <c r="AF35" i="3" s="1"/>
  <c r="AH34" i="3"/>
  <c r="AG34" i="3"/>
  <c r="AE34" i="3"/>
  <c r="AD34" i="3"/>
  <c r="P34" i="3"/>
  <c r="Q34" i="3" s="1"/>
  <c r="K34" i="3"/>
  <c r="AF34" i="3" s="1"/>
  <c r="D34" i="3"/>
  <c r="AH33" i="3"/>
  <c r="AG33" i="3"/>
  <c r="AE33" i="3"/>
  <c r="AD33" i="3"/>
  <c r="P33" i="3"/>
  <c r="Q33" i="3" s="1"/>
  <c r="K33" i="3"/>
  <c r="AF33" i="3" s="1"/>
  <c r="AH32" i="3"/>
  <c r="AG32" i="3"/>
  <c r="AE32" i="3"/>
  <c r="AD32" i="3"/>
  <c r="P32" i="3"/>
  <c r="Q32" i="3" s="1"/>
  <c r="K32" i="3"/>
  <c r="AF32" i="3" s="1"/>
  <c r="AH31" i="3"/>
  <c r="AG31" i="3"/>
  <c r="AE31" i="3"/>
  <c r="AD31" i="3"/>
  <c r="P31" i="3"/>
  <c r="Q31" i="3" s="1"/>
  <c r="K31" i="3"/>
  <c r="AF31" i="3" s="1"/>
  <c r="D31" i="3"/>
  <c r="D41" i="3" s="1"/>
  <c r="AH30" i="3"/>
  <c r="AG30" i="3"/>
  <c r="AE30" i="3"/>
  <c r="AD30" i="3"/>
  <c r="P30" i="3"/>
  <c r="Q30" i="3" s="1"/>
  <c r="K30" i="3"/>
  <c r="AF30" i="3" s="1"/>
  <c r="AH29" i="3"/>
  <c r="AG29" i="3"/>
  <c r="AE29" i="3"/>
  <c r="AD29" i="3"/>
  <c r="P29" i="3"/>
  <c r="Q29" i="3" s="1"/>
  <c r="K29" i="3"/>
  <c r="AF29" i="3" s="1"/>
  <c r="AH28" i="3"/>
  <c r="AG28" i="3"/>
  <c r="AE28" i="3"/>
  <c r="AD28" i="3"/>
  <c r="P28" i="3"/>
  <c r="Q28" i="3" s="1"/>
  <c r="K28" i="3"/>
  <c r="AF28" i="3" s="1"/>
  <c r="AH27" i="3"/>
  <c r="AG27" i="3"/>
  <c r="AE27" i="3"/>
  <c r="AD27" i="3"/>
  <c r="P27" i="3"/>
  <c r="Q27" i="3" s="1"/>
  <c r="K27" i="3"/>
  <c r="AF27" i="3" s="1"/>
  <c r="AH26" i="3"/>
  <c r="AG26" i="3"/>
  <c r="AE26" i="3"/>
  <c r="AD26" i="3"/>
  <c r="P26" i="3"/>
  <c r="Q26" i="3" s="1"/>
  <c r="K26" i="3"/>
  <c r="AF26" i="3" s="1"/>
  <c r="D26" i="3"/>
  <c r="AH25" i="3"/>
  <c r="AG25" i="3"/>
  <c r="AE25" i="3"/>
  <c r="AD25" i="3"/>
  <c r="P25" i="3"/>
  <c r="Q25" i="3" s="1"/>
  <c r="K25" i="3"/>
  <c r="AF25" i="3" s="1"/>
  <c r="AH24" i="3"/>
  <c r="AG24" i="3"/>
  <c r="AE24" i="3"/>
  <c r="AD24" i="3"/>
  <c r="P24" i="3"/>
  <c r="Q24" i="3" s="1"/>
  <c r="K24" i="3"/>
  <c r="AF24" i="3" s="1"/>
  <c r="AH23" i="3"/>
  <c r="AG23" i="3"/>
  <c r="AE23" i="3"/>
  <c r="AD23" i="3"/>
  <c r="P23" i="3"/>
  <c r="Q23" i="3" s="1"/>
  <c r="K23" i="3"/>
  <c r="AF23" i="3" s="1"/>
  <c r="AH22" i="3"/>
  <c r="AG22" i="3"/>
  <c r="AE22" i="3"/>
  <c r="AD22" i="3"/>
  <c r="P22" i="3"/>
  <c r="Q22" i="3" s="1"/>
  <c r="K22" i="3"/>
  <c r="AF22" i="3" s="1"/>
  <c r="AH21" i="3"/>
  <c r="AG21" i="3"/>
  <c r="AE21" i="3"/>
  <c r="AD21" i="3"/>
  <c r="P21" i="3"/>
  <c r="Q21" i="3" s="1"/>
  <c r="K21" i="3"/>
  <c r="AF21" i="3" s="1"/>
  <c r="AH20" i="3"/>
  <c r="AG20" i="3"/>
  <c r="AE20" i="3"/>
  <c r="AD20" i="3"/>
  <c r="P20" i="3"/>
  <c r="K20" i="3"/>
  <c r="AF20" i="3" s="1"/>
  <c r="AH19" i="3"/>
  <c r="AG19" i="3"/>
  <c r="AE19" i="3"/>
  <c r="AD19" i="3"/>
  <c r="P19" i="3"/>
  <c r="Q19" i="3" s="1"/>
  <c r="K19" i="3"/>
  <c r="AF19" i="3" s="1"/>
  <c r="AH18" i="3"/>
  <c r="AG18" i="3"/>
  <c r="AE18" i="3"/>
  <c r="AD18" i="3"/>
  <c r="P18" i="3"/>
  <c r="Q18" i="3" s="1"/>
  <c r="K18" i="3"/>
  <c r="AF18" i="3" s="1"/>
  <c r="D18" i="3"/>
  <c r="D24" i="3" s="1"/>
  <c r="AH17" i="3"/>
  <c r="AG17" i="3"/>
  <c r="AE17" i="3"/>
  <c r="AD17" i="3"/>
  <c r="P17" i="3"/>
  <c r="Q17" i="3" s="1"/>
  <c r="K17" i="3"/>
  <c r="AF17" i="3" s="1"/>
  <c r="AH16" i="3"/>
  <c r="AG16" i="3"/>
  <c r="AE16" i="3"/>
  <c r="AD16" i="3"/>
  <c r="P16" i="3"/>
  <c r="Q16" i="3" s="1"/>
  <c r="K16" i="3"/>
  <c r="AF16" i="3" s="1"/>
  <c r="AH15" i="3"/>
  <c r="AG15" i="3"/>
  <c r="AE15" i="3"/>
  <c r="AD15" i="3"/>
  <c r="P15" i="3"/>
  <c r="Q15" i="3" s="1"/>
  <c r="K15" i="3"/>
  <c r="AF15" i="3" s="1"/>
  <c r="AH14" i="3"/>
  <c r="AG14" i="3"/>
  <c r="AE14" i="3"/>
  <c r="AD14" i="3"/>
  <c r="P14" i="3"/>
  <c r="Q14" i="3" s="1"/>
  <c r="K14" i="3"/>
  <c r="AF14" i="3" s="1"/>
  <c r="AH13" i="3"/>
  <c r="AG13" i="3"/>
  <c r="AE13" i="3"/>
  <c r="AD13" i="3"/>
  <c r="P13" i="3"/>
  <c r="K13" i="3"/>
  <c r="X11" i="3"/>
  <c r="AA11" i="3" s="1"/>
  <c r="S49" i="4" l="1"/>
  <c r="T49" i="4" s="1"/>
  <c r="N255" i="3"/>
  <c r="N271" i="3"/>
  <c r="U100" i="4"/>
  <c r="T52" i="4"/>
  <c r="U52" i="4" s="1"/>
  <c r="K73" i="4"/>
  <c r="U51" i="4"/>
  <c r="K98" i="4"/>
  <c r="K43" i="4"/>
  <c r="AB172" i="3"/>
  <c r="AC172" i="3" s="1"/>
  <c r="T172" i="3"/>
  <c r="S12" i="4"/>
  <c r="U12" i="4"/>
  <c r="S33" i="4"/>
  <c r="T33" i="4" s="1"/>
  <c r="U33" i="4"/>
  <c r="S17" i="4"/>
  <c r="T17" i="4" s="1"/>
  <c r="U17" i="4"/>
  <c r="S28" i="4"/>
  <c r="T28" i="4" s="1"/>
  <c r="U28" i="4"/>
  <c r="S34" i="4"/>
  <c r="T34" i="4" s="1"/>
  <c r="U34" i="4" s="1"/>
  <c r="K96" i="4"/>
  <c r="K47" i="4"/>
  <c r="K45" i="4"/>
  <c r="K60" i="4"/>
  <c r="K14" i="4"/>
  <c r="K92" i="4"/>
  <c r="X248" i="3"/>
  <c r="Y248" i="3" s="1"/>
  <c r="AA248" i="3" s="1"/>
  <c r="R78" i="3"/>
  <c r="V78" i="3" s="1"/>
  <c r="R197" i="3"/>
  <c r="T197" i="3" s="1"/>
  <c r="R34" i="3"/>
  <c r="T34" i="3" s="1"/>
  <c r="X99" i="3"/>
  <c r="Y99" i="3" s="1"/>
  <c r="AA99" i="3" s="1"/>
  <c r="X147" i="3"/>
  <c r="Y147" i="3" s="1"/>
  <c r="AA147" i="3" s="1"/>
  <c r="R67" i="3"/>
  <c r="V67" i="3" s="1"/>
  <c r="R116" i="3"/>
  <c r="T116" i="3" s="1"/>
  <c r="X116" i="3" s="1"/>
  <c r="Y116" i="3" s="1"/>
  <c r="AA116" i="3" s="1"/>
  <c r="X160" i="3"/>
  <c r="Y160" i="3" s="1"/>
  <c r="AA160" i="3" s="1"/>
  <c r="R246" i="3"/>
  <c r="V246" i="3" s="1"/>
  <c r="R31" i="3"/>
  <c r="T31" i="3" s="1"/>
  <c r="X65" i="3"/>
  <c r="Y65" i="3" s="1"/>
  <c r="AA65" i="3" s="1"/>
  <c r="X69" i="3"/>
  <c r="Y69" i="3" s="1"/>
  <c r="AA69" i="3" s="1"/>
  <c r="X91" i="3"/>
  <c r="Y91" i="3" s="1"/>
  <c r="AA91" i="3" s="1"/>
  <c r="R28" i="3"/>
  <c r="V28" i="3" s="1"/>
  <c r="R115" i="3"/>
  <c r="V115" i="3" s="1"/>
  <c r="X177" i="3"/>
  <c r="Y177" i="3" s="1"/>
  <c r="R243" i="3"/>
  <c r="R17" i="3"/>
  <c r="V17" i="3" s="1"/>
  <c r="X23" i="3"/>
  <c r="Y23" i="3" s="1"/>
  <c r="AA23" i="3" s="1"/>
  <c r="R30" i="3"/>
  <c r="T30" i="3" s="1"/>
  <c r="R77" i="3"/>
  <c r="V77" i="3" s="1"/>
  <c r="R109" i="3"/>
  <c r="T109" i="3" s="1"/>
  <c r="R127" i="3"/>
  <c r="V127" i="3" s="1"/>
  <c r="X169" i="3"/>
  <c r="Y169" i="3" s="1"/>
  <c r="AA169" i="3" s="1"/>
  <c r="R212" i="3"/>
  <c r="R58" i="3"/>
  <c r="T58" i="3" s="1"/>
  <c r="X60" i="3"/>
  <c r="Y60" i="3" s="1"/>
  <c r="AA60" i="3" s="1"/>
  <c r="X75" i="3"/>
  <c r="Y75" i="3" s="1"/>
  <c r="AA75" i="3" s="1"/>
  <c r="R113" i="3"/>
  <c r="V113" i="3" s="1"/>
  <c r="X205" i="3"/>
  <c r="Y205" i="3" s="1"/>
  <c r="AA205" i="3" s="1"/>
  <c r="R225" i="3"/>
  <c r="P236" i="3"/>
  <c r="R262" i="3"/>
  <c r="X263" i="3"/>
  <c r="Y263" i="3" s="1"/>
  <c r="AA263" i="3" s="1"/>
  <c r="R26" i="3"/>
  <c r="T26" i="3" s="1"/>
  <c r="R87" i="3"/>
  <c r="T87" i="3" s="1"/>
  <c r="R89" i="3"/>
  <c r="T89" i="3" s="1"/>
  <c r="R114" i="3"/>
  <c r="T114" i="3" s="1"/>
  <c r="R200" i="3"/>
  <c r="V200" i="3" s="1"/>
  <c r="R224" i="3"/>
  <c r="V224" i="3" s="1"/>
  <c r="R228" i="3"/>
  <c r="T228" i="3" s="1"/>
  <c r="R238" i="3"/>
  <c r="V238" i="3" s="1"/>
  <c r="X266" i="3"/>
  <c r="Y266" i="3" s="1"/>
  <c r="AA266" i="3" s="1"/>
  <c r="R268" i="3"/>
  <c r="T268" i="3" s="1"/>
  <c r="R18" i="3"/>
  <c r="T18" i="3" s="1"/>
  <c r="R15" i="3"/>
  <c r="T15" i="3" s="1"/>
  <c r="X95" i="3"/>
  <c r="Y95" i="3" s="1"/>
  <c r="AA95" i="3" s="1"/>
  <c r="AF13" i="3"/>
  <c r="R13" i="3" s="1"/>
  <c r="R43" i="3"/>
  <c r="V43" i="3" s="1"/>
  <c r="R49" i="3"/>
  <c r="V49" i="3" s="1"/>
  <c r="X61" i="3"/>
  <c r="Y61" i="3" s="1"/>
  <c r="AA61" i="3" s="1"/>
  <c r="R60" i="3"/>
  <c r="T60" i="3" s="1"/>
  <c r="R69" i="3"/>
  <c r="T69" i="3" s="1"/>
  <c r="X73" i="3"/>
  <c r="Y73" i="3" s="1"/>
  <c r="AA73" i="3" s="1"/>
  <c r="R86" i="3"/>
  <c r="R93" i="3"/>
  <c r="V93" i="3" s="1"/>
  <c r="X103" i="3"/>
  <c r="Y103" i="3" s="1"/>
  <c r="AA103" i="3" s="1"/>
  <c r="R110" i="3"/>
  <c r="V110" i="3" s="1"/>
  <c r="R112" i="3"/>
  <c r="V112" i="3" s="1"/>
  <c r="R125" i="3"/>
  <c r="T125" i="3" s="1"/>
  <c r="R142" i="3"/>
  <c r="V142" i="3" s="1"/>
  <c r="R249" i="3"/>
  <c r="R63" i="3"/>
  <c r="V63" i="3" s="1"/>
  <c r="R92" i="3"/>
  <c r="T92" i="3" s="1"/>
  <c r="R95" i="3"/>
  <c r="V95" i="3" s="1"/>
  <c r="R111" i="3"/>
  <c r="V111" i="3" s="1"/>
  <c r="X193" i="3"/>
  <c r="Y193" i="3" s="1"/>
  <c r="AA193" i="3" s="1"/>
  <c r="R22" i="3"/>
  <c r="V22" i="3" s="1"/>
  <c r="R57" i="3"/>
  <c r="V57" i="3" s="1"/>
  <c r="R71" i="3"/>
  <c r="X79" i="3"/>
  <c r="Y79" i="3" s="1"/>
  <c r="AA79" i="3" s="1"/>
  <c r="X83" i="3"/>
  <c r="Y83" i="3" s="1"/>
  <c r="AA83" i="3" s="1"/>
  <c r="R96" i="3"/>
  <c r="T96" i="3" s="1"/>
  <c r="X17" i="3"/>
  <c r="Y17" i="3" s="1"/>
  <c r="AA17" i="3" s="1"/>
  <c r="X19" i="3"/>
  <c r="Y19" i="3" s="1"/>
  <c r="AA19" i="3" s="1"/>
  <c r="X20" i="3"/>
  <c r="Y20" i="3" s="1"/>
  <c r="AA20" i="3" s="1"/>
  <c r="X64" i="3"/>
  <c r="Y64" i="3" s="1"/>
  <c r="AA64" i="3" s="1"/>
  <c r="X71" i="3"/>
  <c r="Y71" i="3" s="1"/>
  <c r="AA71" i="3" s="1"/>
  <c r="R104" i="3"/>
  <c r="V104" i="3" s="1"/>
  <c r="D194" i="3"/>
  <c r="R198" i="3"/>
  <c r="V198" i="3" s="1"/>
  <c r="R203" i="3"/>
  <c r="T203" i="3" s="1"/>
  <c r="X227" i="3"/>
  <c r="Y227" i="3" s="1"/>
  <c r="AA227" i="3" s="1"/>
  <c r="R101" i="3"/>
  <c r="T101" i="3" s="1"/>
  <c r="R131" i="3"/>
  <c r="V131" i="3" s="1"/>
  <c r="R135" i="3"/>
  <c r="T135" i="3" s="1"/>
  <c r="R150" i="3"/>
  <c r="T150" i="3" s="1"/>
  <c r="R170" i="3"/>
  <c r="V170" i="3" s="1"/>
  <c r="P186" i="3"/>
  <c r="D24" i="1" s="1"/>
  <c r="R181" i="3"/>
  <c r="T181" i="3" s="1"/>
  <c r="X183" i="3"/>
  <c r="Y183" i="3" s="1"/>
  <c r="AA183" i="3" s="1"/>
  <c r="R206" i="3"/>
  <c r="T206" i="3" s="1"/>
  <c r="X246" i="3"/>
  <c r="Y246" i="3" s="1"/>
  <c r="AA246" i="3" s="1"/>
  <c r="R65" i="3"/>
  <c r="T65" i="3" s="1"/>
  <c r="X68" i="3"/>
  <c r="Y68" i="3" s="1"/>
  <c r="AA68" i="3" s="1"/>
  <c r="R84" i="3"/>
  <c r="T84" i="3" s="1"/>
  <c r="R100" i="3"/>
  <c r="T100" i="3" s="1"/>
  <c r="R105" i="3"/>
  <c r="V105" i="3" s="1"/>
  <c r="N174" i="3"/>
  <c r="B22" i="1" s="1"/>
  <c r="Q177" i="3"/>
  <c r="Q186" i="3" s="1"/>
  <c r="R180" i="3"/>
  <c r="T180" i="3" s="1"/>
  <c r="R184" i="3"/>
  <c r="V184" i="3" s="1"/>
  <c r="N186" i="3"/>
  <c r="B24" i="1" s="1"/>
  <c r="X200" i="3"/>
  <c r="Y200" i="3" s="1"/>
  <c r="AA200" i="3" s="1"/>
  <c r="R232" i="3"/>
  <c r="V232" i="3" s="1"/>
  <c r="X250" i="3"/>
  <c r="Y250" i="3" s="1"/>
  <c r="AA250" i="3" s="1"/>
  <c r="R252" i="3"/>
  <c r="T252" i="3" s="1"/>
  <c r="X269" i="3"/>
  <c r="Y269" i="3" s="1"/>
  <c r="AA269" i="3" s="1"/>
  <c r="X144" i="3"/>
  <c r="Y144" i="3" s="1"/>
  <c r="AA144" i="3" s="1"/>
  <c r="R191" i="3"/>
  <c r="V191" i="3" s="1"/>
  <c r="R280" i="3"/>
  <c r="V280" i="3" s="1"/>
  <c r="X243" i="3"/>
  <c r="Y243" i="3" s="1"/>
  <c r="R253" i="3"/>
  <c r="V253" i="3" s="1"/>
  <c r="X21" i="3"/>
  <c r="Y21" i="3" s="1"/>
  <c r="AA21" i="3" s="1"/>
  <c r="X14" i="3"/>
  <c r="Y14" i="3" s="1"/>
  <c r="AA14" i="3" s="1"/>
  <c r="R25" i="3"/>
  <c r="R14" i="3"/>
  <c r="X15" i="3"/>
  <c r="Y15" i="3" s="1"/>
  <c r="AA15" i="3" s="1"/>
  <c r="R16" i="3"/>
  <c r="X18" i="3"/>
  <c r="Y18" i="3" s="1"/>
  <c r="AA18" i="3" s="1"/>
  <c r="R19" i="3"/>
  <c r="Q20" i="3"/>
  <c r="X29" i="3"/>
  <c r="Y29" i="3" s="1"/>
  <c r="AA29" i="3" s="1"/>
  <c r="R29" i="3"/>
  <c r="X30" i="3"/>
  <c r="Y30" i="3" s="1"/>
  <c r="AA30" i="3" s="1"/>
  <c r="X34" i="3"/>
  <c r="Y34" i="3" s="1"/>
  <c r="AA34" i="3" s="1"/>
  <c r="R37" i="3"/>
  <c r="R39" i="3"/>
  <c r="R40" i="3"/>
  <c r="X40" i="3"/>
  <c r="Y40" i="3" s="1"/>
  <c r="AA40" i="3" s="1"/>
  <c r="R55" i="3"/>
  <c r="X55" i="3"/>
  <c r="Y55" i="3" s="1"/>
  <c r="AA55" i="3" s="1"/>
  <c r="R20" i="3"/>
  <c r="R21" i="3"/>
  <c r="X22" i="3"/>
  <c r="Y22" i="3" s="1"/>
  <c r="AA22" i="3" s="1"/>
  <c r="R23" i="3"/>
  <c r="X24" i="3"/>
  <c r="Y24" i="3" s="1"/>
  <c r="AA24" i="3" s="1"/>
  <c r="X27" i="3"/>
  <c r="Y27" i="3" s="1"/>
  <c r="AA27" i="3" s="1"/>
  <c r="R27" i="3"/>
  <c r="X28" i="3"/>
  <c r="Y28" i="3" s="1"/>
  <c r="AA28" i="3" s="1"/>
  <c r="X32" i="3"/>
  <c r="Y32" i="3" s="1"/>
  <c r="AA32" i="3" s="1"/>
  <c r="R32" i="3"/>
  <c r="R35" i="3"/>
  <c r="X35" i="3"/>
  <c r="Y35" i="3" s="1"/>
  <c r="AA35" i="3" s="1"/>
  <c r="R42" i="3"/>
  <c r="X42" i="3"/>
  <c r="Y42" i="3" s="1"/>
  <c r="AA42" i="3" s="1"/>
  <c r="R52" i="3"/>
  <c r="X16" i="3"/>
  <c r="Y16" i="3" s="1"/>
  <c r="AA16" i="3" s="1"/>
  <c r="R24" i="3"/>
  <c r="X25" i="3"/>
  <c r="Y25" i="3" s="1"/>
  <c r="AA25" i="3" s="1"/>
  <c r="X26" i="3"/>
  <c r="Y26" i="3" s="1"/>
  <c r="AA26" i="3" s="1"/>
  <c r="X31" i="3"/>
  <c r="Y31" i="3" s="1"/>
  <c r="AA31" i="3" s="1"/>
  <c r="V34" i="3"/>
  <c r="R38" i="3"/>
  <c r="X38" i="3"/>
  <c r="Y38" i="3" s="1"/>
  <c r="AA38" i="3" s="1"/>
  <c r="R41" i="3"/>
  <c r="R44" i="3"/>
  <c r="R46" i="3"/>
  <c r="R47" i="3"/>
  <c r="X47" i="3"/>
  <c r="Y47" i="3" s="1"/>
  <c r="AA47" i="3" s="1"/>
  <c r="R54" i="3"/>
  <c r="Q13" i="3"/>
  <c r="D43" i="3"/>
  <c r="D45" i="3" s="1"/>
  <c r="D42" i="3"/>
  <c r="R33" i="3"/>
  <c r="X33" i="3"/>
  <c r="Y33" i="3" s="1"/>
  <c r="AA33" i="3" s="1"/>
  <c r="T49" i="3"/>
  <c r="R50" i="3"/>
  <c r="X50" i="3"/>
  <c r="Y50" i="3" s="1"/>
  <c r="AA50" i="3" s="1"/>
  <c r="T71" i="3"/>
  <c r="V71" i="3"/>
  <c r="AB71" i="3" s="1"/>
  <c r="AC71" i="3" s="1"/>
  <c r="X80" i="3"/>
  <c r="Y80" i="3" s="1"/>
  <c r="AA80" i="3" s="1"/>
  <c r="R90" i="3"/>
  <c r="V96" i="3"/>
  <c r="R106" i="3"/>
  <c r="X36" i="3"/>
  <c r="Y36" i="3" s="1"/>
  <c r="AA36" i="3" s="1"/>
  <c r="X45" i="3"/>
  <c r="Y45" i="3" s="1"/>
  <c r="AA45" i="3" s="1"/>
  <c r="X48" i="3"/>
  <c r="Y48" i="3" s="1"/>
  <c r="AA48" i="3" s="1"/>
  <c r="X51" i="3"/>
  <c r="Y51" i="3" s="1"/>
  <c r="AA51" i="3" s="1"/>
  <c r="X53" i="3"/>
  <c r="Y53" i="3" s="1"/>
  <c r="AA53" i="3" s="1"/>
  <c r="X56" i="3"/>
  <c r="Y56" i="3" s="1"/>
  <c r="AA56" i="3" s="1"/>
  <c r="R61" i="3"/>
  <c r="R62" i="3"/>
  <c r="R64" i="3"/>
  <c r="R66" i="3"/>
  <c r="R68" i="3"/>
  <c r="R70" i="3"/>
  <c r="R73" i="3"/>
  <c r="R74" i="3"/>
  <c r="T77" i="3"/>
  <c r="R85" i="3"/>
  <c r="R88" i="3"/>
  <c r="X88" i="3"/>
  <c r="Y88" i="3" s="1"/>
  <c r="AA88" i="3" s="1"/>
  <c r="R94" i="3"/>
  <c r="R36" i="3"/>
  <c r="X39" i="3"/>
  <c r="Y39" i="3" s="1"/>
  <c r="AA39" i="3" s="1"/>
  <c r="X41" i="3"/>
  <c r="Y41" i="3" s="1"/>
  <c r="AA41" i="3" s="1"/>
  <c r="X43" i="3"/>
  <c r="Y43" i="3" s="1"/>
  <c r="AA43" i="3" s="1"/>
  <c r="R45" i="3"/>
  <c r="X46" i="3"/>
  <c r="Y46" i="3" s="1"/>
  <c r="AA46" i="3" s="1"/>
  <c r="R48" i="3"/>
  <c r="X49" i="3"/>
  <c r="Y49" i="3" s="1"/>
  <c r="AA49" i="3" s="1"/>
  <c r="R51" i="3"/>
  <c r="R53" i="3"/>
  <c r="R56" i="3"/>
  <c r="X57" i="3"/>
  <c r="Y57" i="3" s="1"/>
  <c r="AA57" i="3" s="1"/>
  <c r="X58" i="3"/>
  <c r="Y58" i="3" s="1"/>
  <c r="AA58" i="3" s="1"/>
  <c r="R59" i="3"/>
  <c r="R72" i="3"/>
  <c r="R75" i="3"/>
  <c r="R76" i="3"/>
  <c r="X78" i="3"/>
  <c r="Y78" i="3" s="1"/>
  <c r="AA78" i="3" s="1"/>
  <c r="R82" i="3"/>
  <c r="R98" i="3"/>
  <c r="X37" i="3"/>
  <c r="Y37" i="3" s="1"/>
  <c r="AA37" i="3" s="1"/>
  <c r="X44" i="3"/>
  <c r="Y44" i="3" s="1"/>
  <c r="AA44" i="3" s="1"/>
  <c r="X52" i="3"/>
  <c r="Y52" i="3" s="1"/>
  <c r="AA52" i="3" s="1"/>
  <c r="X54" i="3"/>
  <c r="Y54" i="3" s="1"/>
  <c r="AA54" i="3" s="1"/>
  <c r="X63" i="3"/>
  <c r="Y63" i="3" s="1"/>
  <c r="AA63" i="3" s="1"/>
  <c r="X67" i="3"/>
  <c r="Y67" i="3" s="1"/>
  <c r="AA67" i="3" s="1"/>
  <c r="X76" i="3"/>
  <c r="Y76" i="3" s="1"/>
  <c r="AA76" i="3" s="1"/>
  <c r="R79" i="3"/>
  <c r="R80" i="3"/>
  <c r="R81" i="3"/>
  <c r="V86" i="3"/>
  <c r="T86" i="3"/>
  <c r="R97" i="3"/>
  <c r="R102" i="3"/>
  <c r="X82" i="3"/>
  <c r="Y82" i="3" s="1"/>
  <c r="AA82" i="3" s="1"/>
  <c r="X90" i="3"/>
  <c r="Y90" i="3" s="1"/>
  <c r="AA90" i="3" s="1"/>
  <c r="X94" i="3"/>
  <c r="Y94" i="3" s="1"/>
  <c r="AA94" i="3" s="1"/>
  <c r="X98" i="3"/>
  <c r="Y98" i="3" s="1"/>
  <c r="AA98" i="3" s="1"/>
  <c r="X102" i="3"/>
  <c r="Y102" i="3" s="1"/>
  <c r="AA102" i="3" s="1"/>
  <c r="X106" i="3"/>
  <c r="Y106" i="3" s="1"/>
  <c r="AA106" i="3" s="1"/>
  <c r="X107" i="3"/>
  <c r="Y107" i="3" s="1"/>
  <c r="AA107" i="3" s="1"/>
  <c r="R108" i="3"/>
  <c r="X110" i="3"/>
  <c r="Y110" i="3" s="1"/>
  <c r="AA110" i="3" s="1"/>
  <c r="X112" i="3"/>
  <c r="Y112" i="3" s="1"/>
  <c r="AA112" i="3" s="1"/>
  <c r="AB112" i="3" s="1"/>
  <c r="X115" i="3"/>
  <c r="Y115" i="3" s="1"/>
  <c r="AA115" i="3" s="1"/>
  <c r="AB115" i="3" s="1"/>
  <c r="R117" i="3"/>
  <c r="R130" i="3"/>
  <c r="R134" i="3"/>
  <c r="V135" i="3"/>
  <c r="R138" i="3"/>
  <c r="X145" i="3"/>
  <c r="Y145" i="3" s="1"/>
  <c r="AA145" i="3" s="1"/>
  <c r="Q110" i="3"/>
  <c r="T111" i="3"/>
  <c r="Q112" i="3"/>
  <c r="R119" i="3"/>
  <c r="R140" i="3"/>
  <c r="X140" i="3"/>
  <c r="Y140" i="3" s="1"/>
  <c r="AA140" i="3" s="1"/>
  <c r="R83" i="3"/>
  <c r="X84" i="3"/>
  <c r="Y84" i="3" s="1"/>
  <c r="AA84" i="3" s="1"/>
  <c r="B20" i="1"/>
  <c r="X86" i="3"/>
  <c r="Y86" i="3" s="1"/>
  <c r="AA86" i="3" s="1"/>
  <c r="R91" i="3"/>
  <c r="X92" i="3"/>
  <c r="Y92" i="3" s="1"/>
  <c r="AA92" i="3" s="1"/>
  <c r="X96" i="3"/>
  <c r="Y96" i="3" s="1"/>
  <c r="AA96" i="3" s="1"/>
  <c r="R99" i="3"/>
  <c r="X100" i="3"/>
  <c r="Y100" i="3" s="1"/>
  <c r="AA100" i="3" s="1"/>
  <c r="R103" i="3"/>
  <c r="X104" i="3"/>
  <c r="Y104" i="3" s="1"/>
  <c r="AA104" i="3" s="1"/>
  <c r="R107" i="3"/>
  <c r="X108" i="3"/>
  <c r="Y108" i="3" s="1"/>
  <c r="AA108" i="3" s="1"/>
  <c r="V109" i="3"/>
  <c r="X111" i="3"/>
  <c r="Y111" i="3" s="1"/>
  <c r="AA111" i="3" s="1"/>
  <c r="AB111" i="3" s="1"/>
  <c r="T112" i="3"/>
  <c r="X113" i="3"/>
  <c r="Y113" i="3" s="1"/>
  <c r="AA113" i="3" s="1"/>
  <c r="V114" i="3"/>
  <c r="T115" i="3"/>
  <c r="P120" i="3"/>
  <c r="Q120" i="3" s="1"/>
  <c r="R120" i="3" s="1"/>
  <c r="Q121" i="3"/>
  <c r="R121" i="3" s="1"/>
  <c r="R126" i="3"/>
  <c r="X128" i="3"/>
  <c r="Y128" i="3" s="1"/>
  <c r="AA128" i="3" s="1"/>
  <c r="R128" i="3"/>
  <c r="X132" i="3"/>
  <c r="Y132" i="3" s="1"/>
  <c r="AA132" i="3" s="1"/>
  <c r="R132" i="3"/>
  <c r="X136" i="3"/>
  <c r="Y136" i="3" s="1"/>
  <c r="AA136" i="3" s="1"/>
  <c r="R136" i="3"/>
  <c r="R143" i="3"/>
  <c r="X59" i="3"/>
  <c r="Y59" i="3" s="1"/>
  <c r="AA59" i="3" s="1"/>
  <c r="X62" i="3"/>
  <c r="Y62" i="3" s="1"/>
  <c r="AA62" i="3" s="1"/>
  <c r="X66" i="3"/>
  <c r="Y66" i="3" s="1"/>
  <c r="AA66" i="3" s="1"/>
  <c r="X70" i="3"/>
  <c r="Y70" i="3" s="1"/>
  <c r="AA70" i="3" s="1"/>
  <c r="X72" i="3"/>
  <c r="Y72" i="3" s="1"/>
  <c r="AA72" i="3" s="1"/>
  <c r="X74" i="3"/>
  <c r="Y74" i="3" s="1"/>
  <c r="AA74" i="3" s="1"/>
  <c r="X77" i="3"/>
  <c r="Y77" i="3" s="1"/>
  <c r="AA77" i="3" s="1"/>
  <c r="X81" i="3"/>
  <c r="Y81" i="3" s="1"/>
  <c r="AA81" i="3" s="1"/>
  <c r="P85" i="3"/>
  <c r="Q85" i="3" s="1"/>
  <c r="X87" i="3"/>
  <c r="Y87" i="3" s="1"/>
  <c r="AA87" i="3" s="1"/>
  <c r="X89" i="3"/>
  <c r="Y89" i="3" s="1"/>
  <c r="AA89" i="3" s="1"/>
  <c r="X93" i="3"/>
  <c r="Y93" i="3" s="1"/>
  <c r="AA93" i="3" s="1"/>
  <c r="X97" i="3"/>
  <c r="Y97" i="3" s="1"/>
  <c r="AA97" i="3" s="1"/>
  <c r="X101" i="3"/>
  <c r="Y101" i="3" s="1"/>
  <c r="AA101" i="3" s="1"/>
  <c r="X105" i="3"/>
  <c r="Y105" i="3" s="1"/>
  <c r="AA105" i="3" s="1"/>
  <c r="X109" i="3"/>
  <c r="Y109" i="3" s="1"/>
  <c r="AA109" i="3" s="1"/>
  <c r="X114" i="3"/>
  <c r="Y114" i="3" s="1"/>
  <c r="AA114" i="3" s="1"/>
  <c r="R118" i="3"/>
  <c r="R122" i="3"/>
  <c r="P124" i="3"/>
  <c r="Q124" i="3" s="1"/>
  <c r="R124" i="3" s="1"/>
  <c r="R139" i="3"/>
  <c r="R149" i="3"/>
  <c r="X283" i="3"/>
  <c r="V181" i="3"/>
  <c r="P123" i="3"/>
  <c r="X125" i="3"/>
  <c r="Y125" i="3" s="1"/>
  <c r="AA125" i="3" s="1"/>
  <c r="T127" i="3"/>
  <c r="X129" i="3"/>
  <c r="Y129" i="3" s="1"/>
  <c r="AA129" i="3" s="1"/>
  <c r="X133" i="3"/>
  <c r="Y133" i="3" s="1"/>
  <c r="AA133" i="3" s="1"/>
  <c r="X137" i="3"/>
  <c r="Y137" i="3" s="1"/>
  <c r="AA137" i="3" s="1"/>
  <c r="X141" i="3"/>
  <c r="Y141" i="3" s="1"/>
  <c r="AA141" i="3" s="1"/>
  <c r="T142" i="3"/>
  <c r="R160" i="3"/>
  <c r="R161" i="3"/>
  <c r="X161" i="3"/>
  <c r="Y161" i="3" s="1"/>
  <c r="AA161" i="3" s="1"/>
  <c r="R168" i="3"/>
  <c r="X126" i="3"/>
  <c r="Y126" i="3" s="1"/>
  <c r="AA126" i="3" s="1"/>
  <c r="R129" i="3"/>
  <c r="X130" i="3"/>
  <c r="Y130" i="3" s="1"/>
  <c r="AA130" i="3" s="1"/>
  <c r="R133" i="3"/>
  <c r="X134" i="3"/>
  <c r="Y134" i="3" s="1"/>
  <c r="AA134" i="3" s="1"/>
  <c r="R137" i="3"/>
  <c r="X138" i="3"/>
  <c r="Y138" i="3" s="1"/>
  <c r="AA138" i="3" s="1"/>
  <c r="R141" i="3"/>
  <c r="X143" i="3"/>
  <c r="Y143" i="3" s="1"/>
  <c r="AA143" i="3" s="1"/>
  <c r="R144" i="3"/>
  <c r="R145" i="3"/>
  <c r="X142" i="3"/>
  <c r="Y142" i="3" s="1"/>
  <c r="AA142" i="3" s="1"/>
  <c r="R147" i="3"/>
  <c r="X148" i="3"/>
  <c r="Y148" i="3" s="1"/>
  <c r="AA148" i="3" s="1"/>
  <c r="R148" i="3"/>
  <c r="X150" i="3"/>
  <c r="Y150" i="3" s="1"/>
  <c r="AA150" i="3" s="1"/>
  <c r="R151" i="3"/>
  <c r="R283" i="3"/>
  <c r="X162" i="3"/>
  <c r="Y162" i="3" s="1"/>
  <c r="AA162" i="3" s="1"/>
  <c r="R162" i="3"/>
  <c r="P164" i="3"/>
  <c r="Q164" i="3" s="1"/>
  <c r="X164" i="3" s="1"/>
  <c r="Y164" i="3" s="1"/>
  <c r="AA164" i="3" s="1"/>
  <c r="R165" i="3"/>
  <c r="X165" i="3"/>
  <c r="Y165" i="3" s="1"/>
  <c r="AA165" i="3" s="1"/>
  <c r="R167" i="3"/>
  <c r="R195" i="3"/>
  <c r="X195" i="3"/>
  <c r="Y195" i="3" s="1"/>
  <c r="AA195" i="3" s="1"/>
  <c r="X127" i="3"/>
  <c r="Y127" i="3" s="1"/>
  <c r="AA127" i="3" s="1"/>
  <c r="AB127" i="3" s="1"/>
  <c r="X131" i="3"/>
  <c r="Y131" i="3" s="1"/>
  <c r="AA131" i="3" s="1"/>
  <c r="X135" i="3"/>
  <c r="Y135" i="3" s="1"/>
  <c r="AA135" i="3" s="1"/>
  <c r="X139" i="3"/>
  <c r="Y139" i="3" s="1"/>
  <c r="AA139" i="3" s="1"/>
  <c r="R146" i="3"/>
  <c r="X146" i="3"/>
  <c r="Y146" i="3" s="1"/>
  <c r="AA146" i="3" s="1"/>
  <c r="X151" i="3"/>
  <c r="Y151" i="3" s="1"/>
  <c r="AA151" i="3" s="1"/>
  <c r="R171" i="3"/>
  <c r="R178" i="3"/>
  <c r="R179" i="3"/>
  <c r="R182" i="3"/>
  <c r="R190" i="3"/>
  <c r="R192" i="3"/>
  <c r="R194" i="3"/>
  <c r="V203" i="3"/>
  <c r="Q283" i="3"/>
  <c r="P163" i="3"/>
  <c r="Q163" i="3" s="1"/>
  <c r="X168" i="3"/>
  <c r="Y168" i="3" s="1"/>
  <c r="AA168" i="3" s="1"/>
  <c r="X179" i="3"/>
  <c r="Y179" i="3" s="1"/>
  <c r="AA179" i="3" s="1"/>
  <c r="X182" i="3"/>
  <c r="Y182" i="3" s="1"/>
  <c r="AA182" i="3" s="1"/>
  <c r="X190" i="3"/>
  <c r="Y190" i="3" s="1"/>
  <c r="AA190" i="3" s="1"/>
  <c r="X192" i="3"/>
  <c r="Y192" i="3" s="1"/>
  <c r="AA192" i="3" s="1"/>
  <c r="R196" i="3"/>
  <c r="X198" i="3"/>
  <c r="Y198" i="3" s="1"/>
  <c r="AA198" i="3" s="1"/>
  <c r="R201" i="3"/>
  <c r="R202" i="3"/>
  <c r="X204" i="3"/>
  <c r="Y204" i="3" s="1"/>
  <c r="AA204" i="3" s="1"/>
  <c r="V225" i="3"/>
  <c r="T225" i="3"/>
  <c r="V228" i="3"/>
  <c r="Q198" i="3"/>
  <c r="X199" i="3"/>
  <c r="Y199" i="3" s="1"/>
  <c r="AA199" i="3" s="1"/>
  <c r="X203" i="3"/>
  <c r="Y203" i="3" s="1"/>
  <c r="AA203" i="3" s="1"/>
  <c r="R230" i="3"/>
  <c r="X230" i="3"/>
  <c r="Y230" i="3" s="1"/>
  <c r="AA230" i="3" s="1"/>
  <c r="X149" i="3"/>
  <c r="Y149" i="3" s="1"/>
  <c r="AA149" i="3" s="1"/>
  <c r="X166" i="3"/>
  <c r="Y166" i="3" s="1"/>
  <c r="AA166" i="3" s="1"/>
  <c r="R169" i="3"/>
  <c r="X170" i="3"/>
  <c r="Y170" i="3" s="1"/>
  <c r="AA170" i="3" s="1"/>
  <c r="R177" i="3"/>
  <c r="X180" i="3"/>
  <c r="Y180" i="3" s="1"/>
  <c r="AA180" i="3" s="1"/>
  <c r="R183" i="3"/>
  <c r="X184" i="3"/>
  <c r="Y184" i="3" s="1"/>
  <c r="AA184" i="3" s="1"/>
  <c r="X191" i="3"/>
  <c r="Y191" i="3" s="1"/>
  <c r="AA191" i="3" s="1"/>
  <c r="R193" i="3"/>
  <c r="P196" i="3"/>
  <c r="Q196" i="3" s="1"/>
  <c r="N208" i="3"/>
  <c r="B26" i="1" s="1"/>
  <c r="V197" i="3"/>
  <c r="R204" i="3"/>
  <c r="T280" i="3"/>
  <c r="R166" i="3"/>
  <c r="X167" i="3"/>
  <c r="Y167" i="3" s="1"/>
  <c r="AA167" i="3" s="1"/>
  <c r="X171" i="3"/>
  <c r="Y171" i="3" s="1"/>
  <c r="AA171" i="3" s="1"/>
  <c r="X181" i="3"/>
  <c r="Y181" i="3" s="1"/>
  <c r="AA181" i="3" s="1"/>
  <c r="X194" i="3"/>
  <c r="Y194" i="3" s="1"/>
  <c r="AA194" i="3" s="1"/>
  <c r="X197" i="3"/>
  <c r="Y197" i="3" s="1"/>
  <c r="AA197" i="3" s="1"/>
  <c r="R199" i="3"/>
  <c r="R220" i="3"/>
  <c r="R226" i="3"/>
  <c r="R229" i="3"/>
  <c r="X226" i="3"/>
  <c r="Y226" i="3" s="1"/>
  <c r="AA226" i="3" s="1"/>
  <c r="R233" i="3"/>
  <c r="R235" i="3"/>
  <c r="T262" i="3"/>
  <c r="V262" i="3"/>
  <c r="Q227" i="3"/>
  <c r="X232" i="3"/>
  <c r="Y232" i="3" s="1"/>
  <c r="AA232" i="3" s="1"/>
  <c r="X237" i="3"/>
  <c r="Y237" i="3" s="1"/>
  <c r="AA237" i="3" s="1"/>
  <c r="X238" i="3"/>
  <c r="Y238" i="3" s="1"/>
  <c r="AA238" i="3" s="1"/>
  <c r="V243" i="3"/>
  <c r="T243" i="3"/>
  <c r="R245" i="3"/>
  <c r="R205" i="3"/>
  <c r="X206" i="3"/>
  <c r="Y206" i="3" s="1"/>
  <c r="AA206" i="3" s="1"/>
  <c r="R222" i="3"/>
  <c r="X224" i="3"/>
  <c r="Y224" i="3" s="1"/>
  <c r="AA224" i="3" s="1"/>
  <c r="R227" i="3"/>
  <c r="X228" i="3"/>
  <c r="Y228" i="3" s="1"/>
  <c r="AA228" i="3" s="1"/>
  <c r="X231" i="3"/>
  <c r="Y231" i="3" s="1"/>
  <c r="AA231" i="3" s="1"/>
  <c r="R234" i="3"/>
  <c r="R251" i="3"/>
  <c r="X225" i="3"/>
  <c r="Y225" i="3" s="1"/>
  <c r="AA225" i="3" s="1"/>
  <c r="X229" i="3"/>
  <c r="Y229" i="3" s="1"/>
  <c r="AA229" i="3" s="1"/>
  <c r="R231" i="3"/>
  <c r="X280" i="3"/>
  <c r="Y280" i="3" s="1"/>
  <c r="AA280" i="3" s="1"/>
  <c r="X233" i="3"/>
  <c r="Y233" i="3" s="1"/>
  <c r="AA233" i="3" s="1"/>
  <c r="R237" i="3"/>
  <c r="P245" i="3"/>
  <c r="Q245" i="3" s="1"/>
  <c r="Q255" i="3" s="1"/>
  <c r="X251" i="3"/>
  <c r="Y251" i="3" s="1"/>
  <c r="AA251" i="3" s="1"/>
  <c r="X244" i="3"/>
  <c r="Y244" i="3" s="1"/>
  <c r="AA244" i="3" s="1"/>
  <c r="R259" i="3"/>
  <c r="X260" i="3"/>
  <c r="Y260" i="3" s="1"/>
  <c r="AA260" i="3" s="1"/>
  <c r="R263" i="3"/>
  <c r="X262" i="3"/>
  <c r="Y262" i="3" s="1"/>
  <c r="AA262" i="3" s="1"/>
  <c r="R264" i="3"/>
  <c r="X265" i="3"/>
  <c r="Y265" i="3" s="1"/>
  <c r="AA265" i="3" s="1"/>
  <c r="R265" i="3"/>
  <c r="R244" i="3"/>
  <c r="R247" i="3"/>
  <c r="R248" i="3"/>
  <c r="X249" i="3"/>
  <c r="Y249" i="3" s="1"/>
  <c r="AA249" i="3" s="1"/>
  <c r="R250" i="3"/>
  <c r="R260" i="3"/>
  <c r="X253" i="3"/>
  <c r="Y253" i="3" s="1"/>
  <c r="AA253" i="3" s="1"/>
  <c r="X258" i="3"/>
  <c r="R258" i="3"/>
  <c r="P261" i="3"/>
  <c r="Q261" i="3" s="1"/>
  <c r="X261" i="3" s="1"/>
  <c r="Y261" i="3" s="1"/>
  <c r="AA261" i="3" s="1"/>
  <c r="V268" i="3"/>
  <c r="X267" i="3"/>
  <c r="Y267" i="3" s="1"/>
  <c r="AA267" i="3" s="1"/>
  <c r="R267" i="3"/>
  <c r="R269" i="3"/>
  <c r="X252" i="3"/>
  <c r="Y252" i="3" s="1"/>
  <c r="AA252" i="3" s="1"/>
  <c r="X259" i="3"/>
  <c r="Y259" i="3" s="1"/>
  <c r="AA259" i="3" s="1"/>
  <c r="X264" i="3"/>
  <c r="Y264" i="3" s="1"/>
  <c r="AA264" i="3" s="1"/>
  <c r="X268" i="3"/>
  <c r="Y268" i="3" s="1"/>
  <c r="AA268" i="3" s="1"/>
  <c r="R266" i="3"/>
  <c r="AH302" i="2"/>
  <c r="AG302" i="2"/>
  <c r="AE302" i="2"/>
  <c r="AD302" i="2"/>
  <c r="P302" i="2"/>
  <c r="Q302" i="2" s="1"/>
  <c r="K302" i="2"/>
  <c r="AF302" i="2" s="1"/>
  <c r="AH31" i="2"/>
  <c r="AG31" i="2"/>
  <c r="AE31" i="2"/>
  <c r="AD31" i="2"/>
  <c r="P31" i="2"/>
  <c r="Q31" i="2" s="1"/>
  <c r="K31" i="2"/>
  <c r="AF31" i="2" s="1"/>
  <c r="AH222" i="2"/>
  <c r="AG222" i="2"/>
  <c r="AE222" i="2"/>
  <c r="AD222" i="2"/>
  <c r="P222" i="2"/>
  <c r="Q222" i="2" s="1"/>
  <c r="K222" i="2"/>
  <c r="AF222" i="2" s="1"/>
  <c r="AH221" i="2"/>
  <c r="AG221" i="2"/>
  <c r="AE221" i="2"/>
  <c r="AD221" i="2"/>
  <c r="P221" i="2"/>
  <c r="Q221" i="2" s="1"/>
  <c r="K221" i="2"/>
  <c r="AF221" i="2" s="1"/>
  <c r="AH256" i="2"/>
  <c r="AG256" i="2"/>
  <c r="AE256" i="2"/>
  <c r="AD256" i="2"/>
  <c r="P256" i="2"/>
  <c r="Q256" i="2" s="1"/>
  <c r="K256" i="2"/>
  <c r="AF256" i="2" s="1"/>
  <c r="AH318" i="2"/>
  <c r="AG318" i="2"/>
  <c r="AE318" i="2"/>
  <c r="AD318" i="2"/>
  <c r="P318" i="2"/>
  <c r="Q318" i="2"/>
  <c r="K318" i="2"/>
  <c r="AF318" i="2" s="1"/>
  <c r="AH317" i="2"/>
  <c r="AG317" i="2"/>
  <c r="AE317" i="2"/>
  <c r="AD317" i="2"/>
  <c r="P317" i="2"/>
  <c r="Q317" i="2" s="1"/>
  <c r="K317" i="2"/>
  <c r="AF317" i="2" s="1"/>
  <c r="V180" i="3" l="1"/>
  <c r="V84" i="3"/>
  <c r="AB135" i="3"/>
  <c r="V92" i="3"/>
  <c r="V89" i="3"/>
  <c r="T224" i="3"/>
  <c r="T232" i="3"/>
  <c r="V87" i="3"/>
  <c r="X13" i="3"/>
  <c r="T198" i="3"/>
  <c r="T184" i="3"/>
  <c r="B28" i="1"/>
  <c r="T63" i="3"/>
  <c r="T57" i="3"/>
  <c r="T28" i="3"/>
  <c r="T12" i="4"/>
  <c r="AB142" i="3"/>
  <c r="T17" i="3"/>
  <c r="T238" i="3"/>
  <c r="T191" i="3"/>
  <c r="T170" i="3"/>
  <c r="V116" i="3"/>
  <c r="AB116" i="3" s="1"/>
  <c r="AC116" i="3" s="1"/>
  <c r="V58" i="3"/>
  <c r="AB58" i="3" s="1"/>
  <c r="AC58" i="3" s="1"/>
  <c r="V101" i="3"/>
  <c r="V31" i="3"/>
  <c r="AB31" i="3" s="1"/>
  <c r="AC31" i="3" s="1"/>
  <c r="V18" i="3"/>
  <c r="AB18" i="3" s="1"/>
  <c r="AC18" i="3" s="1"/>
  <c r="T212" i="3"/>
  <c r="V212" i="3"/>
  <c r="T105" i="3"/>
  <c r="AB17" i="3"/>
  <c r="AC17" i="3" s="1"/>
  <c r="AB93" i="3"/>
  <c r="AC93" i="3" s="1"/>
  <c r="AB113" i="3"/>
  <c r="V60" i="3"/>
  <c r="AB60" i="3" s="1"/>
  <c r="AC60" i="3" s="1"/>
  <c r="T93" i="3"/>
  <c r="T253" i="3"/>
  <c r="V206" i="3"/>
  <c r="AB206" i="3" s="1"/>
  <c r="AC206" i="3" s="1"/>
  <c r="AB77" i="3"/>
  <c r="AC77" i="3" s="1"/>
  <c r="T113" i="3"/>
  <c r="V150" i="3"/>
  <c r="AB150" i="3" s="1"/>
  <c r="AC150" i="3" s="1"/>
  <c r="T104" i="3"/>
  <c r="T78" i="3"/>
  <c r="T43" i="3"/>
  <c r="AB28" i="3"/>
  <c r="V30" i="3"/>
  <c r="AB30" i="3" s="1"/>
  <c r="AC30" i="3" s="1"/>
  <c r="V65" i="3"/>
  <c r="AB65" i="3" s="1"/>
  <c r="AC65" i="3" s="1"/>
  <c r="V15" i="3"/>
  <c r="AB15" i="3" s="1"/>
  <c r="AC15" i="3" s="1"/>
  <c r="T131" i="3"/>
  <c r="AB225" i="3"/>
  <c r="AC225" i="3" s="1"/>
  <c r="AB89" i="3"/>
  <c r="AC89" i="3" s="1"/>
  <c r="V100" i="3"/>
  <c r="AB100" i="3" s="1"/>
  <c r="AC100" i="3" s="1"/>
  <c r="AB200" i="3"/>
  <c r="AC200" i="3" s="1"/>
  <c r="T246" i="3"/>
  <c r="AB87" i="3"/>
  <c r="AC87" i="3" s="1"/>
  <c r="T22" i="3"/>
  <c r="V26" i="3"/>
  <c r="AB26" i="3" s="1"/>
  <c r="AC26" i="3" s="1"/>
  <c r="AB105" i="3"/>
  <c r="AC105" i="3" s="1"/>
  <c r="V252" i="3"/>
  <c r="AB252" i="3" s="1"/>
  <c r="AC252" i="3" s="1"/>
  <c r="Q236" i="3"/>
  <c r="AB181" i="3"/>
  <c r="AC181" i="3" s="1"/>
  <c r="T200" i="3"/>
  <c r="T67" i="3"/>
  <c r="AB170" i="3"/>
  <c r="AC170" i="3" s="1"/>
  <c r="T95" i="3"/>
  <c r="Q208" i="3"/>
  <c r="AB95" i="3"/>
  <c r="AC95" i="3" s="1"/>
  <c r="AB67" i="3"/>
  <c r="AC67" i="3" s="1"/>
  <c r="R261" i="3"/>
  <c r="R271" i="3" s="1"/>
  <c r="Q271" i="3"/>
  <c r="AB246" i="3"/>
  <c r="AC246" i="3" s="1"/>
  <c r="AB131" i="3"/>
  <c r="AC131" i="3" s="1"/>
  <c r="AC142" i="3"/>
  <c r="T110" i="3"/>
  <c r="V249" i="3"/>
  <c r="AB249" i="3" s="1"/>
  <c r="AC249" i="3" s="1"/>
  <c r="T249" i="3"/>
  <c r="AB262" i="3"/>
  <c r="AC262" i="3" s="1"/>
  <c r="AB203" i="3"/>
  <c r="AB253" i="3"/>
  <c r="AC253" i="3" s="1"/>
  <c r="AB268" i="3"/>
  <c r="AC268" i="3" s="1"/>
  <c r="B34" i="1"/>
  <c r="P255" i="3"/>
  <c r="D34" i="1" s="1"/>
  <c r="AB238" i="3"/>
  <c r="AC238" i="3" s="1"/>
  <c r="AB184" i="3"/>
  <c r="AC184" i="3" s="1"/>
  <c r="AB180" i="3"/>
  <c r="R164" i="3"/>
  <c r="V125" i="3"/>
  <c r="AB125" i="3" s="1"/>
  <c r="AC125" i="3" s="1"/>
  <c r="AB101" i="3"/>
  <c r="AC101" i="3" s="1"/>
  <c r="V69" i="3"/>
  <c r="AB69" i="3" s="1"/>
  <c r="AC69" i="3" s="1"/>
  <c r="AB63" i="3"/>
  <c r="AC63" i="3" s="1"/>
  <c r="AB78" i="3"/>
  <c r="AC78" i="3" s="1"/>
  <c r="AB22" i="3"/>
  <c r="AC22" i="3" s="1"/>
  <c r="V124" i="3"/>
  <c r="T124" i="3"/>
  <c r="X124" i="3" s="1"/>
  <c r="Y124" i="3" s="1"/>
  <c r="AA124" i="3" s="1"/>
  <c r="V121" i="3"/>
  <c r="T121" i="3"/>
  <c r="X121" i="3" s="1"/>
  <c r="Y121" i="3" s="1"/>
  <c r="AA121" i="3" s="1"/>
  <c r="T258" i="3"/>
  <c r="V258" i="3"/>
  <c r="V260" i="3"/>
  <c r="AB260" i="3" s="1"/>
  <c r="AC260" i="3" s="1"/>
  <c r="T260" i="3"/>
  <c r="T244" i="3"/>
  <c r="V244" i="3"/>
  <c r="AB244" i="3" s="1"/>
  <c r="AC244" i="3" s="1"/>
  <c r="T266" i="3"/>
  <c r="V266" i="3"/>
  <c r="AB266" i="3" s="1"/>
  <c r="AC266" i="3" s="1"/>
  <c r="T248" i="3"/>
  <c r="V248" i="3"/>
  <c r="AB248" i="3" s="1"/>
  <c r="AC248" i="3" s="1"/>
  <c r="T259" i="3"/>
  <c r="V259" i="3"/>
  <c r="AB259" i="3" s="1"/>
  <c r="AC259" i="3" s="1"/>
  <c r="P271" i="3"/>
  <c r="T234" i="3"/>
  <c r="X234" i="3" s="1"/>
  <c r="Y234" i="3" s="1"/>
  <c r="AA234" i="3" s="1"/>
  <c r="V234" i="3"/>
  <c r="T227" i="3"/>
  <c r="V227" i="3"/>
  <c r="AB227" i="3" s="1"/>
  <c r="AC227" i="3" s="1"/>
  <c r="T205" i="3"/>
  <c r="V205" i="3"/>
  <c r="AB205" i="3" s="1"/>
  <c r="AC205" i="3" s="1"/>
  <c r="X245" i="3"/>
  <c r="Y245" i="3" s="1"/>
  <c r="AA245" i="3" s="1"/>
  <c r="AA243" i="3"/>
  <c r="X196" i="3"/>
  <c r="Y196" i="3" s="1"/>
  <c r="AA196" i="3" s="1"/>
  <c r="T193" i="3"/>
  <c r="V193" i="3"/>
  <c r="AB193" i="3" s="1"/>
  <c r="AC193" i="3" s="1"/>
  <c r="AA177" i="3"/>
  <c r="T169" i="3"/>
  <c r="V169" i="3"/>
  <c r="AB169" i="3" s="1"/>
  <c r="AC169" i="3" s="1"/>
  <c r="T202" i="3"/>
  <c r="X202" i="3" s="1"/>
  <c r="Y202" i="3" s="1"/>
  <c r="AA202" i="3" s="1"/>
  <c r="V202" i="3"/>
  <c r="V192" i="3"/>
  <c r="AB192" i="3" s="1"/>
  <c r="AC192" i="3" s="1"/>
  <c r="T192" i="3"/>
  <c r="R208" i="3"/>
  <c r="V190" i="3"/>
  <c r="AB190" i="3" s="1"/>
  <c r="AC190" i="3" s="1"/>
  <c r="T190" i="3"/>
  <c r="R163" i="3"/>
  <c r="R174" i="3" s="1"/>
  <c r="V167" i="3"/>
  <c r="AB167" i="3" s="1"/>
  <c r="AC167" i="3" s="1"/>
  <c r="T167" i="3"/>
  <c r="T144" i="3"/>
  <c r="V144" i="3"/>
  <c r="AB144" i="3" s="1"/>
  <c r="AC144" i="3" s="1"/>
  <c r="T129" i="3"/>
  <c r="V129" i="3"/>
  <c r="AB129" i="3" s="1"/>
  <c r="AC129" i="3" s="1"/>
  <c r="T161" i="3"/>
  <c r="V161" i="3"/>
  <c r="AB161" i="3" s="1"/>
  <c r="AC161" i="3" s="1"/>
  <c r="Q123" i="3"/>
  <c r="R123" i="3" s="1"/>
  <c r="Y283" i="3"/>
  <c r="V132" i="3"/>
  <c r="AB132" i="3" s="1"/>
  <c r="AC132" i="3" s="1"/>
  <c r="T132" i="3"/>
  <c r="AB92" i="3"/>
  <c r="AC92" i="3" s="1"/>
  <c r="V140" i="3"/>
  <c r="AB140" i="3" s="1"/>
  <c r="AC140" i="3" s="1"/>
  <c r="T140" i="3"/>
  <c r="V138" i="3"/>
  <c r="AB138" i="3" s="1"/>
  <c r="AC138" i="3" s="1"/>
  <c r="T138" i="3"/>
  <c r="V130" i="3"/>
  <c r="AB130" i="3" s="1"/>
  <c r="AC130" i="3" s="1"/>
  <c r="T130" i="3"/>
  <c r="AC127" i="3"/>
  <c r="AB110" i="3"/>
  <c r="AC110" i="3" s="1"/>
  <c r="AC115" i="3"/>
  <c r="V97" i="3"/>
  <c r="AB97" i="3" s="1"/>
  <c r="AC97" i="3" s="1"/>
  <c r="T97" i="3"/>
  <c r="T80" i="3"/>
  <c r="V80" i="3"/>
  <c r="AB80" i="3" s="1"/>
  <c r="AC80" i="3" s="1"/>
  <c r="V98" i="3"/>
  <c r="T98" i="3"/>
  <c r="T75" i="3"/>
  <c r="V75" i="3"/>
  <c r="AB75" i="3" s="1"/>
  <c r="AC75" i="3" s="1"/>
  <c r="V59" i="3"/>
  <c r="AB59" i="3" s="1"/>
  <c r="AC59" i="3" s="1"/>
  <c r="T59" i="3"/>
  <c r="T56" i="3"/>
  <c r="V56" i="3"/>
  <c r="AB56" i="3" s="1"/>
  <c r="AC56" i="3" s="1"/>
  <c r="T51" i="3"/>
  <c r="V51" i="3"/>
  <c r="V94" i="3"/>
  <c r="AB94" i="3" s="1"/>
  <c r="AC94" i="3" s="1"/>
  <c r="T94" i="3"/>
  <c r="T88" i="3"/>
  <c r="V88" i="3"/>
  <c r="AB88" i="3" s="1"/>
  <c r="AC88" i="3" s="1"/>
  <c r="V74" i="3"/>
  <c r="AB74" i="3" s="1"/>
  <c r="AC74" i="3" s="1"/>
  <c r="T74" i="3"/>
  <c r="V70" i="3"/>
  <c r="AB70" i="3" s="1"/>
  <c r="AC70" i="3" s="1"/>
  <c r="T70" i="3"/>
  <c r="V62" i="3"/>
  <c r="AB62" i="3" s="1"/>
  <c r="AC62" i="3" s="1"/>
  <c r="T62" i="3"/>
  <c r="V46" i="3"/>
  <c r="AB46" i="3" s="1"/>
  <c r="AC46" i="3" s="1"/>
  <c r="T46" i="3"/>
  <c r="V38" i="3"/>
  <c r="AB38" i="3" s="1"/>
  <c r="AC38" i="3" s="1"/>
  <c r="T38" i="3"/>
  <c r="T24" i="3"/>
  <c r="V24" i="3"/>
  <c r="AB24" i="3" s="1"/>
  <c r="AC24" i="3" s="1"/>
  <c r="P156" i="3"/>
  <c r="D20" i="1" s="1"/>
  <c r="V27" i="3"/>
  <c r="AB27" i="3" s="1"/>
  <c r="AC27" i="3" s="1"/>
  <c r="T27" i="3"/>
  <c r="V19" i="3"/>
  <c r="AB19" i="3" s="1"/>
  <c r="AC19" i="3" s="1"/>
  <c r="T19" i="3"/>
  <c r="T13" i="3"/>
  <c r="V13" i="3"/>
  <c r="T269" i="3"/>
  <c r="V269" i="3"/>
  <c r="AB269" i="3" s="1"/>
  <c r="AC269" i="3" s="1"/>
  <c r="T261" i="3"/>
  <c r="V261" i="3"/>
  <c r="V250" i="3"/>
  <c r="AB250" i="3" s="1"/>
  <c r="AC250" i="3" s="1"/>
  <c r="T250" i="3"/>
  <c r="AB224" i="3"/>
  <c r="AC224" i="3" s="1"/>
  <c r="R236" i="3"/>
  <c r="V233" i="3"/>
  <c r="AB233" i="3" s="1"/>
  <c r="AC233" i="3" s="1"/>
  <c r="T233" i="3"/>
  <c r="AB197" i="3"/>
  <c r="AC197" i="3" s="1"/>
  <c r="V204" i="3"/>
  <c r="AB204" i="3" s="1"/>
  <c r="AC204" i="3" s="1"/>
  <c r="T204" i="3"/>
  <c r="T177" i="3"/>
  <c r="R186" i="3"/>
  <c r="V177" i="3"/>
  <c r="AB198" i="3"/>
  <c r="AC198" i="3" s="1"/>
  <c r="V164" i="3"/>
  <c r="AB164" i="3" s="1"/>
  <c r="AC164" i="3" s="1"/>
  <c r="T164" i="3"/>
  <c r="V182" i="3"/>
  <c r="AB182" i="3" s="1"/>
  <c r="AC182" i="3" s="1"/>
  <c r="T182" i="3"/>
  <c r="V178" i="3"/>
  <c r="T178" i="3"/>
  <c r="X178" i="3" s="1"/>
  <c r="Y178" i="3" s="1"/>
  <c r="AA178" i="3" s="1"/>
  <c r="V283" i="3"/>
  <c r="T283" i="3"/>
  <c r="T145" i="3"/>
  <c r="V145" i="3"/>
  <c r="AB145" i="3" s="1"/>
  <c r="AC145" i="3" s="1"/>
  <c r="T133" i="3"/>
  <c r="V133" i="3"/>
  <c r="AB133" i="3" s="1"/>
  <c r="AC133" i="3" s="1"/>
  <c r="P174" i="3"/>
  <c r="V139" i="3"/>
  <c r="AB139" i="3" s="1"/>
  <c r="AC139" i="3" s="1"/>
  <c r="T139" i="3"/>
  <c r="V143" i="3"/>
  <c r="AB143" i="3" s="1"/>
  <c r="AC143" i="3" s="1"/>
  <c r="T143" i="3"/>
  <c r="V128" i="3"/>
  <c r="AB128" i="3" s="1"/>
  <c r="AC128" i="3" s="1"/>
  <c r="T128" i="3"/>
  <c r="V120" i="3"/>
  <c r="T120" i="3"/>
  <c r="X120" i="3" s="1"/>
  <c r="Y120" i="3" s="1"/>
  <c r="AA120" i="3" s="1"/>
  <c r="AB104" i="3"/>
  <c r="AC104" i="3" s="1"/>
  <c r="AB96" i="3"/>
  <c r="AC96" i="3" s="1"/>
  <c r="T91" i="3"/>
  <c r="V91" i="3"/>
  <c r="AB91" i="3" s="1"/>
  <c r="AC91" i="3" s="1"/>
  <c r="AC135" i="3"/>
  <c r="X85" i="3"/>
  <c r="Y85" i="3" s="1"/>
  <c r="AA85" i="3" s="1"/>
  <c r="AC113" i="3"/>
  <c r="T79" i="3"/>
  <c r="V79" i="3"/>
  <c r="AB79" i="3" s="1"/>
  <c r="AC79" i="3" s="1"/>
  <c r="AB49" i="3"/>
  <c r="AC49" i="3" s="1"/>
  <c r="V85" i="3"/>
  <c r="T85" i="3"/>
  <c r="T73" i="3"/>
  <c r="V73" i="3"/>
  <c r="AB73" i="3" s="1"/>
  <c r="AC73" i="3" s="1"/>
  <c r="T68" i="3"/>
  <c r="V68" i="3"/>
  <c r="AB68" i="3" s="1"/>
  <c r="AC68" i="3" s="1"/>
  <c r="T61" i="3"/>
  <c r="V61" i="3"/>
  <c r="AB61" i="3" s="1"/>
  <c r="AC61" i="3" s="1"/>
  <c r="V106" i="3"/>
  <c r="AB106" i="3" s="1"/>
  <c r="AC106" i="3" s="1"/>
  <c r="T106" i="3"/>
  <c r="T33" i="3"/>
  <c r="V33" i="3"/>
  <c r="AB33" i="3" s="1"/>
  <c r="AC33" i="3" s="1"/>
  <c r="V47" i="3"/>
  <c r="AB47" i="3" s="1"/>
  <c r="AC47" i="3" s="1"/>
  <c r="T47" i="3"/>
  <c r="V44" i="3"/>
  <c r="AB44" i="3" s="1"/>
  <c r="AC44" i="3" s="1"/>
  <c r="T44" i="3"/>
  <c r="V41" i="3"/>
  <c r="AB41" i="3" s="1"/>
  <c r="AC41" i="3" s="1"/>
  <c r="T41" i="3"/>
  <c r="V32" i="3"/>
  <c r="AB32" i="3" s="1"/>
  <c r="AC32" i="3" s="1"/>
  <c r="T32" i="3"/>
  <c r="T20" i="3"/>
  <c r="V20" i="3"/>
  <c r="AB20" i="3" s="1"/>
  <c r="AC20" i="3" s="1"/>
  <c r="V55" i="3"/>
  <c r="AB55" i="3" s="1"/>
  <c r="AC55" i="3" s="1"/>
  <c r="T55" i="3"/>
  <c r="AB34" i="3"/>
  <c r="AC34" i="3" s="1"/>
  <c r="V16" i="3"/>
  <c r="AB16" i="3" s="1"/>
  <c r="AC16" i="3" s="1"/>
  <c r="T16" i="3"/>
  <c r="V14" i="3"/>
  <c r="AB14" i="3" s="1"/>
  <c r="AC14" i="3" s="1"/>
  <c r="T14" i="3"/>
  <c r="V267" i="3"/>
  <c r="AB267" i="3" s="1"/>
  <c r="AC267" i="3" s="1"/>
  <c r="T267" i="3"/>
  <c r="V231" i="3"/>
  <c r="AB231" i="3" s="1"/>
  <c r="AC231" i="3" s="1"/>
  <c r="T231" i="3"/>
  <c r="AB228" i="3"/>
  <c r="AC228" i="3" s="1"/>
  <c r="V235" i="3"/>
  <c r="T235" i="3"/>
  <c r="X235" i="3" s="1"/>
  <c r="Y235" i="3" s="1"/>
  <c r="AA235" i="3" s="1"/>
  <c r="V226" i="3"/>
  <c r="AB226" i="3" s="1"/>
  <c r="AC226" i="3" s="1"/>
  <c r="T226" i="3"/>
  <c r="V220" i="3"/>
  <c r="T220" i="3"/>
  <c r="AB191" i="3"/>
  <c r="AC191" i="3" s="1"/>
  <c r="T183" i="3"/>
  <c r="V183" i="3"/>
  <c r="AB183" i="3" s="1"/>
  <c r="AC183" i="3" s="1"/>
  <c r="T201" i="3"/>
  <c r="X201" i="3" s="1"/>
  <c r="Y201" i="3" s="1"/>
  <c r="AA201" i="3" s="1"/>
  <c r="V201" i="3"/>
  <c r="V194" i="3"/>
  <c r="AB194" i="3" s="1"/>
  <c r="AC194" i="3" s="1"/>
  <c r="T194" i="3"/>
  <c r="V179" i="3"/>
  <c r="T179" i="3"/>
  <c r="V171" i="3"/>
  <c r="AB171" i="3" s="1"/>
  <c r="AC171" i="3" s="1"/>
  <c r="T171" i="3"/>
  <c r="T146" i="3"/>
  <c r="V146" i="3"/>
  <c r="AB146" i="3" s="1"/>
  <c r="AC146" i="3" s="1"/>
  <c r="V162" i="3"/>
  <c r="AB162" i="3" s="1"/>
  <c r="AC162" i="3" s="1"/>
  <c r="T162" i="3"/>
  <c r="V147" i="3"/>
  <c r="AB147" i="3" s="1"/>
  <c r="AC147" i="3" s="1"/>
  <c r="T147" i="3"/>
  <c r="T137" i="3"/>
  <c r="V137" i="3"/>
  <c r="AB137" i="3" s="1"/>
  <c r="AC137" i="3" s="1"/>
  <c r="V168" i="3"/>
  <c r="AB168" i="3" s="1"/>
  <c r="AC168" i="3" s="1"/>
  <c r="T168" i="3"/>
  <c r="T160" i="3"/>
  <c r="V160" i="3"/>
  <c r="AB160" i="3" s="1"/>
  <c r="AC160" i="3" s="1"/>
  <c r="T149" i="3"/>
  <c r="V149" i="3"/>
  <c r="AB149" i="3" s="1"/>
  <c r="AC149" i="3" s="1"/>
  <c r="AB109" i="3"/>
  <c r="AC109" i="3" s="1"/>
  <c r="AB84" i="3"/>
  <c r="AC84" i="3" s="1"/>
  <c r="V119" i="3"/>
  <c r="T119" i="3"/>
  <c r="X119" i="3" s="1"/>
  <c r="Y119" i="3" s="1"/>
  <c r="AA119" i="3" s="1"/>
  <c r="V134" i="3"/>
  <c r="AB134" i="3" s="1"/>
  <c r="AC134" i="3" s="1"/>
  <c r="T134" i="3"/>
  <c r="V117" i="3"/>
  <c r="T117" i="3"/>
  <c r="X117" i="3" s="1"/>
  <c r="Y117" i="3" s="1"/>
  <c r="AA117" i="3" s="1"/>
  <c r="AB98" i="3"/>
  <c r="AC98" i="3" s="1"/>
  <c r="AC112" i="3"/>
  <c r="AB57" i="3"/>
  <c r="AC57" i="3" s="1"/>
  <c r="T53" i="3"/>
  <c r="V53" i="3"/>
  <c r="AB53" i="3" s="1"/>
  <c r="AC53" i="3" s="1"/>
  <c r="T45" i="3"/>
  <c r="V45" i="3"/>
  <c r="AB45" i="3" s="1"/>
  <c r="AC45" i="3" s="1"/>
  <c r="V66" i="3"/>
  <c r="AB66" i="3" s="1"/>
  <c r="AC66" i="3" s="1"/>
  <c r="T66" i="3"/>
  <c r="AB51" i="3"/>
  <c r="AC51" i="3" s="1"/>
  <c r="AC111" i="3"/>
  <c r="V90" i="3"/>
  <c r="AB90" i="3" s="1"/>
  <c r="AC90" i="3" s="1"/>
  <c r="T90" i="3"/>
  <c r="V50" i="3"/>
  <c r="AB50" i="3" s="1"/>
  <c r="AC50" i="3" s="1"/>
  <c r="T50" i="3"/>
  <c r="V54" i="3"/>
  <c r="AB54" i="3" s="1"/>
  <c r="AC54" i="3" s="1"/>
  <c r="T54" i="3"/>
  <c r="V42" i="3"/>
  <c r="AB42" i="3" s="1"/>
  <c r="AC42" i="3" s="1"/>
  <c r="T42" i="3"/>
  <c r="V35" i="3"/>
  <c r="AB35" i="3" s="1"/>
  <c r="AC35" i="3" s="1"/>
  <c r="T35" i="3"/>
  <c r="AC28" i="3"/>
  <c r="V21" i="3"/>
  <c r="AB21" i="3" s="1"/>
  <c r="AC21" i="3" s="1"/>
  <c r="T21" i="3"/>
  <c r="V39" i="3"/>
  <c r="AB39" i="3" s="1"/>
  <c r="AC39" i="3" s="1"/>
  <c r="T39" i="3"/>
  <c r="V25" i="3"/>
  <c r="AB25" i="3" s="1"/>
  <c r="AC25" i="3" s="1"/>
  <c r="T25" i="3"/>
  <c r="AB261" i="3"/>
  <c r="AC261" i="3" s="1"/>
  <c r="T265" i="3"/>
  <c r="V265" i="3"/>
  <c r="AB265" i="3" s="1"/>
  <c r="AC265" i="3" s="1"/>
  <c r="X271" i="3"/>
  <c r="Y258" i="3"/>
  <c r="T247" i="3"/>
  <c r="X247" i="3" s="1"/>
  <c r="Y247" i="3" s="1"/>
  <c r="AA247" i="3" s="1"/>
  <c r="V247" i="3"/>
  <c r="V264" i="3"/>
  <c r="AB264" i="3" s="1"/>
  <c r="AC264" i="3" s="1"/>
  <c r="T264" i="3"/>
  <c r="V263" i="3"/>
  <c r="AB263" i="3" s="1"/>
  <c r="AC263" i="3" s="1"/>
  <c r="T263" i="3"/>
  <c r="V237" i="3"/>
  <c r="AB237" i="3" s="1"/>
  <c r="AC237" i="3" s="1"/>
  <c r="T237" i="3"/>
  <c r="AB280" i="3"/>
  <c r="AC280" i="3" s="1"/>
  <c r="V251" i="3"/>
  <c r="AB251" i="3" s="1"/>
  <c r="AC251" i="3" s="1"/>
  <c r="T251" i="3"/>
  <c r="T222" i="3"/>
  <c r="V222" i="3"/>
  <c r="T245" i="3"/>
  <c r="V245" i="3"/>
  <c r="R255" i="3"/>
  <c r="AB232" i="3"/>
  <c r="AC232" i="3" s="1"/>
  <c r="V229" i="3"/>
  <c r="AB229" i="3" s="1"/>
  <c r="AC229" i="3" s="1"/>
  <c r="T229" i="3"/>
  <c r="V199" i="3"/>
  <c r="AB199" i="3" s="1"/>
  <c r="AC199" i="3" s="1"/>
  <c r="T199" i="3"/>
  <c r="P208" i="3"/>
  <c r="D26" i="1" s="1"/>
  <c r="V166" i="3"/>
  <c r="AB166" i="3" s="1"/>
  <c r="AC166" i="3" s="1"/>
  <c r="T166" i="3"/>
  <c r="V230" i="3"/>
  <c r="AB230" i="3" s="1"/>
  <c r="AC230" i="3" s="1"/>
  <c r="T230" i="3"/>
  <c r="AC203" i="3"/>
  <c r="V196" i="3"/>
  <c r="T196" i="3"/>
  <c r="AB179" i="3"/>
  <c r="AC179" i="3" s="1"/>
  <c r="Q174" i="3"/>
  <c r="V195" i="3"/>
  <c r="AB195" i="3" s="1"/>
  <c r="AC195" i="3" s="1"/>
  <c r="T195" i="3"/>
  <c r="AC180" i="3"/>
  <c r="T165" i="3"/>
  <c r="V165" i="3"/>
  <c r="AB165" i="3" s="1"/>
  <c r="AC165" i="3" s="1"/>
  <c r="T151" i="3"/>
  <c r="V151" i="3"/>
  <c r="AB151" i="3" s="1"/>
  <c r="AC151" i="3" s="1"/>
  <c r="V148" i="3"/>
  <c r="AB148" i="3" s="1"/>
  <c r="AC148" i="3" s="1"/>
  <c r="T148" i="3"/>
  <c r="T141" i="3"/>
  <c r="V141" i="3"/>
  <c r="AB141" i="3" s="1"/>
  <c r="AC141" i="3" s="1"/>
  <c r="V122" i="3"/>
  <c r="T122" i="3"/>
  <c r="X122" i="3" s="1"/>
  <c r="Y122" i="3" s="1"/>
  <c r="AA122" i="3" s="1"/>
  <c r="T118" i="3"/>
  <c r="X118" i="3" s="1"/>
  <c r="Y118" i="3" s="1"/>
  <c r="AA118" i="3" s="1"/>
  <c r="V118" i="3"/>
  <c r="AB114" i="3"/>
  <c r="AC114" i="3" s="1"/>
  <c r="V136" i="3"/>
  <c r="AB136" i="3" s="1"/>
  <c r="AC136" i="3" s="1"/>
  <c r="T136" i="3"/>
  <c r="V126" i="3"/>
  <c r="AB126" i="3" s="1"/>
  <c r="AC126" i="3" s="1"/>
  <c r="T126" i="3"/>
  <c r="T107" i="3"/>
  <c r="V107" i="3"/>
  <c r="AB107" i="3" s="1"/>
  <c r="AC107" i="3" s="1"/>
  <c r="T103" i="3"/>
  <c r="V103" i="3"/>
  <c r="AB103" i="3" s="1"/>
  <c r="AC103" i="3" s="1"/>
  <c r="T99" i="3"/>
  <c r="V99" i="3"/>
  <c r="AB99" i="3" s="1"/>
  <c r="AC99" i="3" s="1"/>
  <c r="AB86" i="3"/>
  <c r="AC86" i="3" s="1"/>
  <c r="T83" i="3"/>
  <c r="V83" i="3"/>
  <c r="AB83" i="3" s="1"/>
  <c r="AC83" i="3" s="1"/>
  <c r="V108" i="3"/>
  <c r="AB108" i="3" s="1"/>
  <c r="AC108" i="3" s="1"/>
  <c r="T108" i="3"/>
  <c r="V102" i="3"/>
  <c r="AB102" i="3" s="1"/>
  <c r="AC102" i="3" s="1"/>
  <c r="T102" i="3"/>
  <c r="V81" i="3"/>
  <c r="AB81" i="3" s="1"/>
  <c r="AC81" i="3" s="1"/>
  <c r="T81" i="3"/>
  <c r="V82" i="3"/>
  <c r="AB82" i="3" s="1"/>
  <c r="AC82" i="3" s="1"/>
  <c r="T82" i="3"/>
  <c r="T76" i="3"/>
  <c r="V76" i="3"/>
  <c r="AB76" i="3" s="1"/>
  <c r="AC76" i="3" s="1"/>
  <c r="V72" i="3"/>
  <c r="AB72" i="3" s="1"/>
  <c r="AC72" i="3" s="1"/>
  <c r="T72" i="3"/>
  <c r="T48" i="3"/>
  <c r="V48" i="3"/>
  <c r="AB48" i="3" s="1"/>
  <c r="AC48" i="3" s="1"/>
  <c r="AB43" i="3"/>
  <c r="AC43" i="3" s="1"/>
  <c r="T36" i="3"/>
  <c r="V36" i="3"/>
  <c r="AB36" i="3" s="1"/>
  <c r="AC36" i="3" s="1"/>
  <c r="T64" i="3"/>
  <c r="V64" i="3"/>
  <c r="AB64" i="3" s="1"/>
  <c r="AC64" i="3" s="1"/>
  <c r="Y13" i="3"/>
  <c r="V52" i="3"/>
  <c r="AB52" i="3" s="1"/>
  <c r="AC52" i="3" s="1"/>
  <c r="T52" i="3"/>
  <c r="V23" i="3"/>
  <c r="AB23" i="3" s="1"/>
  <c r="AC23" i="3" s="1"/>
  <c r="T23" i="3"/>
  <c r="V40" i="3"/>
  <c r="AB40" i="3" s="1"/>
  <c r="AC40" i="3" s="1"/>
  <c r="T40" i="3"/>
  <c r="V37" i="3"/>
  <c r="AB37" i="3" s="1"/>
  <c r="AC37" i="3" s="1"/>
  <c r="T37" i="3"/>
  <c r="V29" i="3"/>
  <c r="AB29" i="3" s="1"/>
  <c r="AC29" i="3" s="1"/>
  <c r="T29" i="3"/>
  <c r="X317" i="2"/>
  <c r="Y317" i="2" s="1"/>
  <c r="AA317" i="2" s="1"/>
  <c r="R302" i="2"/>
  <c r="V302" i="2" s="1"/>
  <c r="X302" i="2"/>
  <c r="R31" i="2"/>
  <c r="V31" i="2" s="1"/>
  <c r="R222" i="2"/>
  <c r="T222" i="2" s="1"/>
  <c r="X31" i="2"/>
  <c r="Y31" i="2" s="1"/>
  <c r="AA31" i="2" s="1"/>
  <c r="R256" i="2"/>
  <c r="V256" i="2" s="1"/>
  <c r="X222" i="2"/>
  <c r="Y222" i="2" s="1"/>
  <c r="AA222" i="2" s="1"/>
  <c r="R221" i="2"/>
  <c r="V221" i="2" s="1"/>
  <c r="X221" i="2"/>
  <c r="Y221" i="2" s="1"/>
  <c r="AA221" i="2" s="1"/>
  <c r="R317" i="2"/>
  <c r="T317" i="2" s="1"/>
  <c r="R318" i="2"/>
  <c r="V318" i="2" s="1"/>
  <c r="X256" i="2"/>
  <c r="Y256" i="2" s="1"/>
  <c r="AA256" i="2" s="1"/>
  <c r="X318" i="2"/>
  <c r="Y318" i="2" s="1"/>
  <c r="AA318" i="2" s="1"/>
  <c r="X186" i="3" l="1"/>
  <c r="AB235" i="3"/>
  <c r="AC235" i="3" s="1"/>
  <c r="Y186" i="3"/>
  <c r="AB178" i="3"/>
  <c r="AC178" i="3" s="1"/>
  <c r="D22" i="1"/>
  <c r="Q156" i="3"/>
  <c r="V255" i="3"/>
  <c r="E34" i="1" s="1"/>
  <c r="R156" i="3"/>
  <c r="T255" i="3"/>
  <c r="T31" i="2"/>
  <c r="T302" i="2"/>
  <c r="T256" i="2"/>
  <c r="AA13" i="3"/>
  <c r="Y271" i="3"/>
  <c r="AA258" i="3"/>
  <c r="AB124" i="3"/>
  <c r="AC124" i="3" s="1"/>
  <c r="V236" i="3"/>
  <c r="T236" i="3"/>
  <c r="T163" i="3"/>
  <c r="V163" i="3"/>
  <c r="V208" i="3"/>
  <c r="E26" i="1" s="1"/>
  <c r="AA255" i="3"/>
  <c r="F34" i="1" s="1"/>
  <c r="AB243" i="3"/>
  <c r="AC243" i="3" s="1"/>
  <c r="T271" i="3"/>
  <c r="AB121" i="3"/>
  <c r="AC121" i="3" s="1"/>
  <c r="AB247" i="3"/>
  <c r="AC247" i="3" s="1"/>
  <c r="AB201" i="3"/>
  <c r="AC201" i="3" s="1"/>
  <c r="AB120" i="3"/>
  <c r="AC120" i="3" s="1"/>
  <c r="V186" i="3"/>
  <c r="E24" i="1" s="1"/>
  <c r="AB202" i="3"/>
  <c r="AC202" i="3" s="1"/>
  <c r="AB196" i="3"/>
  <c r="AC196" i="3" s="1"/>
  <c r="Y255" i="3"/>
  <c r="AB118" i="3"/>
  <c r="AC118" i="3" s="1"/>
  <c r="AB117" i="3"/>
  <c r="AC117" i="3" s="1"/>
  <c r="AB119" i="3"/>
  <c r="AC119" i="3" s="1"/>
  <c r="AB85" i="3"/>
  <c r="AC85" i="3" s="1"/>
  <c r="AA283" i="3"/>
  <c r="V123" i="3"/>
  <c r="V156" i="3" s="1"/>
  <c r="E20" i="1" s="1"/>
  <c r="T123" i="3"/>
  <c r="X123" i="3" s="1"/>
  <c r="AA186" i="3"/>
  <c r="F24" i="1" s="1"/>
  <c r="AB177" i="3"/>
  <c r="AB186" i="3" s="1"/>
  <c r="G24" i="1" s="1"/>
  <c r="AB245" i="3"/>
  <c r="AC245" i="3" s="1"/>
  <c r="AB234" i="3"/>
  <c r="AC234" i="3" s="1"/>
  <c r="AB122" i="3"/>
  <c r="AC122" i="3" s="1"/>
  <c r="AA208" i="3"/>
  <c r="F26" i="1" s="1"/>
  <c r="T186" i="3"/>
  <c r="X255" i="3"/>
  <c r="T208" i="3"/>
  <c r="V271" i="3"/>
  <c r="E38" i="1" s="1"/>
  <c r="T318" i="2"/>
  <c r="AB221" i="2"/>
  <c r="AC221" i="2" s="1"/>
  <c r="Y302" i="2"/>
  <c r="T221" i="2"/>
  <c r="V222" i="2"/>
  <c r="AB222" i="2" s="1"/>
  <c r="AC222" i="2" s="1"/>
  <c r="AB31" i="2"/>
  <c r="AC31" i="2" s="1"/>
  <c r="V317" i="2"/>
  <c r="AB317" i="2" s="1"/>
  <c r="AC317" i="2" s="1"/>
  <c r="AB318" i="2"/>
  <c r="AC318" i="2" s="1"/>
  <c r="AB256" i="2"/>
  <c r="AC256" i="2" s="1"/>
  <c r="N30" i="2"/>
  <c r="AH278" i="2"/>
  <c r="AG278" i="2"/>
  <c r="AE278" i="2"/>
  <c r="AD278" i="2"/>
  <c r="P278" i="2"/>
  <c r="Q278" i="2" s="1"/>
  <c r="K278" i="2"/>
  <c r="AF278" i="2" s="1"/>
  <c r="AH286" i="2"/>
  <c r="AG286" i="2"/>
  <c r="AE286" i="2"/>
  <c r="AD286" i="2"/>
  <c r="P286" i="2"/>
  <c r="Q286" i="2" s="1"/>
  <c r="K286" i="2"/>
  <c r="AF286" i="2" s="1"/>
  <c r="AH285" i="2"/>
  <c r="AG285" i="2"/>
  <c r="AE285" i="2"/>
  <c r="AD285" i="2"/>
  <c r="K285" i="2"/>
  <c r="AF285" i="2" s="1"/>
  <c r="AH234" i="2"/>
  <c r="AG234" i="2"/>
  <c r="AE234" i="2"/>
  <c r="AD234" i="2"/>
  <c r="P234" i="2"/>
  <c r="Q234" i="2" s="1"/>
  <c r="K234" i="2"/>
  <c r="AF234" i="2" s="1"/>
  <c r="AH220" i="2"/>
  <c r="AG220" i="2"/>
  <c r="AE220" i="2"/>
  <c r="AD220" i="2"/>
  <c r="P220" i="2"/>
  <c r="Q220" i="2" s="1"/>
  <c r="K220" i="2"/>
  <c r="AF220" i="2" s="1"/>
  <c r="AH203" i="2"/>
  <c r="AG203" i="2"/>
  <c r="AE203" i="2"/>
  <c r="AD203" i="2"/>
  <c r="P203" i="2"/>
  <c r="Q203" i="2" s="1"/>
  <c r="K203" i="2"/>
  <c r="AF203" i="2" s="1"/>
  <c r="AH202" i="2"/>
  <c r="AG202" i="2"/>
  <c r="AE202" i="2"/>
  <c r="AD202" i="2"/>
  <c r="P202" i="2"/>
  <c r="Q202" i="2" s="1"/>
  <c r="K202" i="2"/>
  <c r="AF202" i="2" s="1"/>
  <c r="AH201" i="2"/>
  <c r="AG201" i="2"/>
  <c r="AE201" i="2"/>
  <c r="AD201" i="2"/>
  <c r="P201" i="2"/>
  <c r="Q201" i="2" s="1"/>
  <c r="K201" i="2"/>
  <c r="AF201" i="2" s="1"/>
  <c r="AH255" i="2"/>
  <c r="AG255" i="2"/>
  <c r="AE255" i="2"/>
  <c r="AD255" i="2"/>
  <c r="P255" i="2"/>
  <c r="Q255" i="2" s="1"/>
  <c r="K255" i="2"/>
  <c r="AF255" i="2" s="1"/>
  <c r="AH254" i="2"/>
  <c r="AG254" i="2"/>
  <c r="AE254" i="2"/>
  <c r="AD254" i="2"/>
  <c r="P254" i="2"/>
  <c r="Q254" i="2" s="1"/>
  <c r="K254" i="2"/>
  <c r="AF254" i="2" s="1"/>
  <c r="AH200" i="2"/>
  <c r="AG200" i="2"/>
  <c r="AE200" i="2"/>
  <c r="AD200" i="2"/>
  <c r="P200" i="2"/>
  <c r="Q200" i="2" s="1"/>
  <c r="K200" i="2"/>
  <c r="AF200" i="2" s="1"/>
  <c r="T174" i="3" l="1"/>
  <c r="X163" i="3"/>
  <c r="X236" i="3"/>
  <c r="V174" i="3"/>
  <c r="E22" i="1" s="1"/>
  <c r="AB208" i="3"/>
  <c r="G26" i="1" s="1"/>
  <c r="AC208" i="3"/>
  <c r="H26" i="1" s="1"/>
  <c r="AB283" i="3"/>
  <c r="T156" i="3"/>
  <c r="AB13" i="3"/>
  <c r="AC13" i="3" s="1"/>
  <c r="AC255" i="3"/>
  <c r="H34" i="1" s="1"/>
  <c r="Y123" i="3"/>
  <c r="X156" i="3"/>
  <c r="AC177" i="3"/>
  <c r="AB255" i="3"/>
  <c r="G34" i="1" s="1"/>
  <c r="AA271" i="3"/>
  <c r="F38" i="1" s="1"/>
  <c r="AB258" i="3"/>
  <c r="AB271" i="3" s="1"/>
  <c r="G38" i="1" s="1"/>
  <c r="AA302" i="2"/>
  <c r="R278" i="2"/>
  <c r="V278" i="2" s="1"/>
  <c r="R286" i="2"/>
  <c r="V286" i="2" s="1"/>
  <c r="X202" i="2"/>
  <c r="Y202" i="2" s="1"/>
  <c r="AA202" i="2" s="1"/>
  <c r="X286" i="2"/>
  <c r="Y286" i="2" s="1"/>
  <c r="AA286" i="2" s="1"/>
  <c r="P285" i="2"/>
  <c r="Q285" i="2" s="1"/>
  <c r="X285" i="2" s="1"/>
  <c r="Y285" i="2" s="1"/>
  <c r="AA285" i="2" s="1"/>
  <c r="X203" i="2"/>
  <c r="Y203" i="2" s="1"/>
  <c r="AA203" i="2" s="1"/>
  <c r="R234" i="2"/>
  <c r="V234" i="2" s="1"/>
  <c r="X234" i="2"/>
  <c r="Y234" i="2" s="1"/>
  <c r="AA234" i="2" s="1"/>
  <c r="R201" i="2"/>
  <c r="V201" i="2" s="1"/>
  <c r="R220" i="2"/>
  <c r="T220" i="2" s="1"/>
  <c r="X220" i="2"/>
  <c r="Y220" i="2" s="1"/>
  <c r="AA220" i="2" s="1"/>
  <c r="R203" i="2"/>
  <c r="R202" i="2"/>
  <c r="T202" i="2" s="1"/>
  <c r="R255" i="2"/>
  <c r="V255" i="2" s="1"/>
  <c r="X255" i="2"/>
  <c r="Y255" i="2" s="1"/>
  <c r="AA255" i="2" s="1"/>
  <c r="X201" i="2"/>
  <c r="Y201" i="2" s="1"/>
  <c r="AA201" i="2" s="1"/>
  <c r="R254" i="2"/>
  <c r="V254" i="2" s="1"/>
  <c r="X200" i="2"/>
  <c r="Y200" i="2" s="1"/>
  <c r="AA200" i="2" s="1"/>
  <c r="X254" i="2"/>
  <c r="Y254" i="2" s="1"/>
  <c r="AA254" i="2" s="1"/>
  <c r="R200" i="2"/>
  <c r="V200" i="2" s="1"/>
  <c r="AH316" i="2"/>
  <c r="AG316" i="2"/>
  <c r="AE316" i="2"/>
  <c r="AD316" i="2"/>
  <c r="P316" i="2"/>
  <c r="Q316" i="2" s="1"/>
  <c r="K316" i="2"/>
  <c r="AF316" i="2" s="1"/>
  <c r="AH315" i="2"/>
  <c r="AG315" i="2"/>
  <c r="AE315" i="2"/>
  <c r="AD315" i="2"/>
  <c r="P315" i="2"/>
  <c r="Q315" i="2" s="1"/>
  <c r="K315" i="2"/>
  <c r="AF315" i="2" s="1"/>
  <c r="AH314" i="2"/>
  <c r="AG314" i="2"/>
  <c r="AE314" i="2"/>
  <c r="AD314" i="2"/>
  <c r="P314" i="2"/>
  <c r="Q314" i="2" s="1"/>
  <c r="K314" i="2"/>
  <c r="AF314" i="2" s="1"/>
  <c r="AH313" i="2"/>
  <c r="AG313" i="2"/>
  <c r="AE313" i="2"/>
  <c r="AD313" i="2"/>
  <c r="P313" i="2"/>
  <c r="Q313" i="2" s="1"/>
  <c r="K313" i="2"/>
  <c r="AF313" i="2" s="1"/>
  <c r="AH312" i="2"/>
  <c r="AG312" i="2"/>
  <c r="AE312" i="2"/>
  <c r="AD312" i="2"/>
  <c r="P312" i="2"/>
  <c r="Q312" i="2" s="1"/>
  <c r="K312" i="2"/>
  <c r="AF312" i="2" s="1"/>
  <c r="AH311" i="2"/>
  <c r="AG311" i="2"/>
  <c r="AE311" i="2"/>
  <c r="AD311" i="2"/>
  <c r="N311" i="2"/>
  <c r="P311" i="2" s="1"/>
  <c r="Q311" i="2" s="1"/>
  <c r="K311" i="2"/>
  <c r="AF311" i="2" s="1"/>
  <c r="AH310" i="2"/>
  <c r="AG310" i="2"/>
  <c r="AE310" i="2"/>
  <c r="AD310" i="2"/>
  <c r="N310" i="2"/>
  <c r="P310" i="2" s="1"/>
  <c r="Q310" i="2" s="1"/>
  <c r="K310" i="2"/>
  <c r="AF310" i="2" s="1"/>
  <c r="AH309" i="2"/>
  <c r="AG309" i="2"/>
  <c r="AE309" i="2"/>
  <c r="AD309" i="2"/>
  <c r="P309" i="2"/>
  <c r="Q309" i="2" s="1"/>
  <c r="K309" i="2"/>
  <c r="AF309" i="2" s="1"/>
  <c r="AH308" i="2"/>
  <c r="AG308" i="2"/>
  <c r="AE308" i="2"/>
  <c r="AD308" i="2"/>
  <c r="P308" i="2"/>
  <c r="Q308" i="2" s="1"/>
  <c r="K308" i="2"/>
  <c r="AF308" i="2" s="1"/>
  <c r="AH307" i="2"/>
  <c r="AG307" i="2"/>
  <c r="AE307" i="2"/>
  <c r="AD307" i="2"/>
  <c r="P307" i="2"/>
  <c r="K307" i="2"/>
  <c r="AF307" i="2" s="1"/>
  <c r="L304" i="2"/>
  <c r="AH301" i="2"/>
  <c r="AG301" i="2"/>
  <c r="AE301" i="2"/>
  <c r="AD301" i="2"/>
  <c r="N301" i="2"/>
  <c r="P301" i="2" s="1"/>
  <c r="Q301" i="2" s="1"/>
  <c r="K301" i="2"/>
  <c r="AF301" i="2" s="1"/>
  <c r="AH300" i="2"/>
  <c r="AG300" i="2"/>
  <c r="AE300" i="2"/>
  <c r="AD300" i="2"/>
  <c r="P300" i="2"/>
  <c r="Q300" i="2" s="1"/>
  <c r="K300" i="2"/>
  <c r="AF300" i="2" s="1"/>
  <c r="AH299" i="2"/>
  <c r="AG299" i="2"/>
  <c r="AE299" i="2"/>
  <c r="AD299" i="2"/>
  <c r="P299" i="2"/>
  <c r="Q299" i="2" s="1"/>
  <c r="K299" i="2"/>
  <c r="AF299" i="2" s="1"/>
  <c r="AH298" i="2"/>
  <c r="AG298" i="2"/>
  <c r="AE298" i="2"/>
  <c r="AD298" i="2"/>
  <c r="P298" i="2"/>
  <c r="Q298" i="2" s="1"/>
  <c r="K298" i="2"/>
  <c r="AF298" i="2" s="1"/>
  <c r="AH297" i="2"/>
  <c r="AG297" i="2"/>
  <c r="AE297" i="2"/>
  <c r="AD297" i="2"/>
  <c r="P297" i="2"/>
  <c r="Q297" i="2" s="1"/>
  <c r="K297" i="2"/>
  <c r="AF297" i="2" s="1"/>
  <c r="AH296" i="2"/>
  <c r="AG296" i="2"/>
  <c r="AE296" i="2"/>
  <c r="AD296" i="2"/>
  <c r="P296" i="2"/>
  <c r="Q296" i="2" s="1"/>
  <c r="K296" i="2"/>
  <c r="AF296" i="2" s="1"/>
  <c r="AH295" i="2"/>
  <c r="AG295" i="2"/>
  <c r="AE295" i="2"/>
  <c r="AD295" i="2"/>
  <c r="P295" i="2"/>
  <c r="Q295" i="2" s="1"/>
  <c r="K295" i="2"/>
  <c r="AF295" i="2" s="1"/>
  <c r="AH294" i="2"/>
  <c r="AG294" i="2"/>
  <c r="AE294" i="2"/>
  <c r="AD294" i="2"/>
  <c r="N294" i="2"/>
  <c r="P294" i="2" s="1"/>
  <c r="Q294" i="2" s="1"/>
  <c r="K294" i="2"/>
  <c r="AF294" i="2" s="1"/>
  <c r="AH293" i="2"/>
  <c r="AG293" i="2"/>
  <c r="AE293" i="2"/>
  <c r="AD293" i="2"/>
  <c r="P293" i="2"/>
  <c r="Q293" i="2" s="1"/>
  <c r="K293" i="2"/>
  <c r="AF293" i="2" s="1"/>
  <c r="AH292" i="2"/>
  <c r="AG292" i="2"/>
  <c r="AE292" i="2"/>
  <c r="AD292" i="2"/>
  <c r="Q292" i="2"/>
  <c r="P292" i="2"/>
  <c r="K292" i="2"/>
  <c r="AF292" i="2" s="1"/>
  <c r="AH284" i="2"/>
  <c r="AG284" i="2"/>
  <c r="AE284" i="2"/>
  <c r="AD284" i="2"/>
  <c r="N284" i="2"/>
  <c r="P284" i="2" s="1"/>
  <c r="Q284" i="2" s="1"/>
  <c r="K284" i="2"/>
  <c r="AF284" i="2" s="1"/>
  <c r="AH283" i="2"/>
  <c r="AG283" i="2"/>
  <c r="AE283" i="2"/>
  <c r="AD283" i="2"/>
  <c r="P283" i="2"/>
  <c r="Q283" i="2" s="1"/>
  <c r="K283" i="2"/>
  <c r="AF283" i="2" s="1"/>
  <c r="AH282" i="2"/>
  <c r="AG282" i="2"/>
  <c r="AE282" i="2"/>
  <c r="AD282" i="2"/>
  <c r="P282" i="2"/>
  <c r="Q282" i="2" s="1"/>
  <c r="K282" i="2"/>
  <c r="AF282" i="2" s="1"/>
  <c r="AH281" i="2"/>
  <c r="AG281" i="2"/>
  <c r="AE281" i="2"/>
  <c r="AD281" i="2"/>
  <c r="P281" i="2"/>
  <c r="Q281" i="2" s="1"/>
  <c r="K281" i="2"/>
  <c r="AF281" i="2" s="1"/>
  <c r="AH280" i="2"/>
  <c r="AG280" i="2"/>
  <c r="AE280" i="2"/>
  <c r="AD280" i="2"/>
  <c r="P280" i="2"/>
  <c r="K280" i="2"/>
  <c r="AF280" i="2" s="1"/>
  <c r="AH279" i="2"/>
  <c r="AG279" i="2"/>
  <c r="AE279" i="2"/>
  <c r="AD279" i="2"/>
  <c r="P279" i="2"/>
  <c r="Q279" i="2" s="1"/>
  <c r="K279" i="2"/>
  <c r="AF279" i="2" s="1"/>
  <c r="AH277" i="2"/>
  <c r="AG277" i="2"/>
  <c r="AE277" i="2"/>
  <c r="AD277" i="2"/>
  <c r="P277" i="2"/>
  <c r="Q277" i="2" s="1"/>
  <c r="K277" i="2"/>
  <c r="AF277" i="2" s="1"/>
  <c r="AH276" i="2"/>
  <c r="AG276" i="2"/>
  <c r="AE276" i="2"/>
  <c r="AD276" i="2"/>
  <c r="P276" i="2"/>
  <c r="Q276" i="2" s="1"/>
  <c r="K276" i="2"/>
  <c r="AF276" i="2" s="1"/>
  <c r="AH275" i="2"/>
  <c r="AG275" i="2"/>
  <c r="AE275" i="2"/>
  <c r="AD275" i="2"/>
  <c r="P275" i="2"/>
  <c r="Q275" i="2" s="1"/>
  <c r="K275" i="2"/>
  <c r="AF275" i="2" s="1"/>
  <c r="AH274" i="2"/>
  <c r="AG274" i="2"/>
  <c r="AE274" i="2"/>
  <c r="AD274" i="2"/>
  <c r="P274" i="2"/>
  <c r="Q274" i="2" s="1"/>
  <c r="K274" i="2"/>
  <c r="AF274" i="2" s="1"/>
  <c r="AH273" i="2"/>
  <c r="AG273" i="2"/>
  <c r="AE273" i="2"/>
  <c r="AD273" i="2"/>
  <c r="P273" i="2"/>
  <c r="Q273" i="2" s="1"/>
  <c r="K273" i="2"/>
  <c r="AF273" i="2" s="1"/>
  <c r="AH272" i="2"/>
  <c r="AG272" i="2"/>
  <c r="AE272" i="2"/>
  <c r="AD272" i="2"/>
  <c r="P272" i="2"/>
  <c r="Q272" i="2" s="1"/>
  <c r="K272" i="2"/>
  <c r="AF272" i="2" s="1"/>
  <c r="AH271" i="2"/>
  <c r="AG271" i="2"/>
  <c r="AE271" i="2"/>
  <c r="AD271" i="2"/>
  <c r="P271" i="2"/>
  <c r="Q271" i="2" s="1"/>
  <c r="K271" i="2"/>
  <c r="AF271" i="2" s="1"/>
  <c r="AH270" i="2"/>
  <c r="AG270" i="2"/>
  <c r="AE270" i="2"/>
  <c r="AD270" i="2"/>
  <c r="P270" i="2"/>
  <c r="Q270" i="2" s="1"/>
  <c r="K270" i="2"/>
  <c r="AF270" i="2" s="1"/>
  <c r="AH269" i="2"/>
  <c r="AG269" i="2"/>
  <c r="AE269" i="2"/>
  <c r="AD269" i="2"/>
  <c r="P269" i="2"/>
  <c r="K269" i="2"/>
  <c r="AF269" i="2" s="1"/>
  <c r="AH268" i="2"/>
  <c r="AG268" i="2"/>
  <c r="AE268" i="2"/>
  <c r="AD268" i="2"/>
  <c r="P268" i="2"/>
  <c r="N220" i="3" s="1"/>
  <c r="K268" i="2"/>
  <c r="AF268" i="2" s="1"/>
  <c r="AH262" i="2"/>
  <c r="AG262" i="2"/>
  <c r="AE262" i="2"/>
  <c r="AD262" i="2"/>
  <c r="N262" i="2"/>
  <c r="N264" i="2" s="1"/>
  <c r="K262" i="2"/>
  <c r="AF262" i="2" s="1"/>
  <c r="C258" i="2"/>
  <c r="AH253" i="2"/>
  <c r="AG253" i="2"/>
  <c r="AE253" i="2"/>
  <c r="AD253" i="2"/>
  <c r="P253" i="2"/>
  <c r="Q253" i="2" s="1"/>
  <c r="K253" i="2"/>
  <c r="AF253" i="2" s="1"/>
  <c r="AH252" i="2"/>
  <c r="AG252" i="2"/>
  <c r="AE252" i="2"/>
  <c r="AD252" i="2"/>
  <c r="P252" i="2"/>
  <c r="Q252" i="2" s="1"/>
  <c r="K252" i="2"/>
  <c r="AF252" i="2" s="1"/>
  <c r="AH251" i="2"/>
  <c r="AG251" i="2"/>
  <c r="AE251" i="2"/>
  <c r="AD251" i="2"/>
  <c r="P251" i="2"/>
  <c r="Q251" i="2" s="1"/>
  <c r="K251" i="2"/>
  <c r="AF251" i="2" s="1"/>
  <c r="AH250" i="2"/>
  <c r="AG250" i="2"/>
  <c r="AE250" i="2"/>
  <c r="AD250" i="2"/>
  <c r="P250" i="2"/>
  <c r="Q250" i="2" s="1"/>
  <c r="K250" i="2"/>
  <c r="AF250" i="2" s="1"/>
  <c r="AH249" i="2"/>
  <c r="AG249" i="2"/>
  <c r="AE249" i="2"/>
  <c r="AD249" i="2"/>
  <c r="P249" i="2"/>
  <c r="Q249" i="2" s="1"/>
  <c r="K249" i="2"/>
  <c r="AF249" i="2" s="1"/>
  <c r="AH248" i="2"/>
  <c r="AG248" i="2"/>
  <c r="AE248" i="2"/>
  <c r="AD248" i="2"/>
  <c r="P248" i="2"/>
  <c r="Q248" i="2" s="1"/>
  <c r="K248" i="2"/>
  <c r="AF248" i="2" s="1"/>
  <c r="AH247" i="2"/>
  <c r="AG247" i="2"/>
  <c r="AE247" i="2"/>
  <c r="AD247" i="2"/>
  <c r="P247" i="2"/>
  <c r="Q247" i="2" s="1"/>
  <c r="K247" i="2"/>
  <c r="AF247" i="2" s="1"/>
  <c r="AH246" i="2"/>
  <c r="AG246" i="2"/>
  <c r="AE246" i="2"/>
  <c r="AD246" i="2"/>
  <c r="N246" i="2"/>
  <c r="N258" i="2" s="1"/>
  <c r="K246" i="2"/>
  <c r="AF246" i="2" s="1"/>
  <c r="AH245" i="2"/>
  <c r="AG245" i="2"/>
  <c r="AE245" i="2"/>
  <c r="AD245" i="2"/>
  <c r="P245" i="2"/>
  <c r="Q245" i="2" s="1"/>
  <c r="K245" i="2"/>
  <c r="AF245" i="2" s="1"/>
  <c r="AH244" i="2"/>
  <c r="AG244" i="2"/>
  <c r="AE244" i="2"/>
  <c r="AD244" i="2"/>
  <c r="P244" i="2"/>
  <c r="Q244" i="2" s="1"/>
  <c r="K244" i="2"/>
  <c r="AF244" i="2" s="1"/>
  <c r="AH243" i="2"/>
  <c r="AG243" i="2"/>
  <c r="AE243" i="2"/>
  <c r="AD243" i="2"/>
  <c r="P243" i="2"/>
  <c r="Q243" i="2" s="1"/>
  <c r="K243" i="2"/>
  <c r="AF243" i="2" s="1"/>
  <c r="AH242" i="2"/>
  <c r="AG242" i="2"/>
  <c r="AE242" i="2"/>
  <c r="AD242" i="2"/>
  <c r="P242" i="2"/>
  <c r="Q242" i="2" s="1"/>
  <c r="K242" i="2"/>
  <c r="AF242" i="2" s="1"/>
  <c r="AH241" i="2"/>
  <c r="AG241" i="2"/>
  <c r="AE241" i="2"/>
  <c r="AD241" i="2"/>
  <c r="P241" i="2"/>
  <c r="Q241" i="2" s="1"/>
  <c r="K241" i="2"/>
  <c r="AF241" i="2" s="1"/>
  <c r="D241" i="2"/>
  <c r="D244" i="2" s="1"/>
  <c r="AH240" i="2"/>
  <c r="AG240" i="2"/>
  <c r="AE240" i="2"/>
  <c r="AD240" i="2"/>
  <c r="P240" i="2"/>
  <c r="K240" i="2"/>
  <c r="AF240" i="2" s="1"/>
  <c r="Z236" i="2"/>
  <c r="AH233" i="2"/>
  <c r="AG233" i="2"/>
  <c r="AE233" i="2"/>
  <c r="AD233" i="2"/>
  <c r="P233" i="2"/>
  <c r="Q233" i="2" s="1"/>
  <c r="K233" i="2"/>
  <c r="AF233" i="2" s="1"/>
  <c r="AH232" i="2"/>
  <c r="AG232" i="2"/>
  <c r="AE232" i="2"/>
  <c r="AD232" i="2"/>
  <c r="P232" i="2"/>
  <c r="Q232" i="2" s="1"/>
  <c r="K232" i="2"/>
  <c r="AF232" i="2" s="1"/>
  <c r="AH231" i="2"/>
  <c r="AG231" i="2"/>
  <c r="AE231" i="2"/>
  <c r="AD231" i="2"/>
  <c r="P231" i="2"/>
  <c r="Q231" i="2" s="1"/>
  <c r="K231" i="2"/>
  <c r="AF231" i="2" s="1"/>
  <c r="AH230" i="2"/>
  <c r="AG230" i="2"/>
  <c r="AE230" i="2"/>
  <c r="AD230" i="2"/>
  <c r="N230" i="2"/>
  <c r="P230" i="2" s="1"/>
  <c r="Q230" i="2" s="1"/>
  <c r="K230" i="2"/>
  <c r="AF230" i="2" s="1"/>
  <c r="AH229" i="2"/>
  <c r="AG229" i="2"/>
  <c r="AE229" i="2"/>
  <c r="AD229" i="2"/>
  <c r="P229" i="2"/>
  <c r="N229" i="2"/>
  <c r="K229" i="2"/>
  <c r="AF229" i="2" s="1"/>
  <c r="AH228" i="2"/>
  <c r="AG228" i="2"/>
  <c r="AE228" i="2"/>
  <c r="AD228" i="2"/>
  <c r="P228" i="2"/>
  <c r="Q228" i="2" s="1"/>
  <c r="K228" i="2"/>
  <c r="AF228" i="2" s="1"/>
  <c r="AH227" i="2"/>
  <c r="AG227" i="2"/>
  <c r="AE227" i="2"/>
  <c r="AD227" i="2"/>
  <c r="P227" i="2"/>
  <c r="Q227" i="2" s="1"/>
  <c r="K227" i="2"/>
  <c r="AF227" i="2" s="1"/>
  <c r="Z224" i="2"/>
  <c r="AH219" i="2"/>
  <c r="AG219" i="2"/>
  <c r="AE219" i="2"/>
  <c r="AD219" i="2"/>
  <c r="P219" i="2"/>
  <c r="Q219" i="2" s="1"/>
  <c r="K219" i="2"/>
  <c r="AF219" i="2" s="1"/>
  <c r="AH218" i="2"/>
  <c r="AG218" i="2"/>
  <c r="AE218" i="2"/>
  <c r="AD218" i="2"/>
  <c r="P218" i="2"/>
  <c r="Q218" i="2" s="1"/>
  <c r="K218" i="2"/>
  <c r="AF218" i="2" s="1"/>
  <c r="AH217" i="2"/>
  <c r="AG217" i="2"/>
  <c r="AE217" i="2"/>
  <c r="AD217" i="2"/>
  <c r="P217" i="2"/>
  <c r="Q217" i="2" s="1"/>
  <c r="K217" i="2"/>
  <c r="AF217" i="2" s="1"/>
  <c r="AH216" i="2"/>
  <c r="AG216" i="2"/>
  <c r="AE216" i="2"/>
  <c r="AD216" i="2"/>
  <c r="N216" i="2"/>
  <c r="P216" i="2" s="1"/>
  <c r="Q216" i="2" s="1"/>
  <c r="K216" i="2"/>
  <c r="AF216" i="2" s="1"/>
  <c r="AH215" i="2"/>
  <c r="AG215" i="2"/>
  <c r="AE215" i="2"/>
  <c r="AD215" i="2"/>
  <c r="N215" i="2"/>
  <c r="P215" i="2" s="1"/>
  <c r="Q215" i="2" s="1"/>
  <c r="K215" i="2"/>
  <c r="AF215" i="2" s="1"/>
  <c r="AH214" i="2"/>
  <c r="AG214" i="2"/>
  <c r="AE214" i="2"/>
  <c r="AD214" i="2"/>
  <c r="N214" i="2"/>
  <c r="K214" i="2"/>
  <c r="AF214" i="2" s="1"/>
  <c r="AH213" i="2"/>
  <c r="AG213" i="2"/>
  <c r="AE213" i="2"/>
  <c r="AD213" i="2"/>
  <c r="P213" i="2"/>
  <c r="Q213" i="2" s="1"/>
  <c r="K213" i="2"/>
  <c r="AF213" i="2" s="1"/>
  <c r="AH212" i="2"/>
  <c r="AG212" i="2"/>
  <c r="AE212" i="2"/>
  <c r="AD212" i="2"/>
  <c r="P212" i="2"/>
  <c r="Q212" i="2" s="1"/>
  <c r="K212" i="2"/>
  <c r="AF212" i="2" s="1"/>
  <c r="AH211" i="2"/>
  <c r="AG211" i="2"/>
  <c r="AE211" i="2"/>
  <c r="AD211" i="2"/>
  <c r="P211" i="2"/>
  <c r="Q211" i="2" s="1"/>
  <c r="K211" i="2"/>
  <c r="AF211" i="2" s="1"/>
  <c r="AH210" i="2"/>
  <c r="AG210" i="2"/>
  <c r="AE210" i="2"/>
  <c r="AD210" i="2"/>
  <c r="P210" i="2"/>
  <c r="K210" i="2"/>
  <c r="AF210" i="2" s="1"/>
  <c r="C210" i="2"/>
  <c r="AH199" i="2"/>
  <c r="AG199" i="2"/>
  <c r="AE199" i="2"/>
  <c r="AD199" i="2"/>
  <c r="P199" i="2"/>
  <c r="Q199" i="2" s="1"/>
  <c r="K199" i="2"/>
  <c r="AF199" i="2" s="1"/>
  <c r="AH198" i="2"/>
  <c r="AG198" i="2"/>
  <c r="AE198" i="2"/>
  <c r="AD198" i="2"/>
  <c r="P198" i="2"/>
  <c r="Q198" i="2" s="1"/>
  <c r="K198" i="2"/>
  <c r="AF198" i="2" s="1"/>
  <c r="AH197" i="2"/>
  <c r="AG197" i="2"/>
  <c r="AE197" i="2"/>
  <c r="AD197" i="2"/>
  <c r="P197" i="2"/>
  <c r="Q197" i="2" s="1"/>
  <c r="K197" i="2"/>
  <c r="AF197" i="2" s="1"/>
  <c r="AH196" i="2"/>
  <c r="AG196" i="2"/>
  <c r="AE196" i="2"/>
  <c r="AD196" i="2"/>
  <c r="P196" i="2"/>
  <c r="Q196" i="2" s="1"/>
  <c r="K196" i="2"/>
  <c r="AF196" i="2" s="1"/>
  <c r="AH195" i="2"/>
  <c r="AG195" i="2"/>
  <c r="AE195" i="2"/>
  <c r="AD195" i="2"/>
  <c r="P195" i="2"/>
  <c r="Q195" i="2" s="1"/>
  <c r="K195" i="2"/>
  <c r="AF195" i="2" s="1"/>
  <c r="AH194" i="2"/>
  <c r="AG194" i="2"/>
  <c r="AE194" i="2"/>
  <c r="AD194" i="2"/>
  <c r="P194" i="2"/>
  <c r="Q194" i="2" s="1"/>
  <c r="K194" i="2"/>
  <c r="AF194" i="2" s="1"/>
  <c r="AH193" i="2"/>
  <c r="AG193" i="2"/>
  <c r="AE193" i="2"/>
  <c r="AD193" i="2"/>
  <c r="P193" i="2"/>
  <c r="Q193" i="2" s="1"/>
  <c r="K193" i="2"/>
  <c r="AF193" i="2" s="1"/>
  <c r="AH192" i="2"/>
  <c r="AG192" i="2"/>
  <c r="AE192" i="2"/>
  <c r="AD192" i="2"/>
  <c r="P192" i="2"/>
  <c r="Q192" i="2" s="1"/>
  <c r="K192" i="2"/>
  <c r="AF192" i="2" s="1"/>
  <c r="AH191" i="2"/>
  <c r="AG191" i="2"/>
  <c r="AE191" i="2"/>
  <c r="AD191" i="2"/>
  <c r="P191" i="2"/>
  <c r="Q191" i="2" s="1"/>
  <c r="K191" i="2"/>
  <c r="AF191" i="2" s="1"/>
  <c r="AH190" i="2"/>
  <c r="AG190" i="2"/>
  <c r="AE190" i="2"/>
  <c r="AD190" i="2"/>
  <c r="P190" i="2"/>
  <c r="Q190" i="2" s="1"/>
  <c r="K190" i="2"/>
  <c r="AF190" i="2" s="1"/>
  <c r="AH189" i="2"/>
  <c r="AG189" i="2"/>
  <c r="AE189" i="2"/>
  <c r="AD189" i="2"/>
  <c r="P189" i="2"/>
  <c r="Q189" i="2" s="1"/>
  <c r="K189" i="2"/>
  <c r="AF189" i="2" s="1"/>
  <c r="AH188" i="2"/>
  <c r="AG188" i="2"/>
  <c r="AE188" i="2"/>
  <c r="AD188" i="2"/>
  <c r="P188" i="2"/>
  <c r="Q188" i="2" s="1"/>
  <c r="K188" i="2"/>
  <c r="AF188" i="2" s="1"/>
  <c r="AH187" i="2"/>
  <c r="AG187" i="2"/>
  <c r="AE187" i="2"/>
  <c r="AD187" i="2"/>
  <c r="P187" i="2"/>
  <c r="Q187" i="2" s="1"/>
  <c r="K187" i="2"/>
  <c r="AF187" i="2" s="1"/>
  <c r="AH186" i="2"/>
  <c r="AG186" i="2"/>
  <c r="AE186" i="2"/>
  <c r="AD186" i="2"/>
  <c r="P186" i="2"/>
  <c r="Q186" i="2" s="1"/>
  <c r="K186" i="2"/>
  <c r="AF186" i="2" s="1"/>
  <c r="AH185" i="2"/>
  <c r="AG185" i="2"/>
  <c r="AE185" i="2"/>
  <c r="AD185" i="2"/>
  <c r="P185" i="2"/>
  <c r="Q185" i="2" s="1"/>
  <c r="K185" i="2"/>
  <c r="AF185" i="2" s="1"/>
  <c r="AH184" i="2"/>
  <c r="AG184" i="2"/>
  <c r="AE184" i="2"/>
  <c r="AD184" i="2"/>
  <c r="P184" i="2"/>
  <c r="Q184" i="2" s="1"/>
  <c r="K184" i="2"/>
  <c r="AF184" i="2" s="1"/>
  <c r="AH183" i="2"/>
  <c r="AG183" i="2"/>
  <c r="AE183" i="2"/>
  <c r="AD183" i="2"/>
  <c r="P183" i="2"/>
  <c r="Q183" i="2" s="1"/>
  <c r="K183" i="2"/>
  <c r="AF183" i="2" s="1"/>
  <c r="AH182" i="2"/>
  <c r="AG182" i="2"/>
  <c r="AE182" i="2"/>
  <c r="AD182" i="2"/>
  <c r="P182" i="2"/>
  <c r="Q182" i="2" s="1"/>
  <c r="K182" i="2"/>
  <c r="AF182" i="2" s="1"/>
  <c r="AH181" i="2"/>
  <c r="AG181" i="2"/>
  <c r="AE181" i="2"/>
  <c r="AD181" i="2"/>
  <c r="P181" i="2"/>
  <c r="Q181" i="2" s="1"/>
  <c r="K181" i="2"/>
  <c r="AF181" i="2" s="1"/>
  <c r="AH180" i="2"/>
  <c r="AG180" i="2"/>
  <c r="AE180" i="2"/>
  <c r="AD180" i="2"/>
  <c r="P180" i="2"/>
  <c r="Q180" i="2" s="1"/>
  <c r="K180" i="2"/>
  <c r="AF180" i="2" s="1"/>
  <c r="AH179" i="2"/>
  <c r="AG179" i="2"/>
  <c r="AE179" i="2"/>
  <c r="AD179" i="2"/>
  <c r="P179" i="2"/>
  <c r="Q179" i="2" s="1"/>
  <c r="K179" i="2"/>
  <c r="AF179" i="2" s="1"/>
  <c r="AH178" i="2"/>
  <c r="AG178" i="2"/>
  <c r="AE178" i="2"/>
  <c r="AD178" i="2"/>
  <c r="P178" i="2"/>
  <c r="Q178" i="2" s="1"/>
  <c r="K178" i="2"/>
  <c r="AF178" i="2" s="1"/>
  <c r="AH177" i="2"/>
  <c r="AG177" i="2"/>
  <c r="AE177" i="2"/>
  <c r="AD177" i="2"/>
  <c r="P177" i="2"/>
  <c r="Q177" i="2" s="1"/>
  <c r="K177" i="2"/>
  <c r="AF177" i="2" s="1"/>
  <c r="AH176" i="2"/>
  <c r="AG176" i="2"/>
  <c r="AE176" i="2"/>
  <c r="AD176" i="2"/>
  <c r="K176" i="2"/>
  <c r="AF176" i="2" s="1"/>
  <c r="AH175" i="2"/>
  <c r="AG175" i="2"/>
  <c r="AE175" i="2"/>
  <c r="AD175" i="2"/>
  <c r="N175" i="2"/>
  <c r="N176" i="2" s="1"/>
  <c r="K175" i="2"/>
  <c r="AF175" i="2" s="1"/>
  <c r="AH174" i="2"/>
  <c r="AG174" i="2"/>
  <c r="AE174" i="2"/>
  <c r="AD174" i="2"/>
  <c r="N174" i="2"/>
  <c r="P174" i="2" s="1"/>
  <c r="Q174" i="2" s="1"/>
  <c r="K174" i="2"/>
  <c r="AF174" i="2" s="1"/>
  <c r="AH173" i="2"/>
  <c r="AG173" i="2"/>
  <c r="AE173" i="2"/>
  <c r="AD173" i="2"/>
  <c r="N173" i="2"/>
  <c r="P173" i="2" s="1"/>
  <c r="Q173" i="2" s="1"/>
  <c r="K173" i="2"/>
  <c r="AF173" i="2" s="1"/>
  <c r="AH172" i="2"/>
  <c r="AG172" i="2"/>
  <c r="AE172" i="2"/>
  <c r="AD172" i="2"/>
  <c r="N172" i="2"/>
  <c r="P172" i="2" s="1"/>
  <c r="Q172" i="2" s="1"/>
  <c r="K172" i="2"/>
  <c r="AF172" i="2" s="1"/>
  <c r="AH171" i="2"/>
  <c r="AG171" i="2"/>
  <c r="AE171" i="2"/>
  <c r="AD171" i="2"/>
  <c r="P171" i="2"/>
  <c r="Q171" i="2" s="1"/>
  <c r="K171" i="2"/>
  <c r="AF171" i="2" s="1"/>
  <c r="AH170" i="2"/>
  <c r="AG170" i="2"/>
  <c r="AE170" i="2"/>
  <c r="AD170" i="2"/>
  <c r="P170" i="2"/>
  <c r="Q170" i="2" s="1"/>
  <c r="K170" i="2"/>
  <c r="AF170" i="2" s="1"/>
  <c r="AH169" i="2"/>
  <c r="AG169" i="2"/>
  <c r="AE169" i="2"/>
  <c r="AD169" i="2"/>
  <c r="P169" i="2"/>
  <c r="Q169" i="2" s="1"/>
  <c r="K169" i="2"/>
  <c r="AF169" i="2" s="1"/>
  <c r="AH168" i="2"/>
  <c r="AG168" i="2"/>
  <c r="AE168" i="2"/>
  <c r="AD168" i="2"/>
  <c r="P168" i="2"/>
  <c r="Q168" i="2" s="1"/>
  <c r="K168" i="2"/>
  <c r="AF168" i="2" s="1"/>
  <c r="AH167" i="2"/>
  <c r="AG167" i="2"/>
  <c r="AE167" i="2"/>
  <c r="AD167" i="2"/>
  <c r="P167" i="2"/>
  <c r="Q167" i="2" s="1"/>
  <c r="K167" i="2"/>
  <c r="AF167" i="2" s="1"/>
  <c r="AH166" i="2"/>
  <c r="AG166" i="2"/>
  <c r="AE166" i="2"/>
  <c r="AD166" i="2"/>
  <c r="P166" i="2"/>
  <c r="Q166" i="2" s="1"/>
  <c r="K166" i="2"/>
  <c r="AF166" i="2" s="1"/>
  <c r="AH165" i="2"/>
  <c r="AG165" i="2"/>
  <c r="AE165" i="2"/>
  <c r="AD165" i="2"/>
  <c r="N165" i="2"/>
  <c r="P165" i="2" s="1"/>
  <c r="Q165" i="2" s="1"/>
  <c r="K165" i="2"/>
  <c r="AF165" i="2" s="1"/>
  <c r="AH164" i="2"/>
  <c r="AG164" i="2"/>
  <c r="AE164" i="2"/>
  <c r="AD164" i="2"/>
  <c r="N164" i="2"/>
  <c r="P164" i="2" s="1"/>
  <c r="Q164" i="2" s="1"/>
  <c r="K164" i="2"/>
  <c r="AF164" i="2" s="1"/>
  <c r="AH163" i="2"/>
  <c r="AG163" i="2"/>
  <c r="AE163" i="2"/>
  <c r="AD163" i="2"/>
  <c r="N163" i="2"/>
  <c r="P163" i="2" s="1"/>
  <c r="Q163" i="2" s="1"/>
  <c r="K163" i="2"/>
  <c r="AF163" i="2" s="1"/>
  <c r="AH162" i="2"/>
  <c r="AG162" i="2"/>
  <c r="AE162" i="2"/>
  <c r="AD162" i="2"/>
  <c r="P162" i="2"/>
  <c r="Q162" i="2" s="1"/>
  <c r="K162" i="2"/>
  <c r="AF162" i="2" s="1"/>
  <c r="AH161" i="2"/>
  <c r="AG161" i="2"/>
  <c r="AE161" i="2"/>
  <c r="AD161" i="2"/>
  <c r="P161" i="2"/>
  <c r="Q161" i="2" s="1"/>
  <c r="K161" i="2"/>
  <c r="AF161" i="2" s="1"/>
  <c r="AH160" i="2"/>
  <c r="AG160" i="2"/>
  <c r="AE160" i="2"/>
  <c r="AD160" i="2"/>
  <c r="P160" i="2"/>
  <c r="Q160" i="2" s="1"/>
  <c r="K160" i="2"/>
  <c r="AF160" i="2" s="1"/>
  <c r="AH159" i="2"/>
  <c r="AG159" i="2"/>
  <c r="AE159" i="2"/>
  <c r="AD159" i="2"/>
  <c r="P159" i="2"/>
  <c r="Q159" i="2" s="1"/>
  <c r="K159" i="2"/>
  <c r="AF159" i="2" s="1"/>
  <c r="AH158" i="2"/>
  <c r="AG158" i="2"/>
  <c r="AE158" i="2"/>
  <c r="AD158" i="2"/>
  <c r="P158" i="2"/>
  <c r="Q158" i="2" s="1"/>
  <c r="K158" i="2"/>
  <c r="AF158" i="2" s="1"/>
  <c r="AH157" i="2"/>
  <c r="AG157" i="2"/>
  <c r="AE157" i="2"/>
  <c r="AD157" i="2"/>
  <c r="P157" i="2"/>
  <c r="Q157" i="2" s="1"/>
  <c r="K157" i="2"/>
  <c r="AF157" i="2" s="1"/>
  <c r="AH156" i="2"/>
  <c r="AG156" i="2"/>
  <c r="AE156" i="2"/>
  <c r="AD156" i="2"/>
  <c r="P156" i="2"/>
  <c r="Q156" i="2" s="1"/>
  <c r="K156" i="2"/>
  <c r="AF156" i="2" s="1"/>
  <c r="AH155" i="2"/>
  <c r="AG155" i="2"/>
  <c r="AE155" i="2"/>
  <c r="AD155" i="2"/>
  <c r="P155" i="2"/>
  <c r="Q155" i="2" s="1"/>
  <c r="K155" i="2"/>
  <c r="AF155" i="2" s="1"/>
  <c r="AH154" i="2"/>
  <c r="AG154" i="2"/>
  <c r="AE154" i="2"/>
  <c r="AD154" i="2"/>
  <c r="P154" i="2"/>
  <c r="Q154" i="2" s="1"/>
  <c r="K154" i="2"/>
  <c r="AF154" i="2" s="1"/>
  <c r="AH153" i="2"/>
  <c r="AG153" i="2"/>
  <c r="AE153" i="2"/>
  <c r="AD153" i="2"/>
  <c r="P153" i="2"/>
  <c r="Q153" i="2" s="1"/>
  <c r="K153" i="2"/>
  <c r="AF153" i="2" s="1"/>
  <c r="AH152" i="2"/>
  <c r="AG152" i="2"/>
  <c r="AE152" i="2"/>
  <c r="AD152" i="2"/>
  <c r="P152" i="2"/>
  <c r="Q152" i="2" s="1"/>
  <c r="K152" i="2"/>
  <c r="AF152" i="2" s="1"/>
  <c r="AH151" i="2"/>
  <c r="AG151" i="2"/>
  <c r="AE151" i="2"/>
  <c r="AD151" i="2"/>
  <c r="P151" i="2"/>
  <c r="Q151" i="2" s="1"/>
  <c r="K151" i="2"/>
  <c r="AF151" i="2" s="1"/>
  <c r="AH150" i="2"/>
  <c r="AG150" i="2"/>
  <c r="AE150" i="2"/>
  <c r="AD150" i="2"/>
  <c r="P150" i="2"/>
  <c r="Q150" i="2" s="1"/>
  <c r="K150" i="2"/>
  <c r="AF150" i="2" s="1"/>
  <c r="AH149" i="2"/>
  <c r="AG149" i="2"/>
  <c r="AE149" i="2"/>
  <c r="AD149" i="2"/>
  <c r="P149" i="2"/>
  <c r="Q149" i="2" s="1"/>
  <c r="K149" i="2"/>
  <c r="AF149" i="2" s="1"/>
  <c r="AH148" i="2"/>
  <c r="AG148" i="2"/>
  <c r="AE148" i="2"/>
  <c r="AD148" i="2"/>
  <c r="P148" i="2"/>
  <c r="Q148" i="2" s="1"/>
  <c r="K148" i="2"/>
  <c r="AF148" i="2" s="1"/>
  <c r="AH147" i="2"/>
  <c r="AG147" i="2"/>
  <c r="AE147" i="2"/>
  <c r="AD147" i="2"/>
  <c r="P147" i="2"/>
  <c r="Q147" i="2" s="1"/>
  <c r="K147" i="2"/>
  <c r="AF147" i="2" s="1"/>
  <c r="AH146" i="2"/>
  <c r="AG146" i="2"/>
  <c r="AE146" i="2"/>
  <c r="AD146" i="2"/>
  <c r="P146" i="2"/>
  <c r="Q146" i="2" s="1"/>
  <c r="K146" i="2"/>
  <c r="AF146" i="2" s="1"/>
  <c r="AH145" i="2"/>
  <c r="AG145" i="2"/>
  <c r="AE145" i="2"/>
  <c r="AD145" i="2"/>
  <c r="P145" i="2"/>
  <c r="Q145" i="2" s="1"/>
  <c r="K145" i="2"/>
  <c r="AF145" i="2" s="1"/>
  <c r="AH144" i="2"/>
  <c r="AG144" i="2"/>
  <c r="AE144" i="2"/>
  <c r="AD144" i="2"/>
  <c r="P144" i="2"/>
  <c r="Q144" i="2" s="1"/>
  <c r="K144" i="2"/>
  <c r="AF144" i="2" s="1"/>
  <c r="AH143" i="2"/>
  <c r="AG143" i="2"/>
  <c r="AE143" i="2"/>
  <c r="AD143" i="2"/>
  <c r="P143" i="2"/>
  <c r="Q143" i="2" s="1"/>
  <c r="K143" i="2"/>
  <c r="AF143" i="2" s="1"/>
  <c r="AH142" i="2"/>
  <c r="AG142" i="2"/>
  <c r="AE142" i="2"/>
  <c r="AD142" i="2"/>
  <c r="P142" i="2"/>
  <c r="Q142" i="2" s="1"/>
  <c r="K142" i="2"/>
  <c r="AF142" i="2" s="1"/>
  <c r="AH141" i="2"/>
  <c r="AG141" i="2"/>
  <c r="AE141" i="2"/>
  <c r="AD141" i="2"/>
  <c r="N141" i="2"/>
  <c r="P141" i="2" s="1"/>
  <c r="Q141" i="2" s="1"/>
  <c r="K141" i="2"/>
  <c r="AF141" i="2" s="1"/>
  <c r="AH140" i="2"/>
  <c r="AG140" i="2"/>
  <c r="AE140" i="2"/>
  <c r="AD140" i="2"/>
  <c r="N140" i="2"/>
  <c r="P140" i="2" s="1"/>
  <c r="Q140" i="2" s="1"/>
  <c r="K140" i="2"/>
  <c r="AF140" i="2" s="1"/>
  <c r="AH139" i="2"/>
  <c r="AG139" i="2"/>
  <c r="AE139" i="2"/>
  <c r="AD139" i="2"/>
  <c r="P139" i="2"/>
  <c r="Q139" i="2" s="1"/>
  <c r="K139" i="2"/>
  <c r="AF139" i="2" s="1"/>
  <c r="AH138" i="2"/>
  <c r="AG138" i="2"/>
  <c r="AE138" i="2"/>
  <c r="AD138" i="2"/>
  <c r="N138" i="2"/>
  <c r="P138" i="2" s="1"/>
  <c r="Q138" i="2" s="1"/>
  <c r="K138" i="2"/>
  <c r="AF138" i="2" s="1"/>
  <c r="AH137" i="2"/>
  <c r="AG137" i="2"/>
  <c r="AE137" i="2"/>
  <c r="AD137" i="2"/>
  <c r="P137" i="2"/>
  <c r="Q137" i="2" s="1"/>
  <c r="N137" i="2"/>
  <c r="K137" i="2"/>
  <c r="AF137" i="2" s="1"/>
  <c r="AH136" i="2"/>
  <c r="AG136" i="2"/>
  <c r="AE136" i="2"/>
  <c r="AD136" i="2"/>
  <c r="P136" i="2"/>
  <c r="Q136" i="2" s="1"/>
  <c r="K136" i="2"/>
  <c r="AF136" i="2" s="1"/>
  <c r="AH135" i="2"/>
  <c r="AG135" i="2"/>
  <c r="AE135" i="2"/>
  <c r="AD135" i="2"/>
  <c r="P135" i="2"/>
  <c r="Q135" i="2" s="1"/>
  <c r="K135" i="2"/>
  <c r="AF135" i="2" s="1"/>
  <c r="AH134" i="2"/>
  <c r="AG134" i="2"/>
  <c r="AE134" i="2"/>
  <c r="AD134" i="2"/>
  <c r="P134" i="2"/>
  <c r="Q134" i="2" s="1"/>
  <c r="K134" i="2"/>
  <c r="AF134" i="2" s="1"/>
  <c r="AH133" i="2"/>
  <c r="AG133" i="2"/>
  <c r="AE133" i="2"/>
  <c r="AD133" i="2"/>
  <c r="P133" i="2"/>
  <c r="Q133" i="2" s="1"/>
  <c r="K133" i="2"/>
  <c r="AF133" i="2" s="1"/>
  <c r="AH132" i="2"/>
  <c r="AG132" i="2"/>
  <c r="AE132" i="2"/>
  <c r="AD132" i="2"/>
  <c r="P132" i="2"/>
  <c r="Q132" i="2" s="1"/>
  <c r="K132" i="2"/>
  <c r="AF132" i="2" s="1"/>
  <c r="AH131" i="2"/>
  <c r="AG131" i="2"/>
  <c r="AE131" i="2"/>
  <c r="AD131" i="2"/>
  <c r="P131" i="2"/>
  <c r="Q131" i="2" s="1"/>
  <c r="K131" i="2"/>
  <c r="AF131" i="2" s="1"/>
  <c r="AH130" i="2"/>
  <c r="AG130" i="2"/>
  <c r="AE130" i="2"/>
  <c r="AD130" i="2"/>
  <c r="P130" i="2"/>
  <c r="K130" i="2"/>
  <c r="AF130" i="2" s="1"/>
  <c r="AH129" i="2"/>
  <c r="AG129" i="2"/>
  <c r="AE129" i="2"/>
  <c r="AD129" i="2"/>
  <c r="P129" i="2"/>
  <c r="Q129" i="2" s="1"/>
  <c r="K129" i="2"/>
  <c r="AF129" i="2" s="1"/>
  <c r="AH128" i="2"/>
  <c r="AG128" i="2"/>
  <c r="AE128" i="2"/>
  <c r="AD128" i="2"/>
  <c r="P128" i="2"/>
  <c r="K128" i="2"/>
  <c r="AF128" i="2" s="1"/>
  <c r="AH127" i="2"/>
  <c r="AG127" i="2"/>
  <c r="AE127" i="2"/>
  <c r="AD127" i="2"/>
  <c r="P127" i="2"/>
  <c r="Q127" i="2" s="1"/>
  <c r="K127" i="2"/>
  <c r="AF127" i="2" s="1"/>
  <c r="AH126" i="2"/>
  <c r="AG126" i="2"/>
  <c r="AE126" i="2"/>
  <c r="AD126" i="2"/>
  <c r="P126" i="2"/>
  <c r="Q126" i="2" s="1"/>
  <c r="K126" i="2"/>
  <c r="AF126" i="2" s="1"/>
  <c r="AH125" i="2"/>
  <c r="AG125" i="2"/>
  <c r="AE125" i="2"/>
  <c r="AD125" i="2"/>
  <c r="P125" i="2"/>
  <c r="Q125" i="2" s="1"/>
  <c r="K125" i="2"/>
  <c r="AF125" i="2" s="1"/>
  <c r="AH124" i="2"/>
  <c r="AG124" i="2"/>
  <c r="AE124" i="2"/>
  <c r="AD124" i="2"/>
  <c r="P124" i="2"/>
  <c r="Q124" i="2" s="1"/>
  <c r="K124" i="2"/>
  <c r="AF124" i="2" s="1"/>
  <c r="AH123" i="2"/>
  <c r="AG123" i="2"/>
  <c r="AE123" i="2"/>
  <c r="AD123" i="2"/>
  <c r="P123" i="2"/>
  <c r="Q123" i="2" s="1"/>
  <c r="K123" i="2"/>
  <c r="AF123" i="2" s="1"/>
  <c r="D123" i="2"/>
  <c r="D125" i="2" s="1"/>
  <c r="D126" i="2" s="1"/>
  <c r="D127" i="2" s="1"/>
  <c r="AH122" i="2"/>
  <c r="AG122" i="2"/>
  <c r="AE122" i="2"/>
  <c r="AD122" i="2"/>
  <c r="P122" i="2"/>
  <c r="Q122" i="2" s="1"/>
  <c r="K122" i="2"/>
  <c r="AF122" i="2" s="1"/>
  <c r="AH121" i="2"/>
  <c r="AG121" i="2"/>
  <c r="AE121" i="2"/>
  <c r="AD121" i="2"/>
  <c r="P121" i="2"/>
  <c r="Q121" i="2" s="1"/>
  <c r="K121" i="2"/>
  <c r="AF121" i="2" s="1"/>
  <c r="AH120" i="2"/>
  <c r="AG120" i="2"/>
  <c r="AE120" i="2"/>
  <c r="AD120" i="2"/>
  <c r="P120" i="2"/>
  <c r="Q120" i="2" s="1"/>
  <c r="K120" i="2"/>
  <c r="AF120" i="2" s="1"/>
  <c r="AH119" i="2"/>
  <c r="AG119" i="2"/>
  <c r="AE119" i="2"/>
  <c r="AD119" i="2"/>
  <c r="P119" i="2"/>
  <c r="Q119" i="2" s="1"/>
  <c r="K119" i="2"/>
  <c r="AF119" i="2" s="1"/>
  <c r="AH118" i="2"/>
  <c r="AG118" i="2"/>
  <c r="AE118" i="2"/>
  <c r="AD118" i="2"/>
  <c r="P118" i="2"/>
  <c r="Q118" i="2" s="1"/>
  <c r="K118" i="2"/>
  <c r="AF118" i="2" s="1"/>
  <c r="AH117" i="2"/>
  <c r="AG117" i="2"/>
  <c r="AE117" i="2"/>
  <c r="AD117" i="2"/>
  <c r="P117" i="2"/>
  <c r="Q117" i="2" s="1"/>
  <c r="K117" i="2"/>
  <c r="AF117" i="2" s="1"/>
  <c r="AH116" i="2"/>
  <c r="AG116" i="2"/>
  <c r="AE116" i="2"/>
  <c r="AD116" i="2"/>
  <c r="P116" i="2"/>
  <c r="Q116" i="2" s="1"/>
  <c r="K116" i="2"/>
  <c r="AF116" i="2" s="1"/>
  <c r="AH115" i="2"/>
  <c r="AG115" i="2"/>
  <c r="AE115" i="2"/>
  <c r="AD115" i="2"/>
  <c r="P115" i="2"/>
  <c r="Q115" i="2" s="1"/>
  <c r="K115" i="2"/>
  <c r="AF115" i="2" s="1"/>
  <c r="AH114" i="2"/>
  <c r="AG114" i="2"/>
  <c r="AE114" i="2"/>
  <c r="AD114" i="2"/>
  <c r="P114" i="2"/>
  <c r="Q114" i="2" s="1"/>
  <c r="K114" i="2"/>
  <c r="AF114" i="2" s="1"/>
  <c r="AH113" i="2"/>
  <c r="AG113" i="2"/>
  <c r="AE113" i="2"/>
  <c r="AD113" i="2"/>
  <c r="P113" i="2"/>
  <c r="Q113" i="2" s="1"/>
  <c r="K113" i="2"/>
  <c r="AF113" i="2" s="1"/>
  <c r="AH112" i="2"/>
  <c r="AG112" i="2"/>
  <c r="AE112" i="2"/>
  <c r="AD112" i="2"/>
  <c r="P112" i="2"/>
  <c r="Q112" i="2" s="1"/>
  <c r="K112" i="2"/>
  <c r="AF112" i="2" s="1"/>
  <c r="AH111" i="2"/>
  <c r="AG111" i="2"/>
  <c r="AE111" i="2"/>
  <c r="AD111" i="2"/>
  <c r="P111" i="2"/>
  <c r="Q111" i="2" s="1"/>
  <c r="K111" i="2"/>
  <c r="AF111" i="2" s="1"/>
  <c r="D111" i="2"/>
  <c r="D112" i="2" s="1"/>
  <c r="D124" i="2" s="1"/>
  <c r="AH110" i="2"/>
  <c r="AG110" i="2"/>
  <c r="AE110" i="2"/>
  <c r="AD110" i="2"/>
  <c r="P110" i="2"/>
  <c r="Q110" i="2" s="1"/>
  <c r="K110" i="2"/>
  <c r="AF110" i="2" s="1"/>
  <c r="AH109" i="2"/>
  <c r="AG109" i="2"/>
  <c r="AE109" i="2"/>
  <c r="AD109" i="2"/>
  <c r="P109" i="2"/>
  <c r="Q109" i="2" s="1"/>
  <c r="K109" i="2"/>
  <c r="AF109" i="2" s="1"/>
  <c r="AH108" i="2"/>
  <c r="AG108" i="2"/>
  <c r="AE108" i="2"/>
  <c r="AD108" i="2"/>
  <c r="P108" i="2"/>
  <c r="Q108" i="2" s="1"/>
  <c r="K108" i="2"/>
  <c r="AF108" i="2" s="1"/>
  <c r="AH107" i="2"/>
  <c r="AG107" i="2"/>
  <c r="AE107" i="2"/>
  <c r="AD107" i="2"/>
  <c r="P107" i="2"/>
  <c r="Q107" i="2" s="1"/>
  <c r="K107" i="2"/>
  <c r="AF107" i="2" s="1"/>
  <c r="AH106" i="2"/>
  <c r="AG106" i="2"/>
  <c r="AE106" i="2"/>
  <c r="AD106" i="2"/>
  <c r="P106" i="2"/>
  <c r="Q106" i="2" s="1"/>
  <c r="K106" i="2"/>
  <c r="AF106" i="2" s="1"/>
  <c r="AH105" i="2"/>
  <c r="AG105" i="2"/>
  <c r="AE105" i="2"/>
  <c r="AD105" i="2"/>
  <c r="P105" i="2"/>
  <c r="Q105" i="2" s="1"/>
  <c r="K105" i="2"/>
  <c r="AF105" i="2" s="1"/>
  <c r="AH104" i="2"/>
  <c r="AG104" i="2"/>
  <c r="AE104" i="2"/>
  <c r="AD104" i="2"/>
  <c r="P104" i="2"/>
  <c r="Q104" i="2" s="1"/>
  <c r="K104" i="2"/>
  <c r="AF104" i="2" s="1"/>
  <c r="AH103" i="2"/>
  <c r="AG103" i="2"/>
  <c r="AE103" i="2"/>
  <c r="AD103" i="2"/>
  <c r="P103" i="2"/>
  <c r="Q103" i="2" s="1"/>
  <c r="K103" i="2"/>
  <c r="AF103" i="2" s="1"/>
  <c r="AH102" i="2"/>
  <c r="AG102" i="2"/>
  <c r="AE102" i="2"/>
  <c r="AD102" i="2"/>
  <c r="P102" i="2"/>
  <c r="Q102" i="2" s="1"/>
  <c r="K102" i="2"/>
  <c r="AF102" i="2" s="1"/>
  <c r="D102" i="2"/>
  <c r="D104" i="2" s="1"/>
  <c r="D105" i="2" s="1"/>
  <c r="D106" i="2" s="1"/>
  <c r="AH101" i="2"/>
  <c r="AG101" i="2"/>
  <c r="AE101" i="2"/>
  <c r="AD101" i="2"/>
  <c r="P101" i="2"/>
  <c r="Q101" i="2" s="1"/>
  <c r="K101" i="2"/>
  <c r="AF101" i="2" s="1"/>
  <c r="AH100" i="2"/>
  <c r="AG100" i="2"/>
  <c r="AE100" i="2"/>
  <c r="AD100" i="2"/>
  <c r="P100" i="2"/>
  <c r="Q100" i="2" s="1"/>
  <c r="K100" i="2"/>
  <c r="AF100" i="2" s="1"/>
  <c r="AH99" i="2"/>
  <c r="AG99" i="2"/>
  <c r="AE99" i="2"/>
  <c r="AD99" i="2"/>
  <c r="P99" i="2"/>
  <c r="Q99" i="2" s="1"/>
  <c r="K99" i="2"/>
  <c r="AF99" i="2" s="1"/>
  <c r="D99" i="2"/>
  <c r="AH98" i="2"/>
  <c r="AG98" i="2"/>
  <c r="AE98" i="2"/>
  <c r="AD98" i="2"/>
  <c r="P98" i="2"/>
  <c r="Q98" i="2" s="1"/>
  <c r="K98" i="2"/>
  <c r="AF98" i="2" s="1"/>
  <c r="AH97" i="2"/>
  <c r="AG97" i="2"/>
  <c r="AE97" i="2"/>
  <c r="AD97" i="2"/>
  <c r="P97" i="2"/>
  <c r="Q97" i="2" s="1"/>
  <c r="K97" i="2"/>
  <c r="AF97" i="2" s="1"/>
  <c r="AH96" i="2"/>
  <c r="AG96" i="2"/>
  <c r="AE96" i="2"/>
  <c r="AD96" i="2"/>
  <c r="P96" i="2"/>
  <c r="Q96" i="2" s="1"/>
  <c r="K96" i="2"/>
  <c r="AF96" i="2" s="1"/>
  <c r="AH95" i="2"/>
  <c r="AG95" i="2"/>
  <c r="AE95" i="2"/>
  <c r="AD95" i="2"/>
  <c r="P95" i="2"/>
  <c r="Q95" i="2" s="1"/>
  <c r="K95" i="2"/>
  <c r="AF95" i="2" s="1"/>
  <c r="AH94" i="2"/>
  <c r="AG94" i="2"/>
  <c r="AE94" i="2"/>
  <c r="AD94" i="2"/>
  <c r="P94" i="2"/>
  <c r="Q94" i="2" s="1"/>
  <c r="K94" i="2"/>
  <c r="AF94" i="2" s="1"/>
  <c r="AH93" i="2"/>
  <c r="AG93" i="2"/>
  <c r="AE93" i="2"/>
  <c r="AD93" i="2"/>
  <c r="P93" i="2"/>
  <c r="Q93" i="2" s="1"/>
  <c r="K93" i="2"/>
  <c r="AF93" i="2" s="1"/>
  <c r="AH92" i="2"/>
  <c r="AG92" i="2"/>
  <c r="AE92" i="2"/>
  <c r="AD92" i="2"/>
  <c r="P92" i="2"/>
  <c r="Q92" i="2" s="1"/>
  <c r="K92" i="2"/>
  <c r="AF92" i="2" s="1"/>
  <c r="D92" i="2"/>
  <c r="AH91" i="2"/>
  <c r="AG91" i="2"/>
  <c r="AE91" i="2"/>
  <c r="AD91" i="2"/>
  <c r="P91" i="2"/>
  <c r="Q91" i="2" s="1"/>
  <c r="K91" i="2"/>
  <c r="AF91" i="2" s="1"/>
  <c r="D91" i="2"/>
  <c r="AH90" i="2"/>
  <c r="AG90" i="2"/>
  <c r="AE90" i="2"/>
  <c r="AD90" i="2"/>
  <c r="P90" i="2"/>
  <c r="Q90" i="2" s="1"/>
  <c r="K90" i="2"/>
  <c r="AF90" i="2" s="1"/>
  <c r="AH89" i="2"/>
  <c r="AG89" i="2"/>
  <c r="AE89" i="2"/>
  <c r="AD89" i="2"/>
  <c r="P89" i="2"/>
  <c r="Q89" i="2" s="1"/>
  <c r="K89" i="2"/>
  <c r="AF89" i="2" s="1"/>
  <c r="D89" i="2"/>
  <c r="AH88" i="2"/>
  <c r="AG88" i="2"/>
  <c r="AE88" i="2"/>
  <c r="AD88" i="2"/>
  <c r="P88" i="2"/>
  <c r="Q88" i="2" s="1"/>
  <c r="K88" i="2"/>
  <c r="AF88" i="2" s="1"/>
  <c r="AH87" i="2"/>
  <c r="AG87" i="2"/>
  <c r="AE87" i="2"/>
  <c r="AD87" i="2"/>
  <c r="P87" i="2"/>
  <c r="Q87" i="2" s="1"/>
  <c r="K87" i="2"/>
  <c r="AF87" i="2" s="1"/>
  <c r="AH86" i="2"/>
  <c r="AG86" i="2"/>
  <c r="AE86" i="2"/>
  <c r="AD86" i="2"/>
  <c r="P86" i="2"/>
  <c r="Q86" i="2" s="1"/>
  <c r="K86" i="2"/>
  <c r="AF86" i="2" s="1"/>
  <c r="D86" i="2"/>
  <c r="AH85" i="2"/>
  <c r="AG85" i="2"/>
  <c r="AE85" i="2"/>
  <c r="AD85" i="2"/>
  <c r="P85" i="2"/>
  <c r="Q85" i="2" s="1"/>
  <c r="K85" i="2"/>
  <c r="AF85" i="2" s="1"/>
  <c r="AH84" i="2"/>
  <c r="AG84" i="2"/>
  <c r="AE84" i="2"/>
  <c r="AD84" i="2"/>
  <c r="P84" i="2"/>
  <c r="Q84" i="2" s="1"/>
  <c r="K84" i="2"/>
  <c r="AF84" i="2" s="1"/>
  <c r="AH83" i="2"/>
  <c r="AG83" i="2"/>
  <c r="AE83" i="2"/>
  <c r="AD83" i="2"/>
  <c r="P83" i="2"/>
  <c r="Q83" i="2" s="1"/>
  <c r="K83" i="2"/>
  <c r="AF83" i="2" s="1"/>
  <c r="D83" i="2"/>
  <c r="D93" i="2" s="1"/>
  <c r="AH82" i="2"/>
  <c r="AG82" i="2"/>
  <c r="AE82" i="2"/>
  <c r="AD82" i="2"/>
  <c r="P82" i="2"/>
  <c r="Q82" i="2" s="1"/>
  <c r="K82" i="2"/>
  <c r="AF82" i="2" s="1"/>
  <c r="AH81" i="2"/>
  <c r="AG81" i="2"/>
  <c r="AE81" i="2"/>
  <c r="AD81" i="2"/>
  <c r="P81" i="2"/>
  <c r="Q81" i="2" s="1"/>
  <c r="K81" i="2"/>
  <c r="AF81" i="2" s="1"/>
  <c r="AH80" i="2"/>
  <c r="AG80" i="2"/>
  <c r="AE80" i="2"/>
  <c r="AD80" i="2"/>
  <c r="P80" i="2"/>
  <c r="Q80" i="2" s="1"/>
  <c r="K80" i="2"/>
  <c r="AF80" i="2" s="1"/>
  <c r="AH79" i="2"/>
  <c r="AG79" i="2"/>
  <c r="AE79" i="2"/>
  <c r="AD79" i="2"/>
  <c r="P79" i="2"/>
  <c r="Q79" i="2" s="1"/>
  <c r="K79" i="2"/>
  <c r="AF79" i="2" s="1"/>
  <c r="AH78" i="2"/>
  <c r="AG78" i="2"/>
  <c r="AE78" i="2"/>
  <c r="AD78" i="2"/>
  <c r="P78" i="2"/>
  <c r="Q78" i="2" s="1"/>
  <c r="K78" i="2"/>
  <c r="AF78" i="2" s="1"/>
  <c r="D78" i="2"/>
  <c r="AH77" i="2"/>
  <c r="AG77" i="2"/>
  <c r="AE77" i="2"/>
  <c r="AD77" i="2"/>
  <c r="P77" i="2"/>
  <c r="Q77" i="2" s="1"/>
  <c r="K77" i="2"/>
  <c r="AF77" i="2" s="1"/>
  <c r="AH76" i="2"/>
  <c r="AG76" i="2"/>
  <c r="AE76" i="2"/>
  <c r="AD76" i="2"/>
  <c r="P76" i="2"/>
  <c r="Q76" i="2" s="1"/>
  <c r="K76" i="2"/>
  <c r="AF76" i="2" s="1"/>
  <c r="D76" i="2"/>
  <c r="AH75" i="2"/>
  <c r="AG75" i="2"/>
  <c r="AE75" i="2"/>
  <c r="AD75" i="2"/>
  <c r="P75" i="2"/>
  <c r="Q75" i="2" s="1"/>
  <c r="K75" i="2"/>
  <c r="AF75" i="2" s="1"/>
  <c r="AH74" i="2"/>
  <c r="AG74" i="2"/>
  <c r="AE74" i="2"/>
  <c r="AD74" i="2"/>
  <c r="P74" i="2"/>
  <c r="Q74" i="2" s="1"/>
  <c r="K74" i="2"/>
  <c r="AF74" i="2" s="1"/>
  <c r="AH73" i="2"/>
  <c r="AG73" i="2"/>
  <c r="AE73" i="2"/>
  <c r="AD73" i="2"/>
  <c r="P73" i="2"/>
  <c r="Q73" i="2" s="1"/>
  <c r="K73" i="2"/>
  <c r="AF73" i="2" s="1"/>
  <c r="AH72" i="2"/>
  <c r="AG72" i="2"/>
  <c r="AE72" i="2"/>
  <c r="AD72" i="2"/>
  <c r="P72" i="2"/>
  <c r="Q72" i="2" s="1"/>
  <c r="K72" i="2"/>
  <c r="AF72" i="2" s="1"/>
  <c r="AH71" i="2"/>
  <c r="AG71" i="2"/>
  <c r="AE71" i="2"/>
  <c r="AD71" i="2"/>
  <c r="P71" i="2"/>
  <c r="Q71" i="2" s="1"/>
  <c r="K71" i="2"/>
  <c r="AF71" i="2" s="1"/>
  <c r="AH70" i="2"/>
  <c r="AG70" i="2"/>
  <c r="AE70" i="2"/>
  <c r="AD70" i="2"/>
  <c r="P70" i="2"/>
  <c r="Q70" i="2" s="1"/>
  <c r="K70" i="2"/>
  <c r="AF70" i="2" s="1"/>
  <c r="D70" i="2"/>
  <c r="AH69" i="2"/>
  <c r="AG69" i="2"/>
  <c r="AE69" i="2"/>
  <c r="AD69" i="2"/>
  <c r="P69" i="2"/>
  <c r="Q69" i="2" s="1"/>
  <c r="K69" i="2"/>
  <c r="AF69" i="2" s="1"/>
  <c r="AH68" i="2"/>
  <c r="AG68" i="2"/>
  <c r="AE68" i="2"/>
  <c r="AD68" i="2"/>
  <c r="P68" i="2"/>
  <c r="Q68" i="2" s="1"/>
  <c r="K68" i="2"/>
  <c r="AF68" i="2" s="1"/>
  <c r="AH67" i="2"/>
  <c r="AG67" i="2"/>
  <c r="AE67" i="2"/>
  <c r="AD67" i="2"/>
  <c r="P67" i="2"/>
  <c r="Q67" i="2" s="1"/>
  <c r="K67" i="2"/>
  <c r="AF67" i="2" s="1"/>
  <c r="AH66" i="2"/>
  <c r="AG66" i="2"/>
  <c r="AE66" i="2"/>
  <c r="AD66" i="2"/>
  <c r="P66" i="2"/>
  <c r="Q66" i="2" s="1"/>
  <c r="K66" i="2"/>
  <c r="AF66" i="2" s="1"/>
  <c r="AH65" i="2"/>
  <c r="AG65" i="2"/>
  <c r="AE65" i="2"/>
  <c r="AD65" i="2"/>
  <c r="P65" i="2"/>
  <c r="Q65" i="2" s="1"/>
  <c r="K65" i="2"/>
  <c r="AF65" i="2" s="1"/>
  <c r="N60" i="2"/>
  <c r="AH58" i="2"/>
  <c r="AG58" i="2"/>
  <c r="AE58" i="2"/>
  <c r="AD58" i="2"/>
  <c r="P58" i="2"/>
  <c r="K58" i="2"/>
  <c r="AF58" i="2" s="1"/>
  <c r="AH53" i="2"/>
  <c r="AG53" i="2"/>
  <c r="AE53" i="2"/>
  <c r="AD53" i="2"/>
  <c r="N53" i="2"/>
  <c r="N55" i="2" s="1"/>
  <c r="K53" i="2"/>
  <c r="AF53" i="2" s="1"/>
  <c r="AH52" i="2"/>
  <c r="AG52" i="2"/>
  <c r="AE52" i="2"/>
  <c r="AD52" i="2"/>
  <c r="P52" i="2"/>
  <c r="K52" i="2"/>
  <c r="AF52" i="2" s="1"/>
  <c r="AH46" i="2"/>
  <c r="AG46" i="2"/>
  <c r="AE46" i="2"/>
  <c r="AD46" i="2"/>
  <c r="P46" i="2"/>
  <c r="Q46" i="2" s="1"/>
  <c r="K46" i="2"/>
  <c r="AF46" i="2" s="1"/>
  <c r="AH45" i="2"/>
  <c r="AG45" i="2"/>
  <c r="AE45" i="2"/>
  <c r="AD45" i="2"/>
  <c r="P45" i="2"/>
  <c r="Q45" i="2" s="1"/>
  <c r="K45" i="2"/>
  <c r="AF45" i="2" s="1"/>
  <c r="AH44" i="2"/>
  <c r="AG44" i="2"/>
  <c r="AE44" i="2"/>
  <c r="AD44" i="2"/>
  <c r="N44" i="2"/>
  <c r="N48" i="2" s="1"/>
  <c r="K44" i="2"/>
  <c r="AF44" i="2" s="1"/>
  <c r="AH43" i="2"/>
  <c r="AG43" i="2"/>
  <c r="AE43" i="2"/>
  <c r="AD43" i="2"/>
  <c r="P43" i="2"/>
  <c r="Q43" i="2" s="1"/>
  <c r="K43" i="2"/>
  <c r="AF43" i="2" s="1"/>
  <c r="AH42" i="2"/>
  <c r="AG42" i="2"/>
  <c r="AE42" i="2"/>
  <c r="AD42" i="2"/>
  <c r="P42" i="2"/>
  <c r="Q42" i="2" s="1"/>
  <c r="K42" i="2"/>
  <c r="AF42" i="2" s="1"/>
  <c r="AH41" i="2"/>
  <c r="AG41" i="2"/>
  <c r="AE41" i="2"/>
  <c r="AD41" i="2"/>
  <c r="P41" i="2"/>
  <c r="Q41" i="2" s="1"/>
  <c r="K41" i="2"/>
  <c r="AF41" i="2" s="1"/>
  <c r="AH40" i="2"/>
  <c r="AG40" i="2"/>
  <c r="AE40" i="2"/>
  <c r="AD40" i="2"/>
  <c r="P40" i="2"/>
  <c r="K40" i="2"/>
  <c r="AF40" i="2" s="1"/>
  <c r="AH39" i="2"/>
  <c r="AG39" i="2"/>
  <c r="AE39" i="2"/>
  <c r="AD39" i="2"/>
  <c r="P39" i="2"/>
  <c r="K39" i="2"/>
  <c r="AF39" i="2" s="1"/>
  <c r="AH38" i="2"/>
  <c r="AG38" i="2"/>
  <c r="AE38" i="2"/>
  <c r="AD38" i="2"/>
  <c r="P38" i="2"/>
  <c r="K38" i="2"/>
  <c r="AF38" i="2" s="1"/>
  <c r="AH37" i="2"/>
  <c r="AG37" i="2"/>
  <c r="AE37" i="2"/>
  <c r="AD37" i="2"/>
  <c r="P37" i="2"/>
  <c r="K37" i="2"/>
  <c r="AF37" i="2" s="1"/>
  <c r="AH30" i="2"/>
  <c r="AG30" i="2"/>
  <c r="AE30" i="2"/>
  <c r="AD30" i="2"/>
  <c r="P30" i="2"/>
  <c r="Q30" i="2" s="1"/>
  <c r="K30" i="2"/>
  <c r="AF30" i="2" s="1"/>
  <c r="AH29" i="2"/>
  <c r="AG29" i="2"/>
  <c r="AE29" i="2"/>
  <c r="AD29" i="2"/>
  <c r="N29" i="2"/>
  <c r="P29" i="2" s="1"/>
  <c r="K29" i="2"/>
  <c r="AF29" i="2" s="1"/>
  <c r="AH28" i="2"/>
  <c r="AG28" i="2"/>
  <c r="AE28" i="2"/>
  <c r="AD28" i="2"/>
  <c r="N28" i="2"/>
  <c r="P28" i="2" s="1"/>
  <c r="K28" i="2"/>
  <c r="AF28" i="2" s="1"/>
  <c r="AH27" i="2"/>
  <c r="AG27" i="2"/>
  <c r="AE27" i="2"/>
  <c r="AD27" i="2"/>
  <c r="N27" i="2"/>
  <c r="P27" i="2" s="1"/>
  <c r="K27" i="2"/>
  <c r="AF27" i="2" s="1"/>
  <c r="AH26" i="2"/>
  <c r="AG26" i="2"/>
  <c r="AE26" i="2"/>
  <c r="AD26" i="2"/>
  <c r="P26" i="2"/>
  <c r="Q26" i="2" s="1"/>
  <c r="K26" i="2"/>
  <c r="AF26" i="2" s="1"/>
  <c r="AH25" i="2"/>
  <c r="AG25" i="2"/>
  <c r="AE25" i="2"/>
  <c r="AD25" i="2"/>
  <c r="N25" i="2"/>
  <c r="P25" i="2" s="1"/>
  <c r="K25" i="2"/>
  <c r="AF25" i="2" s="1"/>
  <c r="AH24" i="2"/>
  <c r="AG24" i="2"/>
  <c r="AE24" i="2"/>
  <c r="AD24" i="2"/>
  <c r="N24" i="2"/>
  <c r="K24" i="2"/>
  <c r="AF24" i="2" s="1"/>
  <c r="AH23" i="2"/>
  <c r="AG23" i="2"/>
  <c r="AE23" i="2"/>
  <c r="AD23" i="2"/>
  <c r="N23" i="2"/>
  <c r="P23" i="2" s="1"/>
  <c r="K23" i="2"/>
  <c r="AF23" i="2" s="1"/>
  <c r="AH22" i="2"/>
  <c r="AG22" i="2"/>
  <c r="AE22" i="2"/>
  <c r="AD22" i="2"/>
  <c r="P22" i="2"/>
  <c r="K22" i="2"/>
  <c r="AF22" i="2" s="1"/>
  <c r="AH21" i="2"/>
  <c r="AG21" i="2"/>
  <c r="AE21" i="2"/>
  <c r="AD21" i="2"/>
  <c r="P21" i="2"/>
  <c r="K21" i="2"/>
  <c r="AF21" i="2" s="1"/>
  <c r="AH20" i="2"/>
  <c r="AG20" i="2"/>
  <c r="AE20" i="2"/>
  <c r="AD20" i="2"/>
  <c r="P20" i="2"/>
  <c r="K20" i="2"/>
  <c r="AF20" i="2" s="1"/>
  <c r="AH19" i="2"/>
  <c r="AG19" i="2"/>
  <c r="AE19" i="2"/>
  <c r="AD19" i="2"/>
  <c r="P19" i="2"/>
  <c r="Q19" i="2" s="1"/>
  <c r="K19" i="2"/>
  <c r="AF19" i="2" s="1"/>
  <c r="AH18" i="2"/>
  <c r="AG18" i="2"/>
  <c r="AE18" i="2"/>
  <c r="AD18" i="2"/>
  <c r="P18" i="2"/>
  <c r="K18" i="2"/>
  <c r="AF18" i="2" s="1"/>
  <c r="AH17" i="2"/>
  <c r="AG17" i="2"/>
  <c r="AE17" i="2"/>
  <c r="AD17" i="2"/>
  <c r="N17" i="2"/>
  <c r="P17" i="2" s="1"/>
  <c r="K17" i="2"/>
  <c r="AF17" i="2" s="1"/>
  <c r="AH16" i="2"/>
  <c r="AG16" i="2"/>
  <c r="AE16" i="2"/>
  <c r="AD16" i="2"/>
  <c r="P16" i="2"/>
  <c r="K16" i="2"/>
  <c r="AF16" i="2" s="1"/>
  <c r="AH15" i="2"/>
  <c r="AG15" i="2"/>
  <c r="AE15" i="2"/>
  <c r="AD15" i="2"/>
  <c r="N15" i="2"/>
  <c r="K15" i="2"/>
  <c r="AF15" i="2" s="1"/>
  <c r="AH14" i="2"/>
  <c r="AG14" i="2"/>
  <c r="AE14" i="2"/>
  <c r="AD14" i="2"/>
  <c r="P14" i="2"/>
  <c r="Q14" i="2" s="1"/>
  <c r="K14" i="2"/>
  <c r="AF14" i="2" s="1"/>
  <c r="AH13" i="2"/>
  <c r="AG13" i="2"/>
  <c r="AE13" i="2"/>
  <c r="AD13" i="2"/>
  <c r="P13" i="2"/>
  <c r="L91" i="4" s="1"/>
  <c r="K13" i="2"/>
  <c r="AF13" i="2" s="1"/>
  <c r="AH12" i="2"/>
  <c r="AG12" i="2"/>
  <c r="AE12" i="2"/>
  <c r="AD12" i="2"/>
  <c r="P12" i="2"/>
  <c r="Q12" i="2" s="1"/>
  <c r="K12" i="2"/>
  <c r="AF12" i="2" s="1"/>
  <c r="X11" i="2"/>
  <c r="AA11" i="2" s="1"/>
  <c r="C44" i="1"/>
  <c r="S42" i="1"/>
  <c r="Q42" i="1"/>
  <c r="S40" i="1"/>
  <c r="R40" i="1"/>
  <c r="Q40" i="1"/>
  <c r="R28" i="1"/>
  <c r="L28" i="1"/>
  <c r="H5" i="1"/>
  <c r="Q29" i="2" l="1"/>
  <c r="L31" i="4"/>
  <c r="Q37" i="2"/>
  <c r="L42" i="4"/>
  <c r="Q39" i="2"/>
  <c r="L46" i="4"/>
  <c r="Q52" i="2"/>
  <c r="L95" i="4"/>
  <c r="P60" i="2"/>
  <c r="L72" i="4"/>
  <c r="Q16" i="2"/>
  <c r="L88" i="4"/>
  <c r="Q18" i="2"/>
  <c r="L15" i="4"/>
  <c r="Q20" i="2"/>
  <c r="L18" i="4"/>
  <c r="Q22" i="2"/>
  <c r="L22" i="4"/>
  <c r="P24" i="2"/>
  <c r="Q269" i="2"/>
  <c r="N222" i="3"/>
  <c r="Q280" i="2"/>
  <c r="N281" i="3"/>
  <c r="Q28" i="2"/>
  <c r="L66" i="4"/>
  <c r="N66" i="4" s="1"/>
  <c r="Q38" i="2"/>
  <c r="L44" i="4"/>
  <c r="Q40" i="2"/>
  <c r="L97" i="4"/>
  <c r="L92" i="4"/>
  <c r="N92" i="4" s="1"/>
  <c r="O92" i="4" s="1"/>
  <c r="P92" i="4" s="1"/>
  <c r="Q92" i="4" s="1"/>
  <c r="N91" i="4"/>
  <c r="Q17" i="2"/>
  <c r="L13" i="4"/>
  <c r="Q21" i="2"/>
  <c r="L20" i="4"/>
  <c r="Q23" i="2"/>
  <c r="L24" i="4"/>
  <c r="Q25" i="2"/>
  <c r="L26" i="4"/>
  <c r="Q27" i="2"/>
  <c r="L29" i="4"/>
  <c r="N221" i="3"/>
  <c r="P221" i="3" s="1"/>
  <c r="Q221" i="3" s="1"/>
  <c r="R221" i="3" s="1"/>
  <c r="P220" i="3"/>
  <c r="U40" i="1"/>
  <c r="U42" i="1"/>
  <c r="Y236" i="3"/>
  <c r="Y163" i="3"/>
  <c r="X174" i="3"/>
  <c r="B3" i="2"/>
  <c r="Y11" i="2" s="1"/>
  <c r="B3" i="4"/>
  <c r="B3" i="3"/>
  <c r="AC258" i="3"/>
  <c r="AC271" i="3" s="1"/>
  <c r="H38" i="1" s="1"/>
  <c r="AC283" i="3"/>
  <c r="U75" i="4"/>
  <c r="H15" i="1" s="1"/>
  <c r="P304" i="2"/>
  <c r="Q304" i="2"/>
  <c r="D242" i="2"/>
  <c r="P320" i="2"/>
  <c r="D38" i="1" s="1"/>
  <c r="D44" i="1" s="1"/>
  <c r="AC186" i="3"/>
  <c r="H24" i="1" s="1"/>
  <c r="AA123" i="3"/>
  <c r="Y156" i="3"/>
  <c r="AB302" i="2"/>
  <c r="P53" i="2"/>
  <c r="Q53" i="2" s="1"/>
  <c r="Q55" i="2" s="1"/>
  <c r="P44" i="2"/>
  <c r="Q44" i="2" s="1"/>
  <c r="Q48" i="2" s="1"/>
  <c r="P289" i="2"/>
  <c r="X58" i="2"/>
  <c r="N236" i="2"/>
  <c r="P246" i="2"/>
  <c r="Q246" i="2" s="1"/>
  <c r="N320" i="2"/>
  <c r="B38" i="1" s="1"/>
  <c r="B44" i="1" s="1"/>
  <c r="Q307" i="2"/>
  <c r="X248" i="2"/>
  <c r="Y248" i="2" s="1"/>
  <c r="AA248" i="2" s="1"/>
  <c r="X250" i="2"/>
  <c r="Y250" i="2" s="1"/>
  <c r="AA250" i="2" s="1"/>
  <c r="R285" i="2"/>
  <c r="V285" i="2" s="1"/>
  <c r="AB285" i="2" s="1"/>
  <c r="AC285" i="2" s="1"/>
  <c r="AB201" i="2"/>
  <c r="AC201" i="2" s="1"/>
  <c r="T286" i="2"/>
  <c r="R262" i="2"/>
  <c r="AB286" i="2"/>
  <c r="AC286" i="2" s="1"/>
  <c r="T278" i="2"/>
  <c r="X278" i="2" s="1"/>
  <c r="Y278" i="2" s="1"/>
  <c r="AA278" i="2" s="1"/>
  <c r="AB278" i="2" s="1"/>
  <c r="AC278" i="2" s="1"/>
  <c r="T201" i="2"/>
  <c r="X52" i="2"/>
  <c r="X312" i="2"/>
  <c r="Y312" i="2" s="1"/>
  <c r="AA312" i="2" s="1"/>
  <c r="T255" i="2"/>
  <c r="V202" i="2"/>
  <c r="AB202" i="2" s="1"/>
  <c r="AC202" i="2" s="1"/>
  <c r="V220" i="2"/>
  <c r="AB220" i="2" s="1"/>
  <c r="AC220" i="2" s="1"/>
  <c r="T234" i="2"/>
  <c r="AB234" i="2"/>
  <c r="AC234" i="2" s="1"/>
  <c r="R17" i="2"/>
  <c r="V17" i="2" s="1"/>
  <c r="V203" i="2"/>
  <c r="AB203" i="2" s="1"/>
  <c r="AC203" i="2" s="1"/>
  <c r="T203" i="2"/>
  <c r="R101" i="2"/>
  <c r="V101" i="2" s="1"/>
  <c r="AB255" i="2"/>
  <c r="AC255" i="2" s="1"/>
  <c r="X308" i="2"/>
  <c r="Y308" i="2" s="1"/>
  <c r="AA308" i="2" s="1"/>
  <c r="R184" i="2"/>
  <c r="V184" i="2" s="1"/>
  <c r="R188" i="2"/>
  <c r="V188" i="2" s="1"/>
  <c r="R215" i="2"/>
  <c r="X271" i="2"/>
  <c r="Y271" i="2" s="1"/>
  <c r="AA271" i="2" s="1"/>
  <c r="R20" i="2"/>
  <c r="V20" i="2" s="1"/>
  <c r="R299" i="2"/>
  <c r="X42" i="2"/>
  <c r="Y42" i="2" s="1"/>
  <c r="AA42" i="2" s="1"/>
  <c r="R67" i="2"/>
  <c r="V67" i="2" s="1"/>
  <c r="R75" i="2"/>
  <c r="T75" i="2" s="1"/>
  <c r="R87" i="2"/>
  <c r="V87" i="2" s="1"/>
  <c r="R115" i="2"/>
  <c r="T115" i="2" s="1"/>
  <c r="X144" i="2"/>
  <c r="Y144" i="2" s="1"/>
  <c r="AA144" i="2" s="1"/>
  <c r="R146" i="2"/>
  <c r="T146" i="2" s="1"/>
  <c r="X244" i="2"/>
  <c r="Y244" i="2" s="1"/>
  <c r="AA244" i="2" s="1"/>
  <c r="X38" i="2"/>
  <c r="Y38" i="2" s="1"/>
  <c r="AA38" i="2" s="1"/>
  <c r="X46" i="2"/>
  <c r="Y46" i="2" s="1"/>
  <c r="AA46" i="2" s="1"/>
  <c r="R68" i="2"/>
  <c r="V68" i="2" s="1"/>
  <c r="R73" i="2"/>
  <c r="V73" i="2" s="1"/>
  <c r="X40" i="2"/>
  <c r="Y40" i="2" s="1"/>
  <c r="AA40" i="2" s="1"/>
  <c r="R52" i="2"/>
  <c r="V52" i="2" s="1"/>
  <c r="X76" i="2"/>
  <c r="Y76" i="2" s="1"/>
  <c r="AA76" i="2" s="1"/>
  <c r="X90" i="2"/>
  <c r="Y90" i="2" s="1"/>
  <c r="AA90" i="2" s="1"/>
  <c r="R97" i="2"/>
  <c r="V97" i="2" s="1"/>
  <c r="R109" i="2"/>
  <c r="V109" i="2" s="1"/>
  <c r="R122" i="2"/>
  <c r="V122" i="2" s="1"/>
  <c r="X240" i="2"/>
  <c r="Y240" i="2" s="1"/>
  <c r="AA240" i="2" s="1"/>
  <c r="T200" i="2"/>
  <c r="X71" i="2"/>
  <c r="Y71" i="2" s="1"/>
  <c r="AA71" i="2" s="1"/>
  <c r="R140" i="2"/>
  <c r="V140" i="2" s="1"/>
  <c r="T254" i="2"/>
  <c r="X215" i="2"/>
  <c r="Y215" i="2" s="1"/>
  <c r="AA215" i="2" s="1"/>
  <c r="X43" i="2"/>
  <c r="Y43" i="2" s="1"/>
  <c r="AA43" i="2" s="1"/>
  <c r="X111" i="2"/>
  <c r="Y111" i="2" s="1"/>
  <c r="AA111" i="2" s="1"/>
  <c r="R121" i="2"/>
  <c r="V121" i="2" s="1"/>
  <c r="X145" i="2"/>
  <c r="Y145" i="2" s="1"/>
  <c r="AA145" i="2" s="1"/>
  <c r="X149" i="2"/>
  <c r="Y149" i="2" s="1"/>
  <c r="AA149" i="2" s="1"/>
  <c r="R166" i="2"/>
  <c r="T166" i="2" s="1"/>
  <c r="X166" i="2" s="1"/>
  <c r="Y166" i="2" s="1"/>
  <c r="AA166" i="2" s="1"/>
  <c r="R240" i="2"/>
  <c r="V240" i="2" s="1"/>
  <c r="R249" i="2"/>
  <c r="V249" i="2" s="1"/>
  <c r="AB254" i="2"/>
  <c r="AC254" i="2" s="1"/>
  <c r="X41" i="2"/>
  <c r="Y41" i="2" s="1"/>
  <c r="AA41" i="2" s="1"/>
  <c r="X45" i="2"/>
  <c r="Y45" i="2" s="1"/>
  <c r="AA45" i="2" s="1"/>
  <c r="X74" i="2"/>
  <c r="Y74" i="2" s="1"/>
  <c r="AA74" i="2" s="1"/>
  <c r="X75" i="2"/>
  <c r="Y75" i="2" s="1"/>
  <c r="AA75" i="2" s="1"/>
  <c r="R99" i="2"/>
  <c r="V99" i="2" s="1"/>
  <c r="X103" i="2"/>
  <c r="Y103" i="2" s="1"/>
  <c r="AA103" i="2" s="1"/>
  <c r="R106" i="2"/>
  <c r="V106" i="2" s="1"/>
  <c r="R107" i="2"/>
  <c r="V107" i="2" s="1"/>
  <c r="X146" i="2"/>
  <c r="Y146" i="2" s="1"/>
  <c r="AA146" i="2" s="1"/>
  <c r="R185" i="2"/>
  <c r="T185" i="2" s="1"/>
  <c r="R219" i="2"/>
  <c r="P236" i="2"/>
  <c r="R244" i="2"/>
  <c r="X309" i="2"/>
  <c r="Y309" i="2" s="1"/>
  <c r="AA309" i="2" s="1"/>
  <c r="X12" i="2"/>
  <c r="Y12" i="2" s="1"/>
  <c r="R18" i="2"/>
  <c r="R19" i="2"/>
  <c r="V19" i="2" s="1"/>
  <c r="R38" i="2"/>
  <c r="T38" i="2" s="1"/>
  <c r="R71" i="2"/>
  <c r="T71" i="2" s="1"/>
  <c r="X72" i="2"/>
  <c r="Y72" i="2" s="1"/>
  <c r="AA72" i="2" s="1"/>
  <c r="X73" i="2"/>
  <c r="Y73" i="2" s="1"/>
  <c r="AA73" i="2" s="1"/>
  <c r="X89" i="2"/>
  <c r="Y89" i="2" s="1"/>
  <c r="AA89" i="2" s="1"/>
  <c r="R110" i="2"/>
  <c r="V110" i="2" s="1"/>
  <c r="X127" i="2"/>
  <c r="Y127" i="2" s="1"/>
  <c r="AA127" i="2" s="1"/>
  <c r="X129" i="2"/>
  <c r="Y129" i="2" s="1"/>
  <c r="AA129" i="2" s="1"/>
  <c r="X131" i="2"/>
  <c r="Y131" i="2" s="1"/>
  <c r="AA131" i="2" s="1"/>
  <c r="R143" i="2"/>
  <c r="V143" i="2" s="1"/>
  <c r="R147" i="2"/>
  <c r="V147" i="2" s="1"/>
  <c r="X151" i="2"/>
  <c r="Y151" i="2" s="1"/>
  <c r="AA151" i="2" s="1"/>
  <c r="R170" i="2"/>
  <c r="T170" i="2" s="1"/>
  <c r="X170" i="2" s="1"/>
  <c r="Y170" i="2" s="1"/>
  <c r="AA170" i="2" s="1"/>
  <c r="R181" i="2"/>
  <c r="V181" i="2" s="1"/>
  <c r="R186" i="2"/>
  <c r="V186" i="2" s="1"/>
  <c r="R218" i="2"/>
  <c r="V218" i="2" s="1"/>
  <c r="Q229" i="2"/>
  <c r="Q236" i="2" s="1"/>
  <c r="R297" i="2"/>
  <c r="AB200" i="2"/>
  <c r="AC200" i="2" s="1"/>
  <c r="X39" i="2"/>
  <c r="Y39" i="2" s="1"/>
  <c r="AA39" i="2" s="1"/>
  <c r="R42" i="2"/>
  <c r="T42" i="2" s="1"/>
  <c r="X70" i="2"/>
  <c r="Y70" i="2" s="1"/>
  <c r="AA70" i="2" s="1"/>
  <c r="X150" i="2"/>
  <c r="Y150" i="2" s="1"/>
  <c r="AA150" i="2" s="1"/>
  <c r="R217" i="2"/>
  <c r="R243" i="2"/>
  <c r="X245" i="2"/>
  <c r="Y245" i="2" s="1"/>
  <c r="AA245" i="2" s="1"/>
  <c r="R246" i="2"/>
  <c r="T246" i="2" s="1"/>
  <c r="R250" i="2"/>
  <c r="X301" i="2"/>
  <c r="Y301" i="2" s="1"/>
  <c r="AA301" i="2" s="1"/>
  <c r="R310" i="2"/>
  <c r="V310" i="2" s="1"/>
  <c r="X148" i="2"/>
  <c r="Y148" i="2" s="1"/>
  <c r="AA148" i="2" s="1"/>
  <c r="R148" i="2"/>
  <c r="T148" i="2" s="1"/>
  <c r="X37" i="2"/>
  <c r="X142" i="2"/>
  <c r="Y142" i="2" s="1"/>
  <c r="AA142" i="2" s="1"/>
  <c r="R142" i="2"/>
  <c r="R144" i="2"/>
  <c r="T144" i="2" s="1"/>
  <c r="X77" i="2"/>
  <c r="Y77" i="2" s="1"/>
  <c r="AA77" i="2" s="1"/>
  <c r="X94" i="2"/>
  <c r="Y94" i="2" s="1"/>
  <c r="AA94" i="2" s="1"/>
  <c r="R39" i="2"/>
  <c r="R43" i="2"/>
  <c r="V43" i="2" s="1"/>
  <c r="R65" i="2"/>
  <c r="T65" i="2" s="1"/>
  <c r="R94" i="2"/>
  <c r="R98" i="2"/>
  <c r="V98" i="2" s="1"/>
  <c r="R102" i="2"/>
  <c r="T102" i="2" s="1"/>
  <c r="R103" i="2"/>
  <c r="T103" i="2" s="1"/>
  <c r="R104" i="2"/>
  <c r="T104" i="2" s="1"/>
  <c r="R111" i="2"/>
  <c r="T111" i="2" s="1"/>
  <c r="R112" i="2"/>
  <c r="V112" i="2" s="1"/>
  <c r="R119" i="2"/>
  <c r="V119" i="2" s="1"/>
  <c r="X130" i="2"/>
  <c r="Y130" i="2" s="1"/>
  <c r="AA130" i="2" s="1"/>
  <c r="Q130" i="2"/>
  <c r="R141" i="2"/>
  <c r="V141" i="2" s="1"/>
  <c r="X141" i="2"/>
  <c r="Y141" i="2" s="1"/>
  <c r="AA141" i="2" s="1"/>
  <c r="X29" i="2"/>
  <c r="Y29" i="2" s="1"/>
  <c r="AA29" i="2" s="1"/>
  <c r="R40" i="2"/>
  <c r="V40" i="2" s="1"/>
  <c r="R45" i="2"/>
  <c r="T45" i="2" s="1"/>
  <c r="R53" i="2"/>
  <c r="T53" i="2" s="1"/>
  <c r="R70" i="2"/>
  <c r="T70" i="2" s="1"/>
  <c r="R72" i="2"/>
  <c r="V72" i="2" s="1"/>
  <c r="R74" i="2"/>
  <c r="T74" i="2" s="1"/>
  <c r="R76" i="2"/>
  <c r="R89" i="2"/>
  <c r="T89" i="2" s="1"/>
  <c r="R120" i="2"/>
  <c r="T120" i="2" s="1"/>
  <c r="X121" i="2"/>
  <c r="Y121" i="2" s="1"/>
  <c r="AA121" i="2" s="1"/>
  <c r="X122" i="2"/>
  <c r="Y122" i="2" s="1"/>
  <c r="AA122" i="2" s="1"/>
  <c r="X137" i="2"/>
  <c r="Y137" i="2" s="1"/>
  <c r="AA137" i="2" s="1"/>
  <c r="X143" i="2"/>
  <c r="Y143" i="2" s="1"/>
  <c r="AA143" i="2" s="1"/>
  <c r="X147" i="2"/>
  <c r="Y147" i="2" s="1"/>
  <c r="AA147" i="2" s="1"/>
  <c r="R22" i="2"/>
  <c r="T22" i="2" s="1"/>
  <c r="R27" i="2"/>
  <c r="V27" i="2" s="1"/>
  <c r="R37" i="2"/>
  <c r="T37" i="2" s="1"/>
  <c r="R41" i="2"/>
  <c r="V41" i="2" s="1"/>
  <c r="R44" i="2"/>
  <c r="V44" i="2" s="1"/>
  <c r="X53" i="2"/>
  <c r="Y53" i="2" s="1"/>
  <c r="AA53" i="2" s="1"/>
  <c r="R69" i="2"/>
  <c r="V69" i="2" s="1"/>
  <c r="R85" i="2"/>
  <c r="V85" i="2" s="1"/>
  <c r="R91" i="2"/>
  <c r="T91" i="2" s="1"/>
  <c r="R96" i="2"/>
  <c r="T96" i="2" s="1"/>
  <c r="X102" i="2"/>
  <c r="Y102" i="2" s="1"/>
  <c r="AA102" i="2" s="1"/>
  <c r="R108" i="2"/>
  <c r="V108" i="2" s="1"/>
  <c r="R117" i="2"/>
  <c r="T117" i="2" s="1"/>
  <c r="X128" i="2"/>
  <c r="Y128" i="2" s="1"/>
  <c r="AA128" i="2" s="1"/>
  <c r="Q128" i="2"/>
  <c r="R145" i="2"/>
  <c r="V145" i="2" s="1"/>
  <c r="AB145" i="2" s="1"/>
  <c r="AC145" i="2" s="1"/>
  <c r="R149" i="2"/>
  <c r="V149" i="2" s="1"/>
  <c r="R150" i="2"/>
  <c r="V150" i="2" s="1"/>
  <c r="R151" i="2"/>
  <c r="V151" i="2" s="1"/>
  <c r="X177" i="2"/>
  <c r="Y177" i="2" s="1"/>
  <c r="AA177" i="2" s="1"/>
  <c r="R66" i="2"/>
  <c r="T66" i="2" s="1"/>
  <c r="R77" i="2"/>
  <c r="R92" i="2"/>
  <c r="V92" i="2" s="1"/>
  <c r="R95" i="2"/>
  <c r="T95" i="2" s="1"/>
  <c r="R113" i="2"/>
  <c r="T113" i="2" s="1"/>
  <c r="R116" i="2"/>
  <c r="V116" i="2" s="1"/>
  <c r="R123" i="2"/>
  <c r="V123" i="2" s="1"/>
  <c r="X126" i="2"/>
  <c r="Y126" i="2" s="1"/>
  <c r="AA126" i="2" s="1"/>
  <c r="R182" i="2"/>
  <c r="R164" i="2"/>
  <c r="V164" i="2" s="1"/>
  <c r="R165" i="2"/>
  <c r="V165" i="2" s="1"/>
  <c r="R168" i="2"/>
  <c r="V168" i="2" s="1"/>
  <c r="R173" i="2"/>
  <c r="T173" i="2" s="1"/>
  <c r="X173" i="2" s="1"/>
  <c r="Y173" i="2" s="1"/>
  <c r="AA173" i="2" s="1"/>
  <c r="R230" i="2"/>
  <c r="V230" i="2" s="1"/>
  <c r="R247" i="2"/>
  <c r="V247" i="2" s="1"/>
  <c r="R251" i="2"/>
  <c r="T251" i="2" s="1"/>
  <c r="R167" i="2"/>
  <c r="T167" i="2" s="1"/>
  <c r="X167" i="2" s="1"/>
  <c r="Y167" i="2" s="1"/>
  <c r="AA167" i="2" s="1"/>
  <c r="R171" i="2"/>
  <c r="T171" i="2" s="1"/>
  <c r="R177" i="2"/>
  <c r="T177" i="2" s="1"/>
  <c r="R183" i="2"/>
  <c r="V183" i="2" s="1"/>
  <c r="R211" i="2"/>
  <c r="V211" i="2" s="1"/>
  <c r="R213" i="2"/>
  <c r="T213" i="2" s="1"/>
  <c r="X213" i="2" s="1"/>
  <c r="Y213" i="2" s="1"/>
  <c r="AA213" i="2" s="1"/>
  <c r="X216" i="2"/>
  <c r="Y216" i="2" s="1"/>
  <c r="AA216" i="2" s="1"/>
  <c r="R227" i="2"/>
  <c r="V227" i="2" s="1"/>
  <c r="R228" i="2"/>
  <c r="R242" i="2"/>
  <c r="T242" i="2" s="1"/>
  <c r="X247" i="2"/>
  <c r="Y247" i="2" s="1"/>
  <c r="AA247" i="2" s="1"/>
  <c r="X251" i="2"/>
  <c r="Y251" i="2" s="1"/>
  <c r="AA251" i="2" s="1"/>
  <c r="X268" i="2"/>
  <c r="Y268" i="2" s="1"/>
  <c r="R284" i="2"/>
  <c r="V284" i="2" s="1"/>
  <c r="R294" i="2"/>
  <c r="V294" i="2" s="1"/>
  <c r="R296" i="2"/>
  <c r="R300" i="2"/>
  <c r="X311" i="2"/>
  <c r="Y311" i="2" s="1"/>
  <c r="AA311" i="2" s="1"/>
  <c r="R114" i="2"/>
  <c r="T114" i="2" s="1"/>
  <c r="R118" i="2"/>
  <c r="V118" i="2" s="1"/>
  <c r="R127" i="2"/>
  <c r="V127" i="2" s="1"/>
  <c r="R129" i="2"/>
  <c r="T129" i="2" s="1"/>
  <c r="R131" i="2"/>
  <c r="V131" i="2" s="1"/>
  <c r="X132" i="2"/>
  <c r="Y132" i="2" s="1"/>
  <c r="AA132" i="2" s="1"/>
  <c r="X133" i="2"/>
  <c r="Y133" i="2" s="1"/>
  <c r="AA133" i="2" s="1"/>
  <c r="X134" i="2"/>
  <c r="Y134" i="2" s="1"/>
  <c r="AA134" i="2" s="1"/>
  <c r="X135" i="2"/>
  <c r="Y135" i="2" s="1"/>
  <c r="AA135" i="2" s="1"/>
  <c r="X136" i="2"/>
  <c r="Y136" i="2" s="1"/>
  <c r="AA136" i="2" s="1"/>
  <c r="R152" i="2"/>
  <c r="T152" i="2" s="1"/>
  <c r="R153" i="2"/>
  <c r="V153" i="2" s="1"/>
  <c r="R154" i="2"/>
  <c r="T154" i="2" s="1"/>
  <c r="R155" i="2"/>
  <c r="V155" i="2" s="1"/>
  <c r="R156" i="2"/>
  <c r="V156" i="2" s="1"/>
  <c r="R157" i="2"/>
  <c r="V157" i="2" s="1"/>
  <c r="R158" i="2"/>
  <c r="T158" i="2" s="1"/>
  <c r="R160" i="2"/>
  <c r="R162" i="2"/>
  <c r="V162" i="2" s="1"/>
  <c r="R169" i="2"/>
  <c r="V169" i="2" s="1"/>
  <c r="R178" i="2"/>
  <c r="T178" i="2" s="1"/>
  <c r="R187" i="2"/>
  <c r="T187" i="2" s="1"/>
  <c r="R231" i="2"/>
  <c r="V231" i="2" s="1"/>
  <c r="R245" i="2"/>
  <c r="V245" i="2" s="1"/>
  <c r="R248" i="2"/>
  <c r="V248" i="2" s="1"/>
  <c r="X249" i="2"/>
  <c r="Y249" i="2" s="1"/>
  <c r="AA249" i="2" s="1"/>
  <c r="R252" i="2"/>
  <c r="T252" i="2" s="1"/>
  <c r="X252" i="2" s="1"/>
  <c r="Y252" i="2" s="1"/>
  <c r="AA252" i="2" s="1"/>
  <c r="R269" i="2"/>
  <c r="T269" i="2" s="1"/>
  <c r="X270" i="2"/>
  <c r="Y270" i="2" s="1"/>
  <c r="AA270" i="2" s="1"/>
  <c r="R298" i="2"/>
  <c r="R301" i="2"/>
  <c r="T301" i="2" s="1"/>
  <c r="X313" i="2"/>
  <c r="Y313" i="2" s="1"/>
  <c r="AA313" i="2" s="1"/>
  <c r="AB11" i="2"/>
  <c r="V45" i="2"/>
  <c r="V53" i="2"/>
  <c r="Y58" i="2"/>
  <c r="X60" i="2"/>
  <c r="T17" i="2"/>
  <c r="R13" i="2"/>
  <c r="X13" i="2"/>
  <c r="Y13" i="2" s="1"/>
  <c r="AA13" i="2" s="1"/>
  <c r="T27" i="2"/>
  <c r="T41" i="2"/>
  <c r="T44" i="2"/>
  <c r="Q13" i="2"/>
  <c r="V18" i="2"/>
  <c r="T18" i="2"/>
  <c r="R23" i="2"/>
  <c r="R12" i="2"/>
  <c r="R14" i="2"/>
  <c r="X14" i="2"/>
  <c r="Y14" i="2" s="1"/>
  <c r="AA14" i="2" s="1"/>
  <c r="N33" i="2"/>
  <c r="P15" i="2"/>
  <c r="R15" i="2"/>
  <c r="X17" i="2"/>
  <c r="Y17" i="2" s="1"/>
  <c r="AA17" i="2" s="1"/>
  <c r="R26" i="2"/>
  <c r="R30" i="2"/>
  <c r="V42" i="2"/>
  <c r="R16" i="2"/>
  <c r="X16" i="2"/>
  <c r="Y16" i="2" s="1"/>
  <c r="AA16" i="2" s="1"/>
  <c r="R21" i="2"/>
  <c r="R25" i="2"/>
  <c r="R28" i="2"/>
  <c r="X28" i="2"/>
  <c r="Y28" i="2" s="1"/>
  <c r="AA28" i="2" s="1"/>
  <c r="R29" i="2"/>
  <c r="V39" i="2"/>
  <c r="AB39" i="2" s="1"/>
  <c r="AC39" i="2" s="1"/>
  <c r="T39" i="2"/>
  <c r="R46" i="2"/>
  <c r="P55" i="2"/>
  <c r="X68" i="2"/>
  <c r="Y68" i="2" s="1"/>
  <c r="AA68" i="2" s="1"/>
  <c r="R79" i="2"/>
  <c r="T94" i="2"/>
  <c r="V94" i="2"/>
  <c r="AB94" i="2" s="1"/>
  <c r="AC94" i="2" s="1"/>
  <c r="T99" i="2"/>
  <c r="X100" i="2"/>
  <c r="Y100" i="2" s="1"/>
  <c r="AA100" i="2" s="1"/>
  <c r="V113" i="2"/>
  <c r="Y37" i="2"/>
  <c r="Y52" i="2"/>
  <c r="X67" i="2"/>
  <c r="Y67" i="2" s="1"/>
  <c r="AA67" i="2" s="1"/>
  <c r="R78" i="2"/>
  <c r="T85" i="2"/>
  <c r="X86" i="2"/>
  <c r="Y86" i="2" s="1"/>
  <c r="AA86" i="2" s="1"/>
  <c r="X88" i="2"/>
  <c r="Y88" i="2" s="1"/>
  <c r="AA88" i="2" s="1"/>
  <c r="X93" i="2"/>
  <c r="Y93" i="2" s="1"/>
  <c r="AA93" i="2" s="1"/>
  <c r="T97" i="2"/>
  <c r="V103" i="2"/>
  <c r="AB103" i="2" s="1"/>
  <c r="AC103" i="2" s="1"/>
  <c r="V104" i="2"/>
  <c r="V111" i="2"/>
  <c r="T112" i="2"/>
  <c r="X26" i="2"/>
  <c r="Y26" i="2" s="1"/>
  <c r="AA26" i="2" s="1"/>
  <c r="Q58" i="2"/>
  <c r="Q60" i="2" s="1"/>
  <c r="R58" i="2"/>
  <c r="X66" i="2"/>
  <c r="Y66" i="2" s="1"/>
  <c r="AA66" i="2" s="1"/>
  <c r="R81" i="2"/>
  <c r="R83" i="2"/>
  <c r="T98" i="2"/>
  <c r="X99" i="2"/>
  <c r="Y99" i="2" s="1"/>
  <c r="AA99" i="2" s="1"/>
  <c r="R100" i="2"/>
  <c r="R105" i="2"/>
  <c r="V115" i="2"/>
  <c r="T123" i="2"/>
  <c r="X18" i="2"/>
  <c r="Y18" i="2" s="1"/>
  <c r="AA18" i="2" s="1"/>
  <c r="X19" i="2"/>
  <c r="Y19" i="2" s="1"/>
  <c r="AA19" i="2" s="1"/>
  <c r="X22" i="2"/>
  <c r="Y22" i="2" s="1"/>
  <c r="AA22" i="2" s="1"/>
  <c r="X27" i="2"/>
  <c r="Y27" i="2" s="1"/>
  <c r="AA27" i="2" s="1"/>
  <c r="X65" i="2"/>
  <c r="X69" i="2"/>
  <c r="Y69" i="2" s="1"/>
  <c r="AA69" i="2" s="1"/>
  <c r="V70" i="2"/>
  <c r="V71" i="2"/>
  <c r="AB71" i="2" s="1"/>
  <c r="AC71" i="2" s="1"/>
  <c r="V74" i="2"/>
  <c r="AB74" i="2" s="1"/>
  <c r="AC74" i="2" s="1"/>
  <c r="V75" i="2"/>
  <c r="R80" i="2"/>
  <c r="R82" i="2"/>
  <c r="R84" i="2"/>
  <c r="R86" i="2"/>
  <c r="X87" i="2"/>
  <c r="Y87" i="2" s="1"/>
  <c r="AA87" i="2" s="1"/>
  <c r="R88" i="2"/>
  <c r="R90" i="2"/>
  <c r="D95" i="2"/>
  <c r="D97" i="2" s="1"/>
  <c r="D94" i="2"/>
  <c r="R93" i="2"/>
  <c r="T118" i="2"/>
  <c r="X101" i="2"/>
  <c r="Y101" i="2" s="1"/>
  <c r="AA101" i="2" s="1"/>
  <c r="AB101" i="2" s="1"/>
  <c r="X106" i="2"/>
  <c r="Y106" i="2" s="1"/>
  <c r="AA106" i="2" s="1"/>
  <c r="AB106" i="2" s="1"/>
  <c r="X107" i="2"/>
  <c r="Y107" i="2" s="1"/>
  <c r="AA107" i="2" s="1"/>
  <c r="X108" i="2"/>
  <c r="Y108" i="2" s="1"/>
  <c r="AA108" i="2" s="1"/>
  <c r="X109" i="2"/>
  <c r="Y109" i="2" s="1"/>
  <c r="AA109" i="2" s="1"/>
  <c r="X110" i="2"/>
  <c r="Y110" i="2" s="1"/>
  <c r="AA110" i="2" s="1"/>
  <c r="AB110" i="2" s="1"/>
  <c r="R124" i="2"/>
  <c r="R137" i="2"/>
  <c r="R138" i="2"/>
  <c r="V142" i="2"/>
  <c r="AB142" i="2" s="1"/>
  <c r="AC142" i="2" s="1"/>
  <c r="T142" i="2"/>
  <c r="T145" i="2"/>
  <c r="V146" i="2"/>
  <c r="AB146" i="2" s="1"/>
  <c r="AC146" i="2" s="1"/>
  <c r="V148" i="2"/>
  <c r="AB148" i="2" s="1"/>
  <c r="AC148" i="2" s="1"/>
  <c r="X152" i="2"/>
  <c r="Y152" i="2" s="1"/>
  <c r="AA152" i="2" s="1"/>
  <c r="X154" i="2"/>
  <c r="Y154" i="2" s="1"/>
  <c r="AA154" i="2" s="1"/>
  <c r="X158" i="2"/>
  <c r="Y158" i="2" s="1"/>
  <c r="AA158" i="2" s="1"/>
  <c r="T168" i="2"/>
  <c r="R172" i="2"/>
  <c r="P176" i="2"/>
  <c r="Q176" i="2" s="1"/>
  <c r="X120" i="2"/>
  <c r="Y120" i="2" s="1"/>
  <c r="AA120" i="2" s="1"/>
  <c r="X123" i="2"/>
  <c r="Y123" i="2" s="1"/>
  <c r="AA123" i="2" s="1"/>
  <c r="X125" i="2"/>
  <c r="Y125" i="2" s="1"/>
  <c r="AA125" i="2" s="1"/>
  <c r="X140" i="2"/>
  <c r="Y140" i="2" s="1"/>
  <c r="AA140" i="2" s="1"/>
  <c r="AB140" i="2" s="1"/>
  <c r="V154" i="2"/>
  <c r="V160" i="2"/>
  <c r="T160" i="2"/>
  <c r="X160" i="2" s="1"/>
  <c r="Y160" i="2" s="1"/>
  <c r="AA160" i="2" s="1"/>
  <c r="R163" i="2"/>
  <c r="X78" i="2"/>
  <c r="Y78" i="2" s="1"/>
  <c r="AA78" i="2" s="1"/>
  <c r="X79" i="2"/>
  <c r="Y79" i="2" s="1"/>
  <c r="AA79" i="2" s="1"/>
  <c r="X80" i="2"/>
  <c r="Y80" i="2" s="1"/>
  <c r="AA80" i="2" s="1"/>
  <c r="X81" i="2"/>
  <c r="Y81" i="2" s="1"/>
  <c r="AA81" i="2" s="1"/>
  <c r="X82" i="2"/>
  <c r="Y82" i="2" s="1"/>
  <c r="AA82" i="2" s="1"/>
  <c r="X91" i="2"/>
  <c r="Y91" i="2" s="1"/>
  <c r="AA91" i="2" s="1"/>
  <c r="X95" i="2"/>
  <c r="Y95" i="2" s="1"/>
  <c r="AA95" i="2" s="1"/>
  <c r="X96" i="2"/>
  <c r="Y96" i="2" s="1"/>
  <c r="AA96" i="2" s="1"/>
  <c r="T101" i="2"/>
  <c r="X104" i="2"/>
  <c r="Y104" i="2" s="1"/>
  <c r="AA104" i="2" s="1"/>
  <c r="T106" i="2"/>
  <c r="T108" i="2"/>
  <c r="T109" i="2"/>
  <c r="X112" i="2"/>
  <c r="Y112" i="2" s="1"/>
  <c r="AA112" i="2" s="1"/>
  <c r="X113" i="2"/>
  <c r="Y113" i="2" s="1"/>
  <c r="AA113" i="2" s="1"/>
  <c r="X114" i="2"/>
  <c r="Y114" i="2" s="1"/>
  <c r="AA114" i="2" s="1"/>
  <c r="X115" i="2"/>
  <c r="Y115" i="2" s="1"/>
  <c r="AA115" i="2" s="1"/>
  <c r="X116" i="2"/>
  <c r="Y116" i="2" s="1"/>
  <c r="AA116" i="2" s="1"/>
  <c r="X117" i="2"/>
  <c r="Y117" i="2" s="1"/>
  <c r="AA117" i="2" s="1"/>
  <c r="X118" i="2"/>
  <c r="Y118" i="2" s="1"/>
  <c r="AA118" i="2" s="1"/>
  <c r="X119" i="2"/>
  <c r="Y119" i="2" s="1"/>
  <c r="AA119" i="2" s="1"/>
  <c r="T122" i="2"/>
  <c r="R126" i="2"/>
  <c r="R128" i="2"/>
  <c r="R130" i="2"/>
  <c r="R132" i="2"/>
  <c r="R133" i="2"/>
  <c r="R134" i="2"/>
  <c r="R135" i="2"/>
  <c r="R136" i="2"/>
  <c r="X153" i="2"/>
  <c r="Y153" i="2" s="1"/>
  <c r="AA153" i="2" s="1"/>
  <c r="X155" i="2"/>
  <c r="Y155" i="2" s="1"/>
  <c r="AA155" i="2" s="1"/>
  <c r="V166" i="2"/>
  <c r="V170" i="2"/>
  <c r="V182" i="2"/>
  <c r="T182" i="2"/>
  <c r="V185" i="2"/>
  <c r="X83" i="2"/>
  <c r="Y83" i="2" s="1"/>
  <c r="AA83" i="2" s="1"/>
  <c r="X84" i="2"/>
  <c r="Y84" i="2" s="1"/>
  <c r="AA84" i="2" s="1"/>
  <c r="X85" i="2"/>
  <c r="Y85" i="2" s="1"/>
  <c r="AA85" i="2" s="1"/>
  <c r="X92" i="2"/>
  <c r="Y92" i="2" s="1"/>
  <c r="AA92" i="2" s="1"/>
  <c r="X97" i="2"/>
  <c r="Y97" i="2" s="1"/>
  <c r="AA97" i="2" s="1"/>
  <c r="AB97" i="2" s="1"/>
  <c r="X98" i="2"/>
  <c r="Y98" i="2" s="1"/>
  <c r="AA98" i="2" s="1"/>
  <c r="AB98" i="2" s="1"/>
  <c r="X105" i="2"/>
  <c r="Y105" i="2" s="1"/>
  <c r="AA105" i="2" s="1"/>
  <c r="X124" i="2"/>
  <c r="Y124" i="2" s="1"/>
  <c r="AA124" i="2" s="1"/>
  <c r="R125" i="2"/>
  <c r="R139" i="2"/>
  <c r="T155" i="2"/>
  <c r="R159" i="2"/>
  <c r="R161" i="2"/>
  <c r="R174" i="2"/>
  <c r="V187" i="2"/>
  <c r="X179" i="2"/>
  <c r="Y179" i="2" s="1"/>
  <c r="AA179" i="2" s="1"/>
  <c r="X184" i="2"/>
  <c r="Y184" i="2" s="1"/>
  <c r="AA184" i="2" s="1"/>
  <c r="X186" i="2"/>
  <c r="Y186" i="2" s="1"/>
  <c r="AA186" i="2" s="1"/>
  <c r="R189" i="2"/>
  <c r="R190" i="2"/>
  <c r="R191" i="2"/>
  <c r="R192" i="2"/>
  <c r="R193" i="2"/>
  <c r="R194" i="2"/>
  <c r="R195" i="2"/>
  <c r="R196" i="2"/>
  <c r="R197" i="2"/>
  <c r="R198" i="2"/>
  <c r="R199" i="2"/>
  <c r="V215" i="2"/>
  <c r="T215" i="2"/>
  <c r="X180" i="2"/>
  <c r="Y180" i="2" s="1"/>
  <c r="AA180" i="2" s="1"/>
  <c r="T211" i="2"/>
  <c r="X211" i="2" s="1"/>
  <c r="Y211" i="2" s="1"/>
  <c r="AA211" i="2" s="1"/>
  <c r="V213" i="2"/>
  <c r="T227" i="2"/>
  <c r="X227" i="2" s="1"/>
  <c r="V228" i="2"/>
  <c r="T228" i="2"/>
  <c r="X138" i="2"/>
  <c r="Y138" i="2" s="1"/>
  <c r="AA138" i="2" s="1"/>
  <c r="X139" i="2"/>
  <c r="Y139" i="2" s="1"/>
  <c r="AA139" i="2" s="1"/>
  <c r="P175" i="2"/>
  <c r="Q175" i="2" s="1"/>
  <c r="R175" i="2" s="1"/>
  <c r="R179" i="2"/>
  <c r="X181" i="2"/>
  <c r="Y181" i="2" s="1"/>
  <c r="AA181" i="2" s="1"/>
  <c r="X183" i="2"/>
  <c r="Y183" i="2" s="1"/>
  <c r="AA183" i="2" s="1"/>
  <c r="X185" i="2"/>
  <c r="Y185" i="2" s="1"/>
  <c r="AA185" i="2" s="1"/>
  <c r="X187" i="2"/>
  <c r="Y187" i="2" s="1"/>
  <c r="AA187" i="2" s="1"/>
  <c r="V217" i="2"/>
  <c r="T217" i="2"/>
  <c r="N206" i="2"/>
  <c r="X168" i="2"/>
  <c r="Y168" i="2" s="1"/>
  <c r="AA168" i="2" s="1"/>
  <c r="X171" i="2"/>
  <c r="Y171" i="2" s="1"/>
  <c r="AA171" i="2" s="1"/>
  <c r="X178" i="2"/>
  <c r="Y178" i="2" s="1"/>
  <c r="AA178" i="2" s="1"/>
  <c r="R180" i="2"/>
  <c r="X182" i="2"/>
  <c r="Y182" i="2" s="1"/>
  <c r="AA182" i="2" s="1"/>
  <c r="R210" i="2"/>
  <c r="R212" i="2"/>
  <c r="V219" i="2"/>
  <c r="T219" i="2"/>
  <c r="R229" i="2"/>
  <c r="T230" i="2"/>
  <c r="V243" i="2"/>
  <c r="T243" i="2"/>
  <c r="V251" i="2"/>
  <c r="AB251" i="2" s="1"/>
  <c r="AC251" i="2" s="1"/>
  <c r="N224" i="2"/>
  <c r="X217" i="2"/>
  <c r="Y217" i="2" s="1"/>
  <c r="AA217" i="2" s="1"/>
  <c r="R233" i="2"/>
  <c r="T240" i="2"/>
  <c r="R241" i="2"/>
  <c r="V242" i="2"/>
  <c r="T250" i="2"/>
  <c r="V250" i="2"/>
  <c r="AB250" i="2" s="1"/>
  <c r="AC250" i="2" s="1"/>
  <c r="X188" i="2"/>
  <c r="Y188" i="2" s="1"/>
  <c r="AA188" i="2" s="1"/>
  <c r="AB188" i="2" s="1"/>
  <c r="X189" i="2"/>
  <c r="Y189" i="2" s="1"/>
  <c r="AA189" i="2" s="1"/>
  <c r="X190" i="2"/>
  <c r="Y190" i="2" s="1"/>
  <c r="AA190" i="2" s="1"/>
  <c r="X191" i="2"/>
  <c r="Y191" i="2" s="1"/>
  <c r="AA191" i="2" s="1"/>
  <c r="X192" i="2"/>
  <c r="Y192" i="2" s="1"/>
  <c r="AA192" i="2" s="1"/>
  <c r="X193" i="2"/>
  <c r="Y193" i="2" s="1"/>
  <c r="AA193" i="2" s="1"/>
  <c r="X194" i="2"/>
  <c r="Y194" i="2" s="1"/>
  <c r="AA194" i="2" s="1"/>
  <c r="X195" i="2"/>
  <c r="Y195" i="2" s="1"/>
  <c r="AA195" i="2" s="1"/>
  <c r="X196" i="2"/>
  <c r="Y196" i="2" s="1"/>
  <c r="AA196" i="2" s="1"/>
  <c r="X197" i="2"/>
  <c r="Y197" i="2" s="1"/>
  <c r="AA197" i="2" s="1"/>
  <c r="X198" i="2"/>
  <c r="Y198" i="2" s="1"/>
  <c r="AA198" i="2" s="1"/>
  <c r="X199" i="2"/>
  <c r="Y199" i="2" s="1"/>
  <c r="AA199" i="2" s="1"/>
  <c r="Q210" i="2"/>
  <c r="P214" i="2"/>
  <c r="Q214" i="2" s="1"/>
  <c r="R214" i="2" s="1"/>
  <c r="R216" i="2"/>
  <c r="X218" i="2"/>
  <c r="Y218" i="2" s="1"/>
  <c r="AA218" i="2" s="1"/>
  <c r="AB218" i="2" s="1"/>
  <c r="X219" i="2"/>
  <c r="Y219" i="2" s="1"/>
  <c r="AA219" i="2" s="1"/>
  <c r="R232" i="2"/>
  <c r="V244" i="2"/>
  <c r="T244" i="2"/>
  <c r="T249" i="2"/>
  <c r="R253" i="2"/>
  <c r="T231" i="2"/>
  <c r="T248" i="2"/>
  <c r="V252" i="2"/>
  <c r="X253" i="2"/>
  <c r="Y253" i="2" s="1"/>
  <c r="AA253" i="2" s="1"/>
  <c r="V262" i="2"/>
  <c r="R264" i="2"/>
  <c r="T262" i="2"/>
  <c r="X272" i="2"/>
  <c r="Y272" i="2" s="1"/>
  <c r="AA272" i="2" s="1"/>
  <c r="X276" i="2"/>
  <c r="Y276" i="2" s="1"/>
  <c r="AA276" i="2" s="1"/>
  <c r="X281" i="2"/>
  <c r="Y281" i="2" s="1"/>
  <c r="AA281" i="2" s="1"/>
  <c r="V297" i="2"/>
  <c r="T297" i="2"/>
  <c r="X230" i="2"/>
  <c r="Y230" i="2" s="1"/>
  <c r="AA230" i="2" s="1"/>
  <c r="X231" i="2"/>
  <c r="Y231" i="2" s="1"/>
  <c r="AA231" i="2" s="1"/>
  <c r="X232" i="2"/>
  <c r="Y232" i="2" s="1"/>
  <c r="AA232" i="2" s="1"/>
  <c r="X233" i="2"/>
  <c r="Y233" i="2" s="1"/>
  <c r="AA233" i="2" s="1"/>
  <c r="Q240" i="2"/>
  <c r="Q268" i="2"/>
  <c r="Q289" i="2" s="1"/>
  <c r="X273" i="2"/>
  <c r="Y273" i="2" s="1"/>
  <c r="AA273" i="2" s="1"/>
  <c r="X277" i="2"/>
  <c r="Y277" i="2" s="1"/>
  <c r="AA277" i="2" s="1"/>
  <c r="T284" i="2"/>
  <c r="V296" i="2"/>
  <c r="T296" i="2"/>
  <c r="X296" i="2" s="1"/>
  <c r="Y296" i="2" s="1"/>
  <c r="AA296" i="2" s="1"/>
  <c r="V300" i="2"/>
  <c r="T300" i="2"/>
  <c r="X241" i="2"/>
  <c r="Y241" i="2" s="1"/>
  <c r="AA241" i="2" s="1"/>
  <c r="P262" i="2"/>
  <c r="X269" i="2"/>
  <c r="Y269" i="2" s="1"/>
  <c r="AA269" i="2" s="1"/>
  <c r="R270" i="2"/>
  <c r="X274" i="2"/>
  <c r="Y274" i="2" s="1"/>
  <c r="AA274" i="2" s="1"/>
  <c r="X279" i="2"/>
  <c r="Y279" i="2" s="1"/>
  <c r="AA279" i="2" s="1"/>
  <c r="X283" i="2"/>
  <c r="Y283" i="2" s="1"/>
  <c r="AA283" i="2" s="1"/>
  <c r="V299" i="2"/>
  <c r="T299" i="2"/>
  <c r="T310" i="2"/>
  <c r="X228" i="2"/>
  <c r="Y228" i="2" s="1"/>
  <c r="AA228" i="2" s="1"/>
  <c r="AB228" i="2" s="1"/>
  <c r="X242" i="2"/>
  <c r="Y242" i="2" s="1"/>
  <c r="AA242" i="2" s="1"/>
  <c r="X243" i="2"/>
  <c r="Y243" i="2" s="1"/>
  <c r="AA243" i="2" s="1"/>
  <c r="R268" i="2"/>
  <c r="R271" i="2"/>
  <c r="X275" i="2"/>
  <c r="Y275" i="2" s="1"/>
  <c r="AA275" i="2" s="1"/>
  <c r="X292" i="2"/>
  <c r="R295" i="2"/>
  <c r="V298" i="2"/>
  <c r="T298" i="2"/>
  <c r="V301" i="2"/>
  <c r="AB301" i="2" s="1"/>
  <c r="AC301" i="2" s="1"/>
  <c r="X307" i="2"/>
  <c r="R272" i="2"/>
  <c r="R273" i="2"/>
  <c r="R274" i="2"/>
  <c r="R275" i="2"/>
  <c r="R276" i="2"/>
  <c r="R277" i="2"/>
  <c r="R279" i="2"/>
  <c r="R280" i="2"/>
  <c r="R281" i="2"/>
  <c r="R282" i="2"/>
  <c r="R283" i="2"/>
  <c r="X284" i="2"/>
  <c r="Y284" i="2" s="1"/>
  <c r="AA284" i="2" s="1"/>
  <c r="R292" i="2"/>
  <c r="R293" i="2"/>
  <c r="X297" i="2"/>
  <c r="Y297" i="2" s="1"/>
  <c r="AA297" i="2" s="1"/>
  <c r="X298" i="2"/>
  <c r="Y298" i="2" s="1"/>
  <c r="AA298" i="2" s="1"/>
  <c r="X299" i="2"/>
  <c r="Y299" i="2" s="1"/>
  <c r="AA299" i="2" s="1"/>
  <c r="X300" i="2"/>
  <c r="Y300" i="2" s="1"/>
  <c r="AA300" i="2" s="1"/>
  <c r="N304" i="2"/>
  <c r="C34" i="1" s="1"/>
  <c r="R314" i="2"/>
  <c r="X314" i="2"/>
  <c r="Y314" i="2" s="1"/>
  <c r="AA314" i="2" s="1"/>
  <c r="R316" i="2"/>
  <c r="Q320" i="2"/>
  <c r="R307" i="2"/>
  <c r="X310" i="2"/>
  <c r="Y310" i="2" s="1"/>
  <c r="AA310" i="2" s="1"/>
  <c r="R312" i="2"/>
  <c r="R315" i="2"/>
  <c r="X315" i="2"/>
  <c r="Y315" i="2" s="1"/>
  <c r="AA315" i="2" s="1"/>
  <c r="N289" i="2"/>
  <c r="R311" i="2"/>
  <c r="R308" i="2"/>
  <c r="R309" i="2"/>
  <c r="R313" i="2"/>
  <c r="X316" i="2"/>
  <c r="Y316" i="2" s="1"/>
  <c r="AA316" i="2" s="1"/>
  <c r="V167" i="2" l="1"/>
  <c r="T149" i="2"/>
  <c r="V173" i="2"/>
  <c r="L19" i="4"/>
  <c r="N19" i="4" s="1"/>
  <c r="O19" i="4" s="1"/>
  <c r="P19" i="4" s="1"/>
  <c r="Q19" i="4" s="1"/>
  <c r="S19" i="4" s="1"/>
  <c r="T19" i="4" s="1"/>
  <c r="N18" i="4"/>
  <c r="L89" i="4"/>
  <c r="N89" i="4" s="1"/>
  <c r="O89" i="4" s="1"/>
  <c r="P89" i="4" s="1"/>
  <c r="Q89" i="4" s="1"/>
  <c r="N88" i="4"/>
  <c r="L96" i="4"/>
  <c r="N96" i="4" s="1"/>
  <c r="O96" i="4" s="1"/>
  <c r="P96" i="4" s="1"/>
  <c r="Q96" i="4" s="1"/>
  <c r="S96" i="4" s="1"/>
  <c r="T96" i="4" s="1"/>
  <c r="N95" i="4"/>
  <c r="L43" i="4"/>
  <c r="N43" i="4" s="1"/>
  <c r="O43" i="4" s="1"/>
  <c r="P43" i="4" s="1"/>
  <c r="Q43" i="4" s="1"/>
  <c r="N42" i="4"/>
  <c r="Q220" i="3"/>
  <c r="X220" i="3"/>
  <c r="L27" i="4"/>
  <c r="N27" i="4" s="1"/>
  <c r="O27" i="4" s="1"/>
  <c r="P27" i="4" s="1"/>
  <c r="Q27" i="4" s="1"/>
  <c r="S27" i="4" s="1"/>
  <c r="T27" i="4" s="1"/>
  <c r="N26" i="4"/>
  <c r="L21" i="4"/>
  <c r="N21" i="4" s="1"/>
  <c r="O21" i="4" s="1"/>
  <c r="P21" i="4" s="1"/>
  <c r="Q21" i="4" s="1"/>
  <c r="S21" i="4" s="1"/>
  <c r="T21" i="4" s="1"/>
  <c r="N20" i="4"/>
  <c r="O91" i="4"/>
  <c r="P91" i="4" s="1"/>
  <c r="S91" i="4"/>
  <c r="T91" i="4" s="1"/>
  <c r="L98" i="4"/>
  <c r="N98" i="4" s="1"/>
  <c r="O98" i="4" s="1"/>
  <c r="P98" i="4" s="1"/>
  <c r="Q98" i="4" s="1"/>
  <c r="S98" i="4" s="1"/>
  <c r="T98" i="4" s="1"/>
  <c r="N97" i="4"/>
  <c r="O66" i="4"/>
  <c r="P66" i="4" s="1"/>
  <c r="N223" i="3"/>
  <c r="P222" i="3"/>
  <c r="Q24" i="2"/>
  <c r="Q33" i="2" s="1"/>
  <c r="Q62" i="2" s="1"/>
  <c r="L59" i="4"/>
  <c r="X262" i="2"/>
  <c r="Y262" i="2" s="1"/>
  <c r="AA262" i="2" s="1"/>
  <c r="N212" i="3"/>
  <c r="V221" i="3"/>
  <c r="T221" i="3"/>
  <c r="S92" i="4"/>
  <c r="T92" i="4" s="1"/>
  <c r="L23" i="4"/>
  <c r="N23" i="4" s="1"/>
  <c r="O23" i="4" s="1"/>
  <c r="P23" i="4" s="1"/>
  <c r="Q23" i="4" s="1"/>
  <c r="S23" i="4" s="1"/>
  <c r="T23" i="4" s="1"/>
  <c r="N22" i="4"/>
  <c r="L16" i="4"/>
  <c r="N16" i="4" s="1"/>
  <c r="O16" i="4" s="1"/>
  <c r="P16" i="4" s="1"/>
  <c r="Q16" i="4" s="1"/>
  <c r="S16" i="4" s="1"/>
  <c r="T16" i="4" s="1"/>
  <c r="N15" i="4"/>
  <c r="L73" i="4"/>
  <c r="N73" i="4" s="1"/>
  <c r="O73" i="4" s="1"/>
  <c r="P73" i="4" s="1"/>
  <c r="Q73" i="4" s="1"/>
  <c r="N72" i="4"/>
  <c r="L47" i="4"/>
  <c r="N47" i="4" s="1"/>
  <c r="O47" i="4" s="1"/>
  <c r="P47" i="4" s="1"/>
  <c r="Q47" i="4" s="1"/>
  <c r="S47" i="4" s="1"/>
  <c r="T47" i="4" s="1"/>
  <c r="N46" i="4"/>
  <c r="L32" i="4"/>
  <c r="N32" i="4" s="1"/>
  <c r="O32" i="4" s="1"/>
  <c r="P32" i="4" s="1"/>
  <c r="Q32" i="4" s="1"/>
  <c r="S32" i="4" s="1"/>
  <c r="T32" i="4" s="1"/>
  <c r="N31" i="4"/>
  <c r="O31" i="4" s="1"/>
  <c r="P31" i="4" s="1"/>
  <c r="Q31" i="4" s="1"/>
  <c r="S31" i="4" s="1"/>
  <c r="T31" i="4" s="1"/>
  <c r="U31" i="4" s="1"/>
  <c r="Q15" i="2"/>
  <c r="L93" i="4"/>
  <c r="L30" i="4"/>
  <c r="N30" i="4" s="1"/>
  <c r="O30" i="4" s="1"/>
  <c r="P30" i="4" s="1"/>
  <c r="Q30" i="4" s="1"/>
  <c r="S30" i="4" s="1"/>
  <c r="T30" i="4" s="1"/>
  <c r="N29" i="4"/>
  <c r="O29" i="4" s="1"/>
  <c r="P29" i="4" s="1"/>
  <c r="Q29" i="4" s="1"/>
  <c r="S29" i="4" s="1"/>
  <c r="T29" i="4" s="1"/>
  <c r="U29" i="4" s="1"/>
  <c r="L25" i="4"/>
  <c r="N25" i="4" s="1"/>
  <c r="O25" i="4" s="1"/>
  <c r="P25" i="4" s="1"/>
  <c r="Q25" i="4" s="1"/>
  <c r="S25" i="4" s="1"/>
  <c r="T25" i="4" s="1"/>
  <c r="N24" i="4"/>
  <c r="L14" i="4"/>
  <c r="N14" i="4" s="1"/>
  <c r="O14" i="4" s="1"/>
  <c r="P14" i="4" s="1"/>
  <c r="Q14" i="4" s="1"/>
  <c r="N13" i="4"/>
  <c r="L45" i="4"/>
  <c r="N45" i="4" s="1"/>
  <c r="O45" i="4" s="1"/>
  <c r="P45" i="4" s="1"/>
  <c r="Q45" i="4" s="1"/>
  <c r="S45" i="4" s="1"/>
  <c r="T45" i="4" s="1"/>
  <c r="N44" i="4"/>
  <c r="P281" i="3"/>
  <c r="N282" i="3"/>
  <c r="P282" i="3" s="1"/>
  <c r="Q282" i="3" s="1"/>
  <c r="R282" i="3" s="1"/>
  <c r="L67" i="4"/>
  <c r="AA236" i="3"/>
  <c r="AA163" i="3"/>
  <c r="Y174" i="3"/>
  <c r="AC11" i="2"/>
  <c r="U55" i="4"/>
  <c r="H9" i="1" s="1"/>
  <c r="AB11" i="3"/>
  <c r="Y11" i="3"/>
  <c r="AC11" i="3"/>
  <c r="U11" i="4"/>
  <c r="T11" i="4"/>
  <c r="AB123" i="3"/>
  <c r="AB156" i="3" s="1"/>
  <c r="AA156" i="3"/>
  <c r="R304" i="2"/>
  <c r="AB252" i="2"/>
  <c r="AC252" i="2" s="1"/>
  <c r="AC302" i="2"/>
  <c r="V171" i="2"/>
  <c r="T162" i="2"/>
  <c r="X162" i="2" s="1"/>
  <c r="Y162" i="2" s="1"/>
  <c r="AA162" i="2" s="1"/>
  <c r="AB162" i="2" s="1"/>
  <c r="AC162" i="2" s="1"/>
  <c r="V152" i="2"/>
  <c r="T127" i="2"/>
  <c r="AB111" i="2"/>
  <c r="AC111" i="2" s="1"/>
  <c r="T147" i="2"/>
  <c r="V144" i="2"/>
  <c r="AB144" i="2" s="1"/>
  <c r="AC144" i="2" s="1"/>
  <c r="AB109" i="2"/>
  <c r="AB75" i="2"/>
  <c r="AC75" i="2" s="1"/>
  <c r="AB70" i="2"/>
  <c r="AC70" i="2" s="1"/>
  <c r="T67" i="2"/>
  <c r="T52" i="2"/>
  <c r="T285" i="2"/>
  <c r="X229" i="2"/>
  <c r="Y229" i="2" s="1"/>
  <c r="AA229" i="2" s="1"/>
  <c r="T188" i="2"/>
  <c r="AB215" i="2"/>
  <c r="AC215" i="2" s="1"/>
  <c r="AB186" i="2"/>
  <c r="V178" i="2"/>
  <c r="AB178" i="2" s="1"/>
  <c r="AC178" i="2" s="1"/>
  <c r="T140" i="2"/>
  <c r="T107" i="2"/>
  <c r="T183" i="2"/>
  <c r="T156" i="2"/>
  <c r="X156" i="2" s="1"/>
  <c r="Y156" i="2" s="1"/>
  <c r="AA156" i="2" s="1"/>
  <c r="AB156" i="2" s="1"/>
  <c r="AC156" i="2" s="1"/>
  <c r="AB173" i="2"/>
  <c r="AC173" i="2" s="1"/>
  <c r="T164" i="2"/>
  <c r="X164" i="2" s="1"/>
  <c r="Y164" i="2" s="1"/>
  <c r="AA164" i="2" s="1"/>
  <c r="T150" i="2"/>
  <c r="T143" i="2"/>
  <c r="T131" i="2"/>
  <c r="V95" i="2"/>
  <c r="V89" i="2"/>
  <c r="V120" i="2"/>
  <c r="R55" i="2"/>
  <c r="T19" i="2"/>
  <c r="AB149" i="2"/>
  <c r="AC149" i="2" s="1"/>
  <c r="AB121" i="2"/>
  <c r="AC121" i="2" s="1"/>
  <c r="AB73" i="2"/>
  <c r="AC73" i="2" s="1"/>
  <c r="AB181" i="2"/>
  <c r="T181" i="2"/>
  <c r="T153" i="2"/>
  <c r="AB107" i="2"/>
  <c r="AC107" i="2" s="1"/>
  <c r="V129" i="2"/>
  <c r="AB129" i="2" s="1"/>
  <c r="AC129" i="2" s="1"/>
  <c r="T141" i="2"/>
  <c r="AB67" i="2"/>
  <c r="AC67" i="2" s="1"/>
  <c r="AB248" i="2"/>
  <c r="AC248" i="2" s="1"/>
  <c r="AB244" i="2"/>
  <c r="AC244" i="2" s="1"/>
  <c r="T73" i="2"/>
  <c r="T119" i="2"/>
  <c r="T87" i="2"/>
  <c r="T121" i="2"/>
  <c r="P48" i="2"/>
  <c r="T20" i="2"/>
  <c r="X20" i="2" s="1"/>
  <c r="Y20" i="2" s="1"/>
  <c r="AA20" i="2" s="1"/>
  <c r="AB20" i="2" s="1"/>
  <c r="AB42" i="2"/>
  <c r="AC42" i="2" s="1"/>
  <c r="T40" i="2"/>
  <c r="AB150" i="2"/>
  <c r="AC150" i="2" s="1"/>
  <c r="AB141" i="2"/>
  <c r="AC141" i="2" s="1"/>
  <c r="T294" i="2"/>
  <c r="X294" i="2" s="1"/>
  <c r="Y294" i="2" s="1"/>
  <c r="AA294" i="2" s="1"/>
  <c r="AB294" i="2" s="1"/>
  <c r="AC294" i="2" s="1"/>
  <c r="Q258" i="2"/>
  <c r="V246" i="2"/>
  <c r="T218" i="2"/>
  <c r="T184" i="2"/>
  <c r="T157" i="2"/>
  <c r="X157" i="2" s="1"/>
  <c r="Y157" i="2" s="1"/>
  <c r="AA157" i="2" s="1"/>
  <c r="AB157" i="2" s="1"/>
  <c r="AC157" i="2" s="1"/>
  <c r="V177" i="2"/>
  <c r="AB177" i="2" s="1"/>
  <c r="AC177" i="2" s="1"/>
  <c r="T151" i="2"/>
  <c r="V65" i="2"/>
  <c r="V38" i="2"/>
  <c r="AB38" i="2" s="1"/>
  <c r="AC38" i="2" s="1"/>
  <c r="T69" i="2"/>
  <c r="V37" i="2"/>
  <c r="P258" i="2"/>
  <c r="C26" i="1" s="1"/>
  <c r="C28" i="1" s="1"/>
  <c r="X44" i="2"/>
  <c r="Y44" i="2" s="1"/>
  <c r="AA44" i="2" s="1"/>
  <c r="AB44" i="2" s="1"/>
  <c r="AC44" i="2" s="1"/>
  <c r="V269" i="2"/>
  <c r="T245" i="2"/>
  <c r="T247" i="2"/>
  <c r="AB184" i="2"/>
  <c r="AB92" i="2"/>
  <c r="T72" i="2"/>
  <c r="AB18" i="2"/>
  <c r="AC18" i="2" s="1"/>
  <c r="AB89" i="2"/>
  <c r="AC89" i="2" s="1"/>
  <c r="X246" i="2"/>
  <c r="Y246" i="2" s="1"/>
  <c r="AA246" i="2" s="1"/>
  <c r="AB168" i="2"/>
  <c r="AC168" i="2" s="1"/>
  <c r="V96" i="2"/>
  <c r="AB96" i="2" s="1"/>
  <c r="AC96" i="2" s="1"/>
  <c r="V102" i="2"/>
  <c r="AB53" i="2"/>
  <c r="AC53" i="2" s="1"/>
  <c r="AB122" i="2"/>
  <c r="AC122" i="2" s="1"/>
  <c r="AB230" i="2"/>
  <c r="AC230" i="2" s="1"/>
  <c r="T116" i="2"/>
  <c r="X55" i="2"/>
  <c r="T43" i="2"/>
  <c r="T186" i="2"/>
  <c r="AB104" i="2"/>
  <c r="V158" i="2"/>
  <c r="V114" i="2"/>
  <c r="AB114" i="2" s="1"/>
  <c r="AC114" i="2" s="1"/>
  <c r="V91" i="2"/>
  <c r="AB91" i="2" s="1"/>
  <c r="AC91" i="2" s="1"/>
  <c r="V66" i="2"/>
  <c r="AB245" i="2"/>
  <c r="AC245" i="2" s="1"/>
  <c r="AB151" i="2"/>
  <c r="AC151" i="2" s="1"/>
  <c r="AB72" i="2"/>
  <c r="AC72" i="2" s="1"/>
  <c r="AB40" i="2"/>
  <c r="AC40" i="2" s="1"/>
  <c r="AB113" i="2"/>
  <c r="T169" i="2"/>
  <c r="X169" i="2" s="1"/>
  <c r="Y169" i="2" s="1"/>
  <c r="AA169" i="2" s="1"/>
  <c r="AB169" i="2" s="1"/>
  <c r="AC169" i="2" s="1"/>
  <c r="AB112" i="2"/>
  <c r="T165" i="2"/>
  <c r="X165" i="2" s="1"/>
  <c r="Y165" i="2" s="1"/>
  <c r="AA165" i="2" s="1"/>
  <c r="T92" i="2"/>
  <c r="AB45" i="2"/>
  <c r="AC45" i="2" s="1"/>
  <c r="AB131" i="2"/>
  <c r="AC131" i="2" s="1"/>
  <c r="AB41" i="2"/>
  <c r="AC41" i="2" s="1"/>
  <c r="V117" i="2"/>
  <c r="AB117" i="2" s="1"/>
  <c r="AC117" i="2" s="1"/>
  <c r="V22" i="2"/>
  <c r="AB22" i="2" s="1"/>
  <c r="AC22" i="2" s="1"/>
  <c r="N62" i="2"/>
  <c r="N323" i="2" s="1"/>
  <c r="AB213" i="2"/>
  <c r="AC213" i="2" s="1"/>
  <c r="AB249" i="2"/>
  <c r="AC249" i="2" s="1"/>
  <c r="AB147" i="2"/>
  <c r="AC147" i="2" s="1"/>
  <c r="V55" i="2"/>
  <c r="AB143" i="2"/>
  <c r="AC143" i="2" s="1"/>
  <c r="AB247" i="2"/>
  <c r="AC247" i="2" s="1"/>
  <c r="AB182" i="2"/>
  <c r="AC182" i="2" s="1"/>
  <c r="AB85" i="2"/>
  <c r="AB119" i="2"/>
  <c r="AC119" i="2" s="1"/>
  <c r="T110" i="2"/>
  <c r="AB95" i="2"/>
  <c r="AC95" i="2" s="1"/>
  <c r="AB108" i="2"/>
  <c r="AC108" i="2" s="1"/>
  <c r="AB127" i="2"/>
  <c r="AC127" i="2" s="1"/>
  <c r="AB69" i="2"/>
  <c r="AC69" i="2" s="1"/>
  <c r="T68" i="2"/>
  <c r="AB102" i="2"/>
  <c r="AC102" i="2" s="1"/>
  <c r="AB68" i="2"/>
  <c r="AC68" i="2" s="1"/>
  <c r="AB43" i="2"/>
  <c r="AC43" i="2" s="1"/>
  <c r="AB164" i="2"/>
  <c r="AC164" i="2" s="1"/>
  <c r="AB123" i="2"/>
  <c r="AB299" i="2"/>
  <c r="AB116" i="2"/>
  <c r="AC116" i="2" s="1"/>
  <c r="AB120" i="2"/>
  <c r="AC120" i="2" s="1"/>
  <c r="AB165" i="2"/>
  <c r="AB27" i="2"/>
  <c r="AC27" i="2" s="1"/>
  <c r="AB187" i="2"/>
  <c r="AB115" i="2"/>
  <c r="AB19" i="2"/>
  <c r="AB17" i="2"/>
  <c r="AC17" i="2" s="1"/>
  <c r="AB87" i="2"/>
  <c r="AC87" i="2" s="1"/>
  <c r="AB296" i="2"/>
  <c r="AC296" i="2" s="1"/>
  <c r="AB99" i="2"/>
  <c r="AC99" i="2" s="1"/>
  <c r="AB242" i="2"/>
  <c r="AC242" i="2" s="1"/>
  <c r="AB300" i="2"/>
  <c r="AC300" i="2" s="1"/>
  <c r="AB171" i="2"/>
  <c r="AC171" i="2" s="1"/>
  <c r="AB183" i="2"/>
  <c r="AC183" i="2" s="1"/>
  <c r="AB66" i="2"/>
  <c r="AC66" i="2" s="1"/>
  <c r="AB170" i="2"/>
  <c r="AC170" i="2" s="1"/>
  <c r="AB211" i="2"/>
  <c r="AC211" i="2" s="1"/>
  <c r="AB284" i="2"/>
  <c r="AC284" i="2" s="1"/>
  <c r="X214" i="2"/>
  <c r="Y214" i="2" s="1"/>
  <c r="AA214" i="2" s="1"/>
  <c r="Q224" i="2"/>
  <c r="R258" i="2"/>
  <c r="K26" i="1" s="1"/>
  <c r="AB298" i="2"/>
  <c r="AC298" i="2" s="1"/>
  <c r="AC184" i="2"/>
  <c r="R176" i="2"/>
  <c r="AA258" i="2"/>
  <c r="T77" i="2"/>
  <c r="V77" i="2"/>
  <c r="AB77" i="2" s="1"/>
  <c r="AC77" i="2" s="1"/>
  <c r="AC181" i="2"/>
  <c r="T76" i="2"/>
  <c r="V76" i="2"/>
  <c r="AB76" i="2" s="1"/>
  <c r="AC76" i="2" s="1"/>
  <c r="V214" i="2"/>
  <c r="T214" i="2"/>
  <c r="V175" i="2"/>
  <c r="T175" i="2"/>
  <c r="X175" i="2" s="1"/>
  <c r="Y175" i="2" s="1"/>
  <c r="AA175" i="2" s="1"/>
  <c r="R320" i="2"/>
  <c r="V307" i="2"/>
  <c r="T307" i="2"/>
  <c r="V292" i="2"/>
  <c r="T292" i="2"/>
  <c r="T272" i="2"/>
  <c r="V272" i="2"/>
  <c r="AB272" i="2" s="1"/>
  <c r="AC272" i="2" s="1"/>
  <c r="T270" i="2"/>
  <c r="V270" i="2"/>
  <c r="AB270" i="2" s="1"/>
  <c r="AC270" i="2" s="1"/>
  <c r="V314" i="2"/>
  <c r="T314" i="2"/>
  <c r="T275" i="2"/>
  <c r="V275" i="2"/>
  <c r="R289" i="2"/>
  <c r="T268" i="2"/>
  <c r="V268" i="2"/>
  <c r="AB269" i="2"/>
  <c r="AC269" i="2" s="1"/>
  <c r="V316" i="2"/>
  <c r="AB316" i="2" s="1"/>
  <c r="AC316" i="2" s="1"/>
  <c r="T316" i="2"/>
  <c r="AB297" i="2"/>
  <c r="AC297" i="2" s="1"/>
  <c r="V293" i="2"/>
  <c r="T293" i="2"/>
  <c r="X293" i="2" s="1"/>
  <c r="Y293" i="2" s="1"/>
  <c r="AA293" i="2" s="1"/>
  <c r="V282" i="2"/>
  <c r="T282" i="2"/>
  <c r="X282" i="2" s="1"/>
  <c r="Y282" i="2" s="1"/>
  <c r="AA282" i="2" s="1"/>
  <c r="T277" i="2"/>
  <c r="V277" i="2"/>
  <c r="AB277" i="2" s="1"/>
  <c r="AC277" i="2" s="1"/>
  <c r="T273" i="2"/>
  <c r="V273" i="2"/>
  <c r="AB273" i="2" s="1"/>
  <c r="AC273" i="2" s="1"/>
  <c r="Y307" i="2"/>
  <c r="X320" i="2"/>
  <c r="Y292" i="2"/>
  <c r="T271" i="2"/>
  <c r="V271" i="2"/>
  <c r="AB271" i="2" s="1"/>
  <c r="AC271" i="2" s="1"/>
  <c r="Q262" i="2"/>
  <c r="Q264" i="2" s="1"/>
  <c r="P264" i="2"/>
  <c r="T253" i="2"/>
  <c r="V253" i="2"/>
  <c r="AC228" i="2"/>
  <c r="R224" i="2"/>
  <c r="V210" i="2"/>
  <c r="T210" i="2"/>
  <c r="X210" i="2" s="1"/>
  <c r="AC188" i="2"/>
  <c r="AB166" i="2"/>
  <c r="AC166" i="2" s="1"/>
  <c r="V197" i="2"/>
  <c r="T197" i="2"/>
  <c r="V193" i="2"/>
  <c r="AB193" i="2" s="1"/>
  <c r="AC193" i="2" s="1"/>
  <c r="T193" i="2"/>
  <c r="V189" i="2"/>
  <c r="T189" i="2"/>
  <c r="V174" i="2"/>
  <c r="T174" i="2"/>
  <c r="X174" i="2" s="1"/>
  <c r="Y174" i="2" s="1"/>
  <c r="AA174" i="2" s="1"/>
  <c r="Q206" i="2"/>
  <c r="V134" i="2"/>
  <c r="AB134" i="2" s="1"/>
  <c r="AC134" i="2" s="1"/>
  <c r="T134" i="2"/>
  <c r="T128" i="2"/>
  <c r="V128" i="2"/>
  <c r="AB128" i="2" s="1"/>
  <c r="AC128" i="2" s="1"/>
  <c r="AB118" i="2"/>
  <c r="AC118" i="2" s="1"/>
  <c r="T163" i="2"/>
  <c r="X163" i="2" s="1"/>
  <c r="Y163" i="2" s="1"/>
  <c r="AA163" i="2" s="1"/>
  <c r="V163" i="2"/>
  <c r="V172" i="2"/>
  <c r="T172" i="2"/>
  <c r="X172" i="2" s="1"/>
  <c r="Y172" i="2" s="1"/>
  <c r="AA172" i="2" s="1"/>
  <c r="T138" i="2"/>
  <c r="V138" i="2"/>
  <c r="AB138" i="2" s="1"/>
  <c r="AC138" i="2" s="1"/>
  <c r="AC92" i="2"/>
  <c r="V84" i="2"/>
  <c r="AB84" i="2" s="1"/>
  <c r="AC84" i="2" s="1"/>
  <c r="T84" i="2"/>
  <c r="V105" i="2"/>
  <c r="AB105" i="2" s="1"/>
  <c r="AC105" i="2" s="1"/>
  <c r="T105" i="2"/>
  <c r="V83" i="2"/>
  <c r="AB83" i="2" s="1"/>
  <c r="AC83" i="2" s="1"/>
  <c r="T83" i="2"/>
  <c r="AC109" i="2"/>
  <c r="AC112" i="2"/>
  <c r="T46" i="2"/>
  <c r="V46" i="2"/>
  <c r="AB46" i="2" s="1"/>
  <c r="AC46" i="2" s="1"/>
  <c r="V28" i="2"/>
  <c r="AB28" i="2" s="1"/>
  <c r="AC28" i="2" s="1"/>
  <c r="T28" i="2"/>
  <c r="T30" i="2"/>
  <c r="X30" i="2" s="1"/>
  <c r="Y30" i="2" s="1"/>
  <c r="AA30" i="2" s="1"/>
  <c r="V30" i="2"/>
  <c r="X15" i="2"/>
  <c r="Y15" i="2" s="1"/>
  <c r="AA15" i="2" s="1"/>
  <c r="T13" i="2"/>
  <c r="V13" i="2"/>
  <c r="AB13" i="2" s="1"/>
  <c r="AC13" i="2" s="1"/>
  <c r="Y60" i="2"/>
  <c r="AA58" i="2"/>
  <c r="V309" i="2"/>
  <c r="AB309" i="2" s="1"/>
  <c r="AC309" i="2" s="1"/>
  <c r="T309" i="2"/>
  <c r="Y227" i="2"/>
  <c r="AA268" i="2"/>
  <c r="V241" i="2"/>
  <c r="V258" i="2" s="1"/>
  <c r="T241" i="2"/>
  <c r="T233" i="2"/>
  <c r="V233" i="2"/>
  <c r="AB233" i="2" s="1"/>
  <c r="AC233" i="2" s="1"/>
  <c r="AB217" i="2"/>
  <c r="AC217" i="2" s="1"/>
  <c r="T179" i="2"/>
  <c r="V179" i="2"/>
  <c r="AB179" i="2" s="1"/>
  <c r="AC179" i="2" s="1"/>
  <c r="V196" i="2"/>
  <c r="AB196" i="2" s="1"/>
  <c r="AC196" i="2" s="1"/>
  <c r="T196" i="2"/>
  <c r="V192" i="2"/>
  <c r="AB192" i="2" s="1"/>
  <c r="AC192" i="2" s="1"/>
  <c r="T192" i="2"/>
  <c r="V161" i="2"/>
  <c r="T161" i="2"/>
  <c r="X161" i="2" s="1"/>
  <c r="Y161" i="2" s="1"/>
  <c r="AA161" i="2" s="1"/>
  <c r="V139" i="2"/>
  <c r="AB139" i="2" s="1"/>
  <c r="AC139" i="2" s="1"/>
  <c r="T139" i="2"/>
  <c r="V133" i="2"/>
  <c r="AB133" i="2" s="1"/>
  <c r="AC133" i="2" s="1"/>
  <c r="T133" i="2"/>
  <c r="V126" i="2"/>
  <c r="AB126" i="2" s="1"/>
  <c r="AC126" i="2" s="1"/>
  <c r="T126" i="2"/>
  <c r="AB154" i="2"/>
  <c r="AC154" i="2" s="1"/>
  <c r="T137" i="2"/>
  <c r="V137" i="2"/>
  <c r="AB137" i="2" s="1"/>
  <c r="AC137" i="2" s="1"/>
  <c r="AC113" i="2"/>
  <c r="V93" i="2"/>
  <c r="AB93" i="2" s="1"/>
  <c r="AC93" i="2" s="1"/>
  <c r="T93" i="2"/>
  <c r="T90" i="2"/>
  <c r="V90" i="2"/>
  <c r="AB90" i="2" s="1"/>
  <c r="AC90" i="2" s="1"/>
  <c r="T82" i="2"/>
  <c r="V82" i="2"/>
  <c r="AB82" i="2" s="1"/>
  <c r="AC82" i="2" s="1"/>
  <c r="V78" i="2"/>
  <c r="AB78" i="2" s="1"/>
  <c r="AC78" i="2" s="1"/>
  <c r="T78" i="2"/>
  <c r="AA52" i="2"/>
  <c r="Y55" i="2"/>
  <c r="AC98" i="2"/>
  <c r="V26" i="2"/>
  <c r="AB26" i="2" s="1"/>
  <c r="AC26" i="2" s="1"/>
  <c r="T26" i="2"/>
  <c r="V15" i="2"/>
  <c r="T15" i="2"/>
  <c r="V23" i="2"/>
  <c r="T23" i="2"/>
  <c r="X23" i="2" s="1"/>
  <c r="Y23" i="2" s="1"/>
  <c r="AA23" i="2" s="1"/>
  <c r="P33" i="2"/>
  <c r="R48" i="2"/>
  <c r="AA12" i="2"/>
  <c r="AB314" i="2"/>
  <c r="AC314" i="2" s="1"/>
  <c r="T276" i="2"/>
  <c r="V276" i="2"/>
  <c r="AB276" i="2" s="1"/>
  <c r="AC276" i="2" s="1"/>
  <c r="AA264" i="2"/>
  <c r="AB262" i="2"/>
  <c r="AB264" i="2" s="1"/>
  <c r="V312" i="2"/>
  <c r="AB312" i="2" s="1"/>
  <c r="AC312" i="2" s="1"/>
  <c r="T312" i="2"/>
  <c r="V295" i="2"/>
  <c r="T295" i="2"/>
  <c r="X295" i="2" s="1"/>
  <c r="Y295" i="2" s="1"/>
  <c r="AA295" i="2" s="1"/>
  <c r="V216" i="2"/>
  <c r="AB216" i="2" s="1"/>
  <c r="AC216" i="2" s="1"/>
  <c r="T216" i="2"/>
  <c r="AC187" i="2"/>
  <c r="V199" i="2"/>
  <c r="AB199" i="2" s="1"/>
  <c r="AC199" i="2" s="1"/>
  <c r="T199" i="2"/>
  <c r="V195" i="2"/>
  <c r="AB195" i="2" s="1"/>
  <c r="AC195" i="2" s="1"/>
  <c r="T195" i="2"/>
  <c r="V191" i="2"/>
  <c r="AB191" i="2" s="1"/>
  <c r="AC191" i="2" s="1"/>
  <c r="T191" i="2"/>
  <c r="AC186" i="2"/>
  <c r="V159" i="2"/>
  <c r="T159" i="2"/>
  <c r="X159" i="2" s="1"/>
  <c r="Y159" i="2" s="1"/>
  <c r="AA159" i="2" s="1"/>
  <c r="AB155" i="2"/>
  <c r="AC155" i="2" s="1"/>
  <c r="V136" i="2"/>
  <c r="AB136" i="2" s="1"/>
  <c r="AC136" i="2" s="1"/>
  <c r="T136" i="2"/>
  <c r="V132" i="2"/>
  <c r="AB132" i="2" s="1"/>
  <c r="AC132" i="2" s="1"/>
  <c r="T132" i="2"/>
  <c r="P206" i="2"/>
  <c r="V176" i="2"/>
  <c r="T176" i="2"/>
  <c r="X176" i="2" s="1"/>
  <c r="Y176" i="2" s="1"/>
  <c r="AA176" i="2" s="1"/>
  <c r="AC140" i="2"/>
  <c r="AB160" i="2"/>
  <c r="AC160" i="2" s="1"/>
  <c r="AB152" i="2"/>
  <c r="AC152" i="2" s="1"/>
  <c r="V124" i="2"/>
  <c r="AB124" i="2" s="1"/>
  <c r="AC124" i="2" s="1"/>
  <c r="T124" i="2"/>
  <c r="V86" i="2"/>
  <c r="AB86" i="2" s="1"/>
  <c r="AC86" i="2" s="1"/>
  <c r="T86" i="2"/>
  <c r="V80" i="2"/>
  <c r="AB80" i="2" s="1"/>
  <c r="AC80" i="2" s="1"/>
  <c r="T80" i="2"/>
  <c r="Y65" i="2"/>
  <c r="AC110" i="2"/>
  <c r="V81" i="2"/>
  <c r="AB81" i="2" s="1"/>
  <c r="AC81" i="2" s="1"/>
  <c r="T81" i="2"/>
  <c r="R60" i="2"/>
  <c r="T58" i="2"/>
  <c r="T60" i="2" s="1"/>
  <c r="V58" i="2"/>
  <c r="V60" i="2" s="1"/>
  <c r="AC101" i="2"/>
  <c r="AA37" i="2"/>
  <c r="AC104" i="2"/>
  <c r="T29" i="2"/>
  <c r="V29" i="2"/>
  <c r="AB29" i="2" s="1"/>
  <c r="AC29" i="2" s="1"/>
  <c r="V25" i="2"/>
  <c r="T25" i="2"/>
  <c r="X25" i="2" s="1"/>
  <c r="Y25" i="2" s="1"/>
  <c r="AA25" i="2" s="1"/>
  <c r="V16" i="2"/>
  <c r="AB16" i="2" s="1"/>
  <c r="AC16" i="2" s="1"/>
  <c r="T16" i="2"/>
  <c r="T14" i="2"/>
  <c r="V14" i="2"/>
  <c r="AB14" i="2" s="1"/>
  <c r="AC14" i="2" s="1"/>
  <c r="AC19" i="2"/>
  <c r="V315" i="2"/>
  <c r="AB315" i="2" s="1"/>
  <c r="AC315" i="2" s="1"/>
  <c r="T315" i="2"/>
  <c r="V281" i="2"/>
  <c r="AB281" i="2" s="1"/>
  <c r="AC281" i="2" s="1"/>
  <c r="T281" i="2"/>
  <c r="V308" i="2"/>
  <c r="AB308" i="2" s="1"/>
  <c r="AC308" i="2" s="1"/>
  <c r="T308" i="2"/>
  <c r="V280" i="2"/>
  <c r="T280" i="2"/>
  <c r="X280" i="2" s="1"/>
  <c r="Y280" i="2" s="1"/>
  <c r="AA280" i="2" s="1"/>
  <c r="AB231" i="2"/>
  <c r="AC231" i="2" s="1"/>
  <c r="T232" i="2"/>
  <c r="V232" i="2"/>
  <c r="AB232" i="2" s="1"/>
  <c r="AC232" i="2" s="1"/>
  <c r="V313" i="2"/>
  <c r="AB313" i="2" s="1"/>
  <c r="AC313" i="2" s="1"/>
  <c r="T313" i="2"/>
  <c r="V311" i="2"/>
  <c r="AB311" i="2" s="1"/>
  <c r="AC311" i="2" s="1"/>
  <c r="T311" i="2"/>
  <c r="AB310" i="2"/>
  <c r="AC310" i="2" s="1"/>
  <c r="V283" i="2"/>
  <c r="AB283" i="2" s="1"/>
  <c r="AC283" i="2" s="1"/>
  <c r="T283" i="2"/>
  <c r="T279" i="2"/>
  <c r="V279" i="2"/>
  <c r="AB279" i="2" s="1"/>
  <c r="AC279" i="2" s="1"/>
  <c r="T274" i="2"/>
  <c r="V274" i="2"/>
  <c r="AB274" i="2" s="1"/>
  <c r="AC274" i="2" s="1"/>
  <c r="AB275" i="2"/>
  <c r="AC275" i="2" s="1"/>
  <c r="AB243" i="2"/>
  <c r="AC243" i="2" s="1"/>
  <c r="AC299" i="2"/>
  <c r="AB253" i="2"/>
  <c r="AC253" i="2" s="1"/>
  <c r="AB240" i="2"/>
  <c r="AB219" i="2"/>
  <c r="AC219" i="2" s="1"/>
  <c r="Y210" i="2"/>
  <c r="AB197" i="2"/>
  <c r="AC197" i="2" s="1"/>
  <c r="AB189" i="2"/>
  <c r="AC189" i="2" s="1"/>
  <c r="AC218" i="2"/>
  <c r="P224" i="2"/>
  <c r="V229" i="2"/>
  <c r="T229" i="2"/>
  <c r="V212" i="2"/>
  <c r="T212" i="2"/>
  <c r="X212" i="2" s="1"/>
  <c r="Y212" i="2" s="1"/>
  <c r="AA212" i="2" s="1"/>
  <c r="V180" i="2"/>
  <c r="AB180" i="2" s="1"/>
  <c r="AC180" i="2" s="1"/>
  <c r="T180" i="2"/>
  <c r="AB167" i="2"/>
  <c r="AC167" i="2" s="1"/>
  <c r="AB185" i="2"/>
  <c r="AC185" i="2" s="1"/>
  <c r="R236" i="2"/>
  <c r="V198" i="2"/>
  <c r="AB198" i="2" s="1"/>
  <c r="AC198" i="2" s="1"/>
  <c r="T198" i="2"/>
  <c r="V194" i="2"/>
  <c r="AB194" i="2" s="1"/>
  <c r="AC194" i="2" s="1"/>
  <c r="T194" i="2"/>
  <c r="V190" i="2"/>
  <c r="AB190" i="2" s="1"/>
  <c r="AC190" i="2" s="1"/>
  <c r="T190" i="2"/>
  <c r="V125" i="2"/>
  <c r="AB125" i="2" s="1"/>
  <c r="AC125" i="2" s="1"/>
  <c r="T125" i="2"/>
  <c r="AC165" i="2"/>
  <c r="AB153" i="2"/>
  <c r="AC153" i="2" s="1"/>
  <c r="V135" i="2"/>
  <c r="AB135" i="2" s="1"/>
  <c r="AC135" i="2" s="1"/>
  <c r="T135" i="2"/>
  <c r="T130" i="2"/>
  <c r="V130" i="2"/>
  <c r="AB130" i="2" s="1"/>
  <c r="AC130" i="2" s="1"/>
  <c r="AB158" i="2"/>
  <c r="AC158" i="2" s="1"/>
  <c r="AC123" i="2"/>
  <c r="AC97" i="2"/>
  <c r="V88" i="2"/>
  <c r="AB88" i="2" s="1"/>
  <c r="AC88" i="2" s="1"/>
  <c r="T88" i="2"/>
  <c r="AC85" i="2"/>
  <c r="AC106" i="2"/>
  <c r="V100" i="2"/>
  <c r="AB100" i="2" s="1"/>
  <c r="AC100" i="2" s="1"/>
  <c r="T100" i="2"/>
  <c r="AC115" i="2"/>
  <c r="T79" i="2"/>
  <c r="V79" i="2"/>
  <c r="AB79" i="2" s="1"/>
  <c r="AC79" i="2" s="1"/>
  <c r="R206" i="2"/>
  <c r="V21" i="2"/>
  <c r="T21" i="2"/>
  <c r="X21" i="2" s="1"/>
  <c r="Y21" i="2" s="1"/>
  <c r="AA21" i="2" s="1"/>
  <c r="T55" i="2"/>
  <c r="V12" i="2"/>
  <c r="T12" i="2"/>
  <c r="AB229" i="2" l="1"/>
  <c r="AC229" i="2" s="1"/>
  <c r="X236" i="2"/>
  <c r="L38" i="4"/>
  <c r="B7" i="1" s="1"/>
  <c r="U32" i="4"/>
  <c r="V282" i="3"/>
  <c r="AB282" i="3" s="1"/>
  <c r="T282" i="3"/>
  <c r="O46" i="4"/>
  <c r="P46" i="4" s="1"/>
  <c r="S46" i="4"/>
  <c r="T46" i="4" s="1"/>
  <c r="S73" i="4"/>
  <c r="T73" i="4" s="1"/>
  <c r="Q75" i="4"/>
  <c r="E15" i="1" s="1"/>
  <c r="P223" i="3"/>
  <c r="Q223" i="3" s="1"/>
  <c r="R223" i="3" s="1"/>
  <c r="N240" i="3"/>
  <c r="Y220" i="3"/>
  <c r="S43" i="4"/>
  <c r="T43" i="4" s="1"/>
  <c r="Q55" i="4"/>
  <c r="E9" i="1" s="1"/>
  <c r="K9" i="1" s="1"/>
  <c r="Q35" i="4"/>
  <c r="S89" i="4"/>
  <c r="T89" i="4" s="1"/>
  <c r="AB23" i="2"/>
  <c r="AC23" i="2" s="1"/>
  <c r="Q281" i="3"/>
  <c r="X281" i="3"/>
  <c r="Y281" i="3" s="1"/>
  <c r="AA281" i="3" s="1"/>
  <c r="AB281" i="3" s="1"/>
  <c r="AC281" i="3" s="1"/>
  <c r="AC282" i="3" s="1"/>
  <c r="O13" i="4"/>
  <c r="S13" i="4"/>
  <c r="N38" i="4"/>
  <c r="U30" i="4"/>
  <c r="O15" i="4"/>
  <c r="P15" i="4" s="1"/>
  <c r="S15" i="4"/>
  <c r="T15" i="4" s="1"/>
  <c r="AB221" i="3"/>
  <c r="N59" i="4"/>
  <c r="L60" i="4"/>
  <c r="N60" i="4" s="1"/>
  <c r="O60" i="4" s="1"/>
  <c r="P60" i="4" s="1"/>
  <c r="Q60" i="4" s="1"/>
  <c r="O26" i="4"/>
  <c r="P26" i="4" s="1"/>
  <c r="S26" i="4"/>
  <c r="T26" i="4" s="1"/>
  <c r="O95" i="4"/>
  <c r="P95" i="4" s="1"/>
  <c r="S95" i="4"/>
  <c r="T95" i="4" s="1"/>
  <c r="O18" i="4"/>
  <c r="P18" i="4" s="1"/>
  <c r="S18" i="4"/>
  <c r="T18" i="4" s="1"/>
  <c r="O44" i="4"/>
  <c r="P44" i="4" s="1"/>
  <c r="S44" i="4"/>
  <c r="T44" i="4" s="1"/>
  <c r="S14" i="4"/>
  <c r="T14" i="4" s="1"/>
  <c r="O72" i="4"/>
  <c r="S72" i="4"/>
  <c r="T72" i="4" s="1"/>
  <c r="N75" i="4"/>
  <c r="D15" i="1" s="1"/>
  <c r="X24" i="2"/>
  <c r="Y24" i="2" s="1"/>
  <c r="AA24" i="2" s="1"/>
  <c r="AA33" i="2" s="1"/>
  <c r="R24" i="2"/>
  <c r="Q66" i="4"/>
  <c r="O42" i="4"/>
  <c r="N55" i="4"/>
  <c r="D9" i="1" s="1"/>
  <c r="S42" i="4"/>
  <c r="L69" i="4"/>
  <c r="B13" i="1" s="1"/>
  <c r="N67" i="4"/>
  <c r="O24" i="4"/>
  <c r="P24" i="4" s="1"/>
  <c r="S24" i="4"/>
  <c r="T24" i="4" s="1"/>
  <c r="L94" i="4"/>
  <c r="N94" i="4" s="1"/>
  <c r="O94" i="4" s="1"/>
  <c r="P94" i="4" s="1"/>
  <c r="Q94" i="4" s="1"/>
  <c r="N93" i="4"/>
  <c r="L75" i="4"/>
  <c r="O22" i="4"/>
  <c r="P22" i="4" s="1"/>
  <c r="S22" i="4"/>
  <c r="T22" i="4" s="1"/>
  <c r="N213" i="3"/>
  <c r="P213" i="3" s="1"/>
  <c r="Q213" i="3" s="1"/>
  <c r="R213" i="3" s="1"/>
  <c r="N216" i="3"/>
  <c r="B30" i="1" s="1"/>
  <c r="P212" i="3"/>
  <c r="Q222" i="3"/>
  <c r="Q240" i="3" s="1"/>
  <c r="X222" i="3"/>
  <c r="Y222" i="3" s="1"/>
  <c r="AA222" i="3" s="1"/>
  <c r="AB222" i="3" s="1"/>
  <c r="AC222" i="3" s="1"/>
  <c r="AC223" i="3" s="1"/>
  <c r="O97" i="4"/>
  <c r="P97" i="4" s="1"/>
  <c r="S97" i="4"/>
  <c r="T97" i="4" s="1"/>
  <c r="O20" i="4"/>
  <c r="P20" i="4" s="1"/>
  <c r="S20" i="4"/>
  <c r="T20" i="4" s="1"/>
  <c r="P240" i="3"/>
  <c r="L55" i="4"/>
  <c r="B9" i="1" s="1"/>
  <c r="O88" i="4"/>
  <c r="P88" i="4" s="1"/>
  <c r="S88" i="4"/>
  <c r="T88" i="4" s="1"/>
  <c r="AB236" i="3"/>
  <c r="AA174" i="3"/>
  <c r="F22" i="1" s="1"/>
  <c r="AB163" i="3"/>
  <c r="G20" i="1"/>
  <c r="F20" i="1"/>
  <c r="AC123" i="3"/>
  <c r="AB25" i="2"/>
  <c r="AC25" i="2" s="1"/>
  <c r="AB282" i="2"/>
  <c r="AC282" i="2" s="1"/>
  <c r="AB176" i="2"/>
  <c r="AC176" i="2" s="1"/>
  <c r="AB174" i="2"/>
  <c r="AC174" i="2" s="1"/>
  <c r="AB293" i="2"/>
  <c r="AC293" i="2" s="1"/>
  <c r="T304" i="2"/>
  <c r="X304" i="2"/>
  <c r="V304" i="2"/>
  <c r="AB30" i="2"/>
  <c r="AC30" i="2" s="1"/>
  <c r="AB172" i="2"/>
  <c r="AC172" i="2" s="1"/>
  <c r="Y304" i="2"/>
  <c r="AB214" i="2"/>
  <c r="AC214" i="2" s="1"/>
  <c r="AB241" i="2"/>
  <c r="AC241" i="2" s="1"/>
  <c r="Y48" i="2"/>
  <c r="AB175" i="2"/>
  <c r="AC175" i="2" s="1"/>
  <c r="X48" i="2"/>
  <c r="AC20" i="2"/>
  <c r="T48" i="2"/>
  <c r="AB246" i="2"/>
  <c r="AC246" i="2" s="1"/>
  <c r="T258" i="2"/>
  <c r="AB21" i="2"/>
  <c r="AC21" i="2" s="1"/>
  <c r="V48" i="2"/>
  <c r="Q323" i="2"/>
  <c r="T236" i="2"/>
  <c r="K24" i="1"/>
  <c r="M24" i="1" s="1"/>
  <c r="O24" i="1" s="1"/>
  <c r="T206" i="2"/>
  <c r="P62" i="2"/>
  <c r="V236" i="2"/>
  <c r="AB212" i="2"/>
  <c r="AC212" i="2" s="1"/>
  <c r="X224" i="2"/>
  <c r="AB159" i="2"/>
  <c r="AC159" i="2" s="1"/>
  <c r="AB12" i="2"/>
  <c r="AB52" i="2"/>
  <c r="AB55" i="2" s="1"/>
  <c r="AA55" i="2"/>
  <c r="T224" i="2"/>
  <c r="P323" i="2"/>
  <c r="M34" i="1"/>
  <c r="L34" i="1"/>
  <c r="K34" i="1"/>
  <c r="V206" i="2"/>
  <c r="AA48" i="2"/>
  <c r="AB37" i="2"/>
  <c r="AB48" i="2" s="1"/>
  <c r="L15" i="1"/>
  <c r="X289" i="2"/>
  <c r="AB58" i="2"/>
  <c r="AC58" i="2" s="1"/>
  <c r="AA60" i="2"/>
  <c r="V224" i="2"/>
  <c r="V289" i="2"/>
  <c r="T320" i="2"/>
  <c r="D28" i="1"/>
  <c r="AA289" i="2"/>
  <c r="AB268" i="2"/>
  <c r="AC268" i="2" s="1"/>
  <c r="AB163" i="2"/>
  <c r="AC163" i="2" s="1"/>
  <c r="K22" i="1"/>
  <c r="M22" i="1" s="1"/>
  <c r="Y320" i="2"/>
  <c r="AA307" i="2"/>
  <c r="T289" i="2"/>
  <c r="V320" i="2"/>
  <c r="AC262" i="2"/>
  <c r="AC264" i="2" s="1"/>
  <c r="M26" i="1"/>
  <c r="O26" i="1" s="1"/>
  <c r="AC240" i="2"/>
  <c r="AB280" i="2"/>
  <c r="AC280" i="2" s="1"/>
  <c r="Y206" i="2"/>
  <c r="AA65" i="2"/>
  <c r="K20" i="1"/>
  <c r="E28" i="1"/>
  <c r="Y224" i="2"/>
  <c r="AA210" i="2"/>
  <c r="X206" i="2"/>
  <c r="AB295" i="2"/>
  <c r="AC295" i="2" s="1"/>
  <c r="AB161" i="2"/>
  <c r="AC161" i="2" s="1"/>
  <c r="Y289" i="2"/>
  <c r="Y236" i="2"/>
  <c r="AA227" i="2"/>
  <c r="AB15" i="2"/>
  <c r="AC15" i="2" s="1"/>
  <c r="AA292" i="2"/>
  <c r="AA304" i="2" s="1"/>
  <c r="X33" i="2" l="1"/>
  <c r="AC258" i="2"/>
  <c r="Y33" i="2"/>
  <c r="L62" i="4"/>
  <c r="B11" i="1" s="1"/>
  <c r="T75" i="4"/>
  <c r="G15" i="1"/>
  <c r="P216" i="3"/>
  <c r="D30" i="1" s="1"/>
  <c r="X212" i="3"/>
  <c r="Q212" i="3"/>
  <c r="Q216" i="3" s="1"/>
  <c r="C9" i="1"/>
  <c r="P42" i="4"/>
  <c r="P55" i="4" s="1"/>
  <c r="O55" i="4"/>
  <c r="Q274" i="3"/>
  <c r="D7" i="1"/>
  <c r="S35" i="4"/>
  <c r="T35" i="4" s="1"/>
  <c r="AA220" i="3"/>
  <c r="Y240" i="3"/>
  <c r="D32" i="1"/>
  <c r="P274" i="3"/>
  <c r="B15" i="1"/>
  <c r="C15" i="1" s="1"/>
  <c r="O59" i="4"/>
  <c r="N62" i="4"/>
  <c r="D11" i="1" s="1"/>
  <c r="T13" i="4"/>
  <c r="T38" i="4" s="1"/>
  <c r="G7" i="1" s="1"/>
  <c r="B32" i="1"/>
  <c r="N274" i="3"/>
  <c r="O93" i="4"/>
  <c r="P93" i="4" s="1"/>
  <c r="S93" i="4"/>
  <c r="T93" i="4" s="1"/>
  <c r="T42" i="4"/>
  <c r="T55" i="4" s="1"/>
  <c r="G9" i="1" s="1"/>
  <c r="S55" i="4"/>
  <c r="F9" i="1" s="1"/>
  <c r="T223" i="3"/>
  <c r="T240" i="3" s="1"/>
  <c r="V223" i="3"/>
  <c r="R240" i="3"/>
  <c r="V213" i="3"/>
  <c r="T213" i="3"/>
  <c r="T216" i="3" s="1"/>
  <c r="R216" i="3"/>
  <c r="O67" i="4"/>
  <c r="N69" i="4"/>
  <c r="D13" i="1" s="1"/>
  <c r="C13" i="1" s="1"/>
  <c r="S66" i="4"/>
  <c r="T66" i="4" s="1"/>
  <c r="P13" i="4"/>
  <c r="P38" i="4" s="1"/>
  <c r="O38" i="4"/>
  <c r="S75" i="4"/>
  <c r="Q36" i="4"/>
  <c r="S36" i="4" s="1"/>
  <c r="T36" i="4" s="1"/>
  <c r="U36" i="4" s="1"/>
  <c r="S94" i="4"/>
  <c r="T94" i="4" s="1"/>
  <c r="V24" i="2"/>
  <c r="V33" i="2" s="1"/>
  <c r="T24" i="2"/>
  <c r="T33" i="2" s="1"/>
  <c r="T62" i="2" s="1"/>
  <c r="R33" i="2"/>
  <c r="R62" i="2" s="1"/>
  <c r="R323" i="2" s="1"/>
  <c r="P72" i="4"/>
  <c r="P75" i="4" s="1"/>
  <c r="O75" i="4"/>
  <c r="S60" i="4"/>
  <c r="T60" i="4" s="1"/>
  <c r="X240" i="3"/>
  <c r="M9" i="1"/>
  <c r="O9" i="1" s="1"/>
  <c r="L17" i="1"/>
  <c r="O15" i="1"/>
  <c r="AC163" i="3"/>
  <c r="AC174" i="3" s="1"/>
  <c r="H22" i="1" s="1"/>
  <c r="AB174" i="3"/>
  <c r="G22" i="1" s="1"/>
  <c r="AC236" i="3"/>
  <c r="AC156" i="3"/>
  <c r="X62" i="2"/>
  <c r="AB258" i="2"/>
  <c r="Y62" i="2"/>
  <c r="Y323" i="2" s="1"/>
  <c r="V62" i="2"/>
  <c r="V323" i="2" s="1"/>
  <c r="X323" i="2"/>
  <c r="K28" i="1"/>
  <c r="O34" i="1"/>
  <c r="AA62" i="2"/>
  <c r="AA206" i="2"/>
  <c r="AB65" i="2"/>
  <c r="AB206" i="2" s="1"/>
  <c r="L38" i="1"/>
  <c r="L44" i="1" s="1"/>
  <c r="K38" i="1"/>
  <c r="K44" i="1" s="1"/>
  <c r="E44" i="1"/>
  <c r="M38" i="1"/>
  <c r="M44" i="1" s="1"/>
  <c r="O22" i="1"/>
  <c r="AC289" i="2"/>
  <c r="AB60" i="2"/>
  <c r="D36" i="1"/>
  <c r="C30" i="1"/>
  <c r="AC60" i="2"/>
  <c r="AC37" i="2"/>
  <c r="AC48" i="2" s="1"/>
  <c r="AB292" i="2"/>
  <c r="Q26" i="1"/>
  <c r="S26" i="1" s="1"/>
  <c r="U26" i="1" s="1"/>
  <c r="AB227" i="2"/>
  <c r="AB236" i="2" s="1"/>
  <c r="AA236" i="2"/>
  <c r="AA224" i="2"/>
  <c r="AB210" i="2"/>
  <c r="AB224" i="2" s="1"/>
  <c r="M20" i="1"/>
  <c r="M28" i="1" s="1"/>
  <c r="AA320" i="2"/>
  <c r="AB307" i="2"/>
  <c r="AB320" i="2" s="1"/>
  <c r="AB289" i="2"/>
  <c r="T323" i="2"/>
  <c r="AC52" i="2"/>
  <c r="AC55" i="2" s="1"/>
  <c r="AC12" i="2"/>
  <c r="T274" i="3" l="1"/>
  <c r="C11" i="1"/>
  <c r="R274" i="3"/>
  <c r="L77" i="4"/>
  <c r="L78" i="4" s="1"/>
  <c r="AB213" i="3"/>
  <c r="V216" i="3"/>
  <c r="E30" i="1" s="1"/>
  <c r="C7" i="1"/>
  <c r="D17" i="1"/>
  <c r="D46" i="1" s="1"/>
  <c r="AB24" i="2"/>
  <c r="F15" i="1"/>
  <c r="U66" i="4"/>
  <c r="O69" i="4"/>
  <c r="P67" i="4"/>
  <c r="C32" i="1"/>
  <c r="C36" i="1" s="1"/>
  <c r="Q59" i="4"/>
  <c r="P59" i="4"/>
  <c r="O62" i="4"/>
  <c r="O77" i="4" s="1"/>
  <c r="B36" i="1"/>
  <c r="AB220" i="3"/>
  <c r="AC220" i="3" s="1"/>
  <c r="AA240" i="3"/>
  <c r="N77" i="4"/>
  <c r="Y212" i="3"/>
  <c r="X216" i="3"/>
  <c r="X274" i="3" s="1"/>
  <c r="B17" i="1"/>
  <c r="B46" i="1" s="1"/>
  <c r="AB223" i="3"/>
  <c r="V240" i="3"/>
  <c r="S38" i="4"/>
  <c r="F7" i="1" s="1"/>
  <c r="U35" i="4"/>
  <c r="U38" i="4" s="1"/>
  <c r="H7" i="1" s="1"/>
  <c r="H20" i="1"/>
  <c r="AB304" i="2"/>
  <c r="O20" i="1"/>
  <c r="O28" i="1"/>
  <c r="AC65" i="2"/>
  <c r="AC206" i="2" s="1"/>
  <c r="O38" i="1"/>
  <c r="AA323" i="2"/>
  <c r="F44" i="1"/>
  <c r="F28" i="1"/>
  <c r="Q9" i="1"/>
  <c r="G44" i="1"/>
  <c r="AC227" i="2"/>
  <c r="AC236" i="2" s="1"/>
  <c r="R15" i="1"/>
  <c r="R17" i="1" s="1"/>
  <c r="IM12" i="2"/>
  <c r="AC307" i="2"/>
  <c r="AC320" i="2" s="1"/>
  <c r="AC210" i="2"/>
  <c r="AC224" i="2" s="1"/>
  <c r="AC292" i="2"/>
  <c r="G28" i="1"/>
  <c r="C17" i="1" l="1"/>
  <c r="C46" i="1"/>
  <c r="B47" i="1"/>
  <c r="AC221" i="3"/>
  <c r="AC240" i="3" s="1"/>
  <c r="F32" i="1"/>
  <c r="Q67" i="4"/>
  <c r="P69" i="4"/>
  <c r="S59" i="4"/>
  <c r="S62" i="4" s="1"/>
  <c r="P62" i="4"/>
  <c r="D47" i="1"/>
  <c r="AA212" i="3"/>
  <c r="Y216" i="3"/>
  <c r="Y274" i="3" s="1"/>
  <c r="AB240" i="3"/>
  <c r="Q62" i="4"/>
  <c r="E11" i="1" s="1"/>
  <c r="T59" i="4"/>
  <c r="T62" i="4" s="1"/>
  <c r="AC24" i="2"/>
  <c r="AC33" i="2" s="1"/>
  <c r="AC62" i="2" s="1"/>
  <c r="AB33" i="2"/>
  <c r="L30" i="1"/>
  <c r="K30" i="1"/>
  <c r="M30" i="1"/>
  <c r="V274" i="3"/>
  <c r="E32" i="1"/>
  <c r="E36" i="1" s="1"/>
  <c r="Q20" i="1"/>
  <c r="S20" i="1" s="1"/>
  <c r="AC304" i="2"/>
  <c r="U15" i="1"/>
  <c r="H28" i="1"/>
  <c r="S9" i="1"/>
  <c r="U9" i="1" s="1"/>
  <c r="Q24" i="1"/>
  <c r="S24" i="1" s="1"/>
  <c r="Q22" i="1"/>
  <c r="Q7" i="1"/>
  <c r="P77" i="4" l="1"/>
  <c r="U59" i="4"/>
  <c r="U60" i="4" s="1"/>
  <c r="U62" i="4" s="1"/>
  <c r="O30" i="1"/>
  <c r="G11" i="1"/>
  <c r="AA216" i="3"/>
  <c r="AB212" i="3"/>
  <c r="AB216" i="3" s="1"/>
  <c r="G30" i="1" s="1"/>
  <c r="K11" i="1"/>
  <c r="M11" i="1" s="1"/>
  <c r="O11" i="1" s="1"/>
  <c r="H32" i="1"/>
  <c r="H11" i="1"/>
  <c r="AB62" i="2"/>
  <c r="AB323" i="2" s="1"/>
  <c r="F11" i="1"/>
  <c r="K32" i="1"/>
  <c r="K36" i="1" s="1"/>
  <c r="M32" i="1"/>
  <c r="M36" i="1" s="1"/>
  <c r="L32" i="1"/>
  <c r="L36" i="1" s="1"/>
  <c r="L46" i="1" s="1"/>
  <c r="G32" i="1"/>
  <c r="S67" i="4"/>
  <c r="T67" i="4"/>
  <c r="T69" i="4" s="1"/>
  <c r="G13" i="1" s="1"/>
  <c r="Q69" i="4"/>
  <c r="E13" i="1" s="1"/>
  <c r="K13" i="1" s="1"/>
  <c r="M13" i="1" s="1"/>
  <c r="O13" i="1" s="1"/>
  <c r="U20" i="1"/>
  <c r="AC323" i="2"/>
  <c r="Q34" i="1"/>
  <c r="S34" i="1"/>
  <c r="R34" i="1"/>
  <c r="U24" i="1"/>
  <c r="S7" i="1"/>
  <c r="U7" i="1" s="1"/>
  <c r="S22" i="1"/>
  <c r="S28" i="1" s="1"/>
  <c r="Q28" i="1"/>
  <c r="H44" i="1"/>
  <c r="R38" i="1"/>
  <c r="R44" i="1" s="1"/>
  <c r="Q38" i="1"/>
  <c r="Q44" i="1" s="1"/>
  <c r="S38" i="1"/>
  <c r="S44" i="1" s="1"/>
  <c r="O36" i="1" l="1"/>
  <c r="G17" i="1"/>
  <c r="AC212" i="3"/>
  <c r="AC213" i="3" s="1"/>
  <c r="AC216" i="3" s="1"/>
  <c r="H30" i="1" s="1"/>
  <c r="R30" i="1" s="1"/>
  <c r="R36" i="1" s="1"/>
  <c r="R46" i="1" s="1"/>
  <c r="AB274" i="3"/>
  <c r="O32" i="1"/>
  <c r="Q11" i="1"/>
  <c r="R32" i="1"/>
  <c r="Q32" i="1"/>
  <c r="S32" i="1"/>
  <c r="S30" i="1"/>
  <c r="S36" i="1" s="1"/>
  <c r="F30" i="1"/>
  <c r="F36" i="1" s="1"/>
  <c r="AA274" i="3"/>
  <c r="S69" i="4"/>
  <c r="U67" i="4"/>
  <c r="U69" i="4" s="1"/>
  <c r="AC274" i="3"/>
  <c r="T77" i="4"/>
  <c r="G36" i="1"/>
  <c r="U34" i="1"/>
  <c r="U22" i="1"/>
  <c r="U38" i="1"/>
  <c r="U28" i="1"/>
  <c r="U32" i="1" l="1"/>
  <c r="H36" i="1"/>
  <c r="Q30" i="1"/>
  <c r="U30" i="1"/>
  <c r="G46" i="1"/>
  <c r="Q36" i="1"/>
  <c r="U36" i="1" s="1"/>
  <c r="H13" i="1"/>
  <c r="U77" i="4"/>
  <c r="F13" i="1"/>
  <c r="F17" i="1" s="1"/>
  <c r="F46" i="1" s="1"/>
  <c r="S77" i="4"/>
  <c r="S11" i="1"/>
  <c r="HT90" i="4"/>
  <c r="U11" i="1" l="1"/>
  <c r="Q13" i="1"/>
  <c r="H17" i="1"/>
  <c r="Q38" i="4"/>
  <c r="Q77" i="4" s="1"/>
  <c r="H46" i="1" l="1"/>
  <c r="S13" i="1"/>
  <c r="Q17" i="1"/>
  <c r="Q46" i="1" s="1"/>
  <c r="E7" i="1"/>
  <c r="H47" i="1" l="1"/>
  <c r="U13" i="1"/>
  <c r="S17" i="1"/>
  <c r="K7" i="1"/>
  <c r="E17" i="1"/>
  <c r="S46" i="1" l="1"/>
  <c r="U46" i="1" s="1"/>
  <c r="U17" i="1"/>
  <c r="E46" i="1"/>
  <c r="M7" i="1"/>
  <c r="O7" i="1" s="1"/>
  <c r="K17" i="1"/>
  <c r="K46" i="1" s="1"/>
  <c r="M17" i="1" l="1"/>
  <c r="M46" i="1" s="1"/>
  <c r="O46" i="1" s="1"/>
  <c r="E47" i="1"/>
  <c r="O17" i="1" l="1"/>
</calcChain>
</file>

<file path=xl/comments1.xml><?xml version="1.0" encoding="utf-8"?>
<comments xmlns="http://schemas.openxmlformats.org/spreadsheetml/2006/main">
  <authors>
    <author>Melissa Cheesman</author>
    <author>Lindsay Waldram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Shop and Office
Based on preivoius owers bases (purchase) of the property. Property address - 905 N Sumner, Colfax, WA 99111
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Empty lots used to store containers.
Based on preivoius owers bases (purchase) of the property. Property has no address. Approx location is 1/2 mile form the Main Yard - SR 26, Mile Marker 34, Whitman County</t>
        </r>
      </text>
    </comment>
    <comment ref="H47" authorId="1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Same difference as PY</t>
        </r>
      </text>
    </comment>
  </commentList>
</comments>
</file>

<file path=xl/comments2.xml><?xml version="1.0" encoding="utf-8"?>
<comments xmlns="http://schemas.openxmlformats.org/spreadsheetml/2006/main">
  <authors>
    <author>Heather Garland</author>
    <author>Lindsay Waldram</author>
  </authors>
  <commentList>
    <comment ref="Q35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Includes amortization of salvage value of trucks that will be retired when these two new REL's arrive.</t>
        </r>
      </text>
    </comment>
    <comment ref="A48" authorId="1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Transferred from 2180 - 9/2017.</t>
        </r>
      </text>
    </comment>
    <comment ref="B88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Will be retired when new 2018 REL arrives.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Will be retired when new 2018 REL is received.</t>
        </r>
      </text>
    </comment>
    <comment ref="B97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Will be retired when we receive the new 2018 RO truck.</t>
        </r>
      </text>
    </comment>
  </commentList>
</comments>
</file>

<file path=xl/comments3.xml><?xml version="1.0" encoding="utf-8"?>
<comments xmlns="http://schemas.openxmlformats.org/spreadsheetml/2006/main">
  <authors>
    <author>Melissa Cheesman</author>
    <author>Heather Garland</author>
  </authors>
  <commentList>
    <comment ref="D73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Company does not know what the actual amount of purchased containers prior to its purchase of Empire in 2004.
Without a phyiscial count, there is no way to determine the actual number of containers in service.</t>
        </r>
      </text>
    </comment>
    <comment ref="D176" authorId="1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65 Gallons are used for both garbage and recycling.  A sticker is applied to the cart to indicate recycilng.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10 years based on Metalworking Machinery and Weilding Equipment, see source - http://www.ofm.wa.gov/policy/30.50.htm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10 years based on Metalworking Machinery and Weilding Equipment, see source - http://www.ofm.wa.gov/policy/30.50.htm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based on parking lot construction
http://www.gfoa.org/services/nl/GAAFRmay-2002-focusarticle.pdf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based on parking lot construction
http://www.gfoa.org/services/nl/GAAFRmay-2002-focusarticle.pdf</t>
        </r>
      </text>
    </comment>
    <comment ref="J262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25 years based on http://www.ohiohome.org/lihtc/CapitalNeeds.pdf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12 years 10 years based on energy efficient lighting, see source - http://www.ofm.wa.gov/policy/30.50.htm</t>
        </r>
      </text>
    </comment>
    <comment ref="C281" authorId="1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Per Aaron Lawhead on 2/5/18 they no longer have this truck.</t>
        </r>
      </text>
    </comment>
  </commentList>
</comments>
</file>

<file path=xl/comments4.xml><?xml version="1.0" encoding="utf-8"?>
<comments xmlns="http://schemas.openxmlformats.org/spreadsheetml/2006/main">
  <authors>
    <author>Melissa Cheesman</author>
    <author>Heather Garland</author>
  </authors>
  <commentList>
    <comment ref="D125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Company does not know what the actual amount of purchased containers prior to its purchase of Empire in 2004.
Without a phyiscial count, there is no way to determine the actual number of containers in service.</t>
        </r>
      </text>
    </comment>
    <comment ref="D226" authorId="1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65 Gallons are used for both garbage and recycling.  A sticker is applied to the cart to indicate recycilng.</t>
        </r>
      </text>
    </comment>
    <comment ref="J279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10 years based on Metalworking Machinery and Weilding Equipment, see source - http://www.ofm.wa.gov/policy/30.50.htm</t>
        </r>
      </text>
    </comment>
    <comment ref="J281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10 years based on Metalworking Machinery and Weilding Equipment, see source - http://www.ofm.wa.gov/policy/30.50.htm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based on parking lot construction
http://www.gfoa.org/services/nl/GAAFRmay-2002-focusarticle.pdf</t>
        </r>
      </text>
    </comment>
    <comment ref="J310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based on parking lot construction
http://www.gfoa.org/services/nl/GAAFRmay-2002-focusarticle.pdf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25 years based on http://www.ohiohome.org/lihtc/CapitalNeeds.pdf</t>
        </r>
      </text>
    </comment>
    <comment ref="J312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12 years 10 years based on energy efficient lighting, see source - http://www.ofm.wa.gov/policy/30.50.htm</t>
        </r>
      </text>
    </comment>
  </commentList>
</comments>
</file>

<file path=xl/sharedStrings.xml><?xml version="1.0" encoding="utf-8"?>
<sst xmlns="http://schemas.openxmlformats.org/spreadsheetml/2006/main" count="1480" uniqueCount="357">
  <si>
    <t>Depreciation &amp; Average Investment Summary:</t>
  </si>
  <si>
    <t>Empire Disposal</t>
  </si>
  <si>
    <t>Beginning</t>
  </si>
  <si>
    <t>Ending</t>
  </si>
  <si>
    <t>Average</t>
  </si>
  <si>
    <t>Equipment</t>
  </si>
  <si>
    <t>Cost</t>
  </si>
  <si>
    <t>Salvage</t>
  </si>
  <si>
    <t>Depr</t>
  </si>
  <si>
    <t>Test Year</t>
  </si>
  <si>
    <t>Accum Depr</t>
  </si>
  <si>
    <t>Investment</t>
  </si>
  <si>
    <t>Depreciation Expense</t>
  </si>
  <si>
    <t>Average Investment</t>
  </si>
  <si>
    <t>Regulated</t>
  </si>
  <si>
    <t>Med-Waste</t>
  </si>
  <si>
    <t>Non-Regulated</t>
  </si>
  <si>
    <t>Allocator</t>
  </si>
  <si>
    <t>Trucks</t>
  </si>
  <si>
    <t>Garbage - Shared</t>
  </si>
  <si>
    <t>Rt Hrs</t>
  </si>
  <si>
    <t>Roll-off</t>
  </si>
  <si>
    <t>Med Waste</t>
  </si>
  <si>
    <t>Actual</t>
  </si>
  <si>
    <t>Total Trucks</t>
  </si>
  <si>
    <t xml:space="preserve"> </t>
  </si>
  <si>
    <t>Containers:</t>
  </si>
  <si>
    <t>Garbage</t>
  </si>
  <si>
    <t>U Cnts</t>
  </si>
  <si>
    <t>Garbage Carts</t>
  </si>
  <si>
    <t>Garbage/Recycling Carts</t>
  </si>
  <si>
    <t>Drop Boxes</t>
  </si>
  <si>
    <t>Total Cont, Carts,</t>
  </si>
  <si>
    <t>Service Equipment</t>
  </si>
  <si>
    <t>Shop Equipment</t>
  </si>
  <si>
    <t>Office Equipment</t>
  </si>
  <si>
    <t>Cust Counts</t>
  </si>
  <si>
    <t>Total Equipment</t>
  </si>
  <si>
    <t>Structures</t>
  </si>
  <si>
    <t>Land</t>
  </si>
  <si>
    <t xml:space="preserve">Land, Lot Colfax </t>
  </si>
  <si>
    <t>Container Storage</t>
  </si>
  <si>
    <t>Total Land &amp; LH</t>
  </si>
  <si>
    <t>Total</t>
  </si>
  <si>
    <t>Empire Disposal Co</t>
  </si>
  <si>
    <t>Depreciation Schedule</t>
  </si>
  <si>
    <t>Months in first year</t>
  </si>
  <si>
    <t>CONVENTIONS</t>
  </si>
  <si>
    <t>Months in second year</t>
  </si>
  <si>
    <t>A.</t>
  </si>
  <si>
    <t>Purchase date</t>
  </si>
  <si>
    <t>First year</t>
  </si>
  <si>
    <t>B.</t>
  </si>
  <si>
    <t>End of Test Period</t>
  </si>
  <si>
    <t xml:space="preserve">Calendar year test period: </t>
  </si>
  <si>
    <t>mos in first year</t>
  </si>
  <si>
    <t>Second year</t>
  </si>
  <si>
    <t>C</t>
  </si>
  <si>
    <t>Date fully Depr</t>
  </si>
  <si>
    <t>mos in 2nd year</t>
  </si>
  <si>
    <t>D.</t>
  </si>
  <si>
    <t>Beg of Test Period</t>
  </si>
  <si>
    <t>E.</t>
  </si>
  <si>
    <t>Disposition Date</t>
  </si>
  <si>
    <t>Second Year</t>
  </si>
  <si>
    <t>Disposal</t>
  </si>
  <si>
    <t>Allocated</t>
  </si>
  <si>
    <t>GARBAGE - SHARED</t>
  </si>
  <si>
    <t>Date in</t>
  </si>
  <si>
    <t>Year</t>
  </si>
  <si>
    <t>Asset</t>
  </si>
  <si>
    <t>%</t>
  </si>
  <si>
    <t>Accumulated</t>
  </si>
  <si>
    <t>Branch</t>
  </si>
  <si>
    <t>Accum.</t>
  </si>
  <si>
    <t>Truck</t>
  </si>
  <si>
    <t xml:space="preserve">Service </t>
  </si>
  <si>
    <t>Value</t>
  </si>
  <si>
    <t>Method</t>
  </si>
  <si>
    <t xml:space="preserve">Life </t>
  </si>
  <si>
    <t xml:space="preserve">Fully </t>
  </si>
  <si>
    <t xml:space="preserve"> Mo.</t>
  </si>
  <si>
    <t xml:space="preserve">Monthly </t>
  </si>
  <si>
    <t>Depn</t>
  </si>
  <si>
    <t>Test yr.</t>
  </si>
  <si>
    <t>Allo.</t>
  </si>
  <si>
    <t>Test year</t>
  </si>
  <si>
    <t>Depreciation</t>
  </si>
  <si>
    <t>Depr.</t>
  </si>
  <si>
    <t>B</t>
  </si>
  <si>
    <t>C.</t>
  </si>
  <si>
    <t>Dispositions must be in test period</t>
  </si>
  <si>
    <t>FAR #</t>
  </si>
  <si>
    <t>Trk #</t>
  </si>
  <si>
    <t>No</t>
  </si>
  <si>
    <t>Asset Classification</t>
  </si>
  <si>
    <t>Mo</t>
  </si>
  <si>
    <t>-</t>
  </si>
  <si>
    <t>M</t>
  </si>
  <si>
    <t>Years</t>
  </si>
  <si>
    <t>Depn.</t>
  </si>
  <si>
    <t>Del</t>
  </si>
  <si>
    <t>1/2 ton PU F-450 (U)</t>
  </si>
  <si>
    <t>SL</t>
  </si>
  <si>
    <t>Trailer</t>
  </si>
  <si>
    <t>Container</t>
  </si>
  <si>
    <t>LH 200 Self Dump Hopper</t>
  </si>
  <si>
    <t>RL-R,C</t>
  </si>
  <si>
    <t>Peterbilt M330-20 yd Leach</t>
  </si>
  <si>
    <t>SL-R</t>
  </si>
  <si>
    <t>Isusu FRR-10 yd Heil</t>
  </si>
  <si>
    <t>Peterbilt M330-25 yd Heil</t>
  </si>
  <si>
    <t>SP</t>
  </si>
  <si>
    <t>Capital Repair</t>
  </si>
  <si>
    <t>RL</t>
  </si>
  <si>
    <t>2008 Int'l w/McNeilus Pckr</t>
  </si>
  <si>
    <t>2010 Trk w/Pckr (N)</t>
  </si>
  <si>
    <t xml:space="preserve">2-Men </t>
  </si>
  <si>
    <t>2 Cart Tippers (N)</t>
  </si>
  <si>
    <t>19 Drive Cams</t>
  </si>
  <si>
    <t>SL Retriver</t>
  </si>
  <si>
    <t>2012 Peterbilt w/10 Pckr (N)</t>
  </si>
  <si>
    <t>REL</t>
  </si>
  <si>
    <t>2011 Int'l  w/Pckr (U)</t>
  </si>
  <si>
    <t>In-fram, Engine Repair</t>
  </si>
  <si>
    <t>Peterbilt REL Truck (N)</t>
  </si>
  <si>
    <t>McNeilus REL Truck (N)</t>
  </si>
  <si>
    <t>2016 Peterbilt REL Truck (N)</t>
  </si>
  <si>
    <t>TOTAL SHARED GARBAGE TRUCKS</t>
  </si>
  <si>
    <t>ROLL-OFF</t>
  </si>
  <si>
    <t xml:space="preserve">87LNT 8000   </t>
  </si>
  <si>
    <t xml:space="preserve">Leach 2R II Int'l </t>
  </si>
  <si>
    <t>Stock #7-928-1 Roll-off</t>
  </si>
  <si>
    <t>Pete Rolloff</t>
  </si>
  <si>
    <t>Engine (Jim's Pacific)</t>
  </si>
  <si>
    <t>Rathburn FM Radio</t>
  </si>
  <si>
    <t>Inframe Engine</t>
  </si>
  <si>
    <t>Winch Upgrade, Multiple Boxes (N)</t>
  </si>
  <si>
    <t>Trasmission Truck #7</t>
  </si>
  <si>
    <t>TOTAL ROLL-OFF</t>
  </si>
  <si>
    <t>RESIDENTIAL RECYCLING</t>
  </si>
  <si>
    <t>Isusu NQR-6 yd Heil</t>
  </si>
  <si>
    <t>111336/111337</t>
  </si>
  <si>
    <t xml:space="preserve">RL </t>
  </si>
  <si>
    <t>Peterbilt w/Leach 25 yd Pcker (U)</t>
  </si>
  <si>
    <t>TOTAL RESI RECYCLING</t>
  </si>
  <si>
    <t>MEDICAL WASTE</t>
  </si>
  <si>
    <t>GMC Truck</t>
  </si>
  <si>
    <t>TOTAL MED WASTE</t>
  </si>
  <si>
    <t>TOTAL TRUCKS</t>
  </si>
  <si>
    <t>CONTAINERS:</t>
  </si>
  <si>
    <t>Containers 10</t>
  </si>
  <si>
    <t>Containers 4</t>
  </si>
  <si>
    <t>Containers 12</t>
  </si>
  <si>
    <t xml:space="preserve">Containers </t>
  </si>
  <si>
    <t>Containers 1</t>
  </si>
  <si>
    <t>Containers 8</t>
  </si>
  <si>
    <t>Containers 23</t>
  </si>
  <si>
    <t>Containers 2</t>
  </si>
  <si>
    <t>Containers 6</t>
  </si>
  <si>
    <t>Containers &amp; Lids</t>
  </si>
  <si>
    <t>Containers 13</t>
  </si>
  <si>
    <t>Containers 43</t>
  </si>
  <si>
    <t>Rolloff 1</t>
  </si>
  <si>
    <t xml:space="preserve">Lids </t>
  </si>
  <si>
    <t>Wheels &amp; Lids</t>
  </si>
  <si>
    <t>6 Yd. Containers 1</t>
  </si>
  <si>
    <t>Caution Labels</t>
  </si>
  <si>
    <t>Lids &amp; Wheels</t>
  </si>
  <si>
    <t>1-4 Yd. Container</t>
  </si>
  <si>
    <t>Lids</t>
  </si>
  <si>
    <t>4 Yd. Cont.</t>
  </si>
  <si>
    <t>1-2 Yd. Container</t>
  </si>
  <si>
    <t>8 Lids</t>
  </si>
  <si>
    <t>4-2Yd.</t>
  </si>
  <si>
    <t>6-1.5Yd.</t>
  </si>
  <si>
    <t>10-5 Yard Containers</t>
  </si>
  <si>
    <t>1 Yd. Container</t>
  </si>
  <si>
    <t>2-4 Yd. Containers</t>
  </si>
  <si>
    <t>Saftey Decals</t>
  </si>
  <si>
    <t>Containers</t>
  </si>
  <si>
    <t>Solid Waste System</t>
  </si>
  <si>
    <t>2 Yd Cont.,</t>
  </si>
  <si>
    <t>3 Yd Cont.</t>
  </si>
  <si>
    <t>Containers (Western Sys.)</t>
  </si>
  <si>
    <t>4-RL Containers</t>
  </si>
  <si>
    <t>2-1 Yd. WSF RL-1</t>
  </si>
  <si>
    <t>2-1.5 Yd.WSF RL-1/2</t>
  </si>
  <si>
    <t>2-1 Yd.WSF RL-1</t>
  </si>
  <si>
    <t>2-2 Yd. WSF RL-2</t>
  </si>
  <si>
    <t>3-RL Containers</t>
  </si>
  <si>
    <t>1-3 yd RS Container</t>
  </si>
  <si>
    <t xml:space="preserve">4-1.5 yd RL Container </t>
  </si>
  <si>
    <t>3-1 yd RL Container</t>
  </si>
  <si>
    <t>15-2 yd RL Container</t>
  </si>
  <si>
    <t>2-2 yd RL Container</t>
  </si>
  <si>
    <t>13-1.5 yd + 19-2 yd Cont (U)</t>
  </si>
  <si>
    <t>1-6 yd RL Container</t>
  </si>
  <si>
    <t>Misc-Lids, Caster, Caution Label</t>
  </si>
  <si>
    <t>2-3 yd RL Container</t>
  </si>
  <si>
    <t>10-1.5 Yd RL Containers</t>
  </si>
  <si>
    <t>4-3 Yd RL Tall Containers</t>
  </si>
  <si>
    <t>5-1 Yd RL Containers</t>
  </si>
  <si>
    <t>6-3 Yd RL Long Containers</t>
  </si>
  <si>
    <t>3-4 Yd RL Containers</t>
  </si>
  <si>
    <t>8-1 RL, 5-1.5 RL, 2-2 RL</t>
  </si>
  <si>
    <t>3 Yd RL Cont w/Lids (N)</t>
  </si>
  <si>
    <t>4 Yd RL Cont w/Lids (N)</t>
  </si>
  <si>
    <t>2 Yd RL Cont w/Lids (N)</t>
  </si>
  <si>
    <t>1 Yd RL Cont w/Lids (N)</t>
  </si>
  <si>
    <t>1.5 Yd RL Cont w/Lids (N)</t>
  </si>
  <si>
    <t>1 Yd RL Cont w/Lids (U)</t>
  </si>
  <si>
    <t>1.5 Yd RL Cont w/Lids (U)</t>
  </si>
  <si>
    <t>2 Yd RL Cont w/Lids (U)</t>
  </si>
  <si>
    <t>3 Yd RL Cont w/Lids (U)</t>
  </si>
  <si>
    <t>1.5 yd REL Metal Containers</t>
  </si>
  <si>
    <t>3 yd REL Metal Containers</t>
  </si>
  <si>
    <t>4 yd REL Metal Containers</t>
  </si>
  <si>
    <t>1 yd Metal REL Containers</t>
  </si>
  <si>
    <t>8 yd REL Metal Container</t>
  </si>
  <si>
    <t>6 yd REL Metal Containers</t>
  </si>
  <si>
    <t>TOTAL CONTAINER</t>
  </si>
  <si>
    <t>GARBAGE CARTS</t>
  </si>
  <si>
    <t>325-98 Gal, 350-65 Gal</t>
  </si>
  <si>
    <t>96-Gal Cart (Schaefer) Gr (N)</t>
  </si>
  <si>
    <t>95-Gal Cart  (N)</t>
  </si>
  <si>
    <t>95-Gal Cart Gr (N)</t>
  </si>
  <si>
    <t>96-Gal Cart (N)</t>
  </si>
  <si>
    <t>TOTAL CARTS</t>
  </si>
  <si>
    <t>GARBAGE/RECYCLING CARTS</t>
  </si>
  <si>
    <t>65-Gal Cart (Schaefer) Gr (N)</t>
  </si>
  <si>
    <t>65-Gal Cart  (N)</t>
  </si>
  <si>
    <t>65-Gal Cart Gr (N)</t>
  </si>
  <si>
    <t>64-Gal Cart (N)</t>
  </si>
  <si>
    <t>TOTAL GARBAGE/RECYLING CARTS</t>
  </si>
  <si>
    <t>1-25 Yd Rolloff</t>
  </si>
  <si>
    <t>Rollofff Frame</t>
  </si>
  <si>
    <t>1-20 yd drop box</t>
  </si>
  <si>
    <t>3-40 yd drop box</t>
  </si>
  <si>
    <t>Roll-off hooks, Casters, etc</t>
  </si>
  <si>
    <t>1-40 Yd Rolloff</t>
  </si>
  <si>
    <t>25 yrd drop box</t>
  </si>
  <si>
    <t>1-2 Way Dome Screen Lid 25yd</t>
  </si>
  <si>
    <t>40 yd drop box</t>
  </si>
  <si>
    <t>25 yrd drop box (N)</t>
  </si>
  <si>
    <t>TOTAL ROLL OFF</t>
  </si>
  <si>
    <t>Service Equipment:</t>
  </si>
  <si>
    <t xml:space="preserve">Chevy Lilverado PU M2500 HD </t>
  </si>
  <si>
    <t>SHOP EQUIPMENT:</t>
  </si>
  <si>
    <t>Ford Pickup F450</t>
  </si>
  <si>
    <t>Ford F450 Deisel Tr.</t>
  </si>
  <si>
    <t>Air Compressor</t>
  </si>
  <si>
    <t>Steam Washer</t>
  </si>
  <si>
    <t>Hyster Forklift - Small</t>
  </si>
  <si>
    <t>Exit Awareness Sings,Lockout</t>
  </si>
  <si>
    <t>Eyewash Station</t>
  </si>
  <si>
    <t>Storage Cabinet</t>
  </si>
  <si>
    <t>Fire Extinguisher Signs</t>
  </si>
  <si>
    <t>Farm Plan</t>
  </si>
  <si>
    <t xml:space="preserve">Plasma Cutter </t>
  </si>
  <si>
    <t>2001 Ford F-150 (U)</t>
  </si>
  <si>
    <t>Gas Welder for Serv Trk</t>
  </si>
  <si>
    <t>RTA Equipment</t>
  </si>
  <si>
    <t>Fleet Diognostic Soltw. Laptop</t>
  </si>
  <si>
    <t>99980, 102020, 102021</t>
  </si>
  <si>
    <t>CAT Diognostic Softw installed</t>
  </si>
  <si>
    <t>TOTAL SHOP EQUIPMENT</t>
  </si>
  <si>
    <t>OFFICE EQUIPMENT:</t>
  </si>
  <si>
    <t>RM License</t>
  </si>
  <si>
    <t>HP Notebook</t>
  </si>
  <si>
    <t xml:space="preserve">Marlin Board </t>
  </si>
  <si>
    <t>HP ProBook</t>
  </si>
  <si>
    <t>Sony Internet TV</t>
  </si>
  <si>
    <t>HP ProBook 6570b (N)</t>
  </si>
  <si>
    <t>HP ProBook 600 G1 (N)</t>
  </si>
  <si>
    <t>HP ProBook 640 G1 (N)</t>
  </si>
  <si>
    <t>(5) Winterms</t>
  </si>
  <si>
    <t>Grandstream Phone System</t>
  </si>
  <si>
    <t>TOTAL OFFICE</t>
  </si>
  <si>
    <t>LH IMPROVEMENTS</t>
  </si>
  <si>
    <t>LH and Improvements</t>
  </si>
  <si>
    <t>Sewer Repair</t>
  </si>
  <si>
    <t>Planning &amp; Permitting Washpad for Shop</t>
  </si>
  <si>
    <t>Washpad for Shop</t>
  </si>
  <si>
    <t>Gutters, Shop-Office</t>
  </si>
  <si>
    <t>High Effic Lighting, Shop-Office</t>
  </si>
  <si>
    <t>Coat Metal Roof</t>
  </si>
  <si>
    <t>Paint Office &amp; Shop</t>
  </si>
  <si>
    <t>Paving - 5,250 Sq. Ft.</t>
  </si>
  <si>
    <t>Paving and Catch Basin- Stormwater</t>
  </si>
  <si>
    <t>TOTAL Leasehold Improvements</t>
  </si>
  <si>
    <t>TOTAL ASSETS</t>
  </si>
  <si>
    <t>2 YD Metal REL Containers</t>
  </si>
  <si>
    <t>25 Yd Lidded RO Boxes</t>
  </si>
  <si>
    <t>40 Yd Lidded RO Boxes</t>
  </si>
  <si>
    <t>1 Yd Metal REL Containers</t>
  </si>
  <si>
    <t>95 Gal Resi MSW Carts</t>
  </si>
  <si>
    <t>64 Gal Resi Recycle Carts</t>
  </si>
  <si>
    <t>Hot Water Pressure Washer</t>
  </si>
  <si>
    <t>12.75 HP Gas Air Compressor</t>
  </si>
  <si>
    <t>1989 Nissan Truck/MP</t>
  </si>
  <si>
    <t>Truck Tablets &amp; Mounts</t>
  </si>
  <si>
    <t>139928/166669</t>
  </si>
  <si>
    <t>185018 /184583</t>
  </si>
  <si>
    <t>Install of Security Cameras</t>
  </si>
  <si>
    <t>Perimeter Security Cameras</t>
  </si>
  <si>
    <t>40 Yd Lidded RO Box</t>
  </si>
  <si>
    <t>64 Gal Resi MSW Carts</t>
  </si>
  <si>
    <t>96 Gal Resi MSW Carts</t>
  </si>
  <si>
    <t>179264 / 58452</t>
  </si>
  <si>
    <t>Engine Rebuild Truck 8</t>
  </si>
  <si>
    <t>Grandstream GSP2135 Phone</t>
  </si>
  <si>
    <t>2018 Retriever Truck</t>
  </si>
  <si>
    <t>2001 Type H Drop R/O</t>
  </si>
  <si>
    <t>Retirements/Transfers 2017</t>
  </si>
  <si>
    <t>Annual</t>
  </si>
  <si>
    <t>4 Yd Metal REL Containers</t>
  </si>
  <si>
    <t>8 Yd Metal REL Container</t>
  </si>
  <si>
    <t>6 Yd Metal REL Containers</t>
  </si>
  <si>
    <t>2018 Chevy P/U - 4X4 Double Cab</t>
  </si>
  <si>
    <t>188921/189288/189649/190225</t>
  </si>
  <si>
    <t xml:space="preserve">Chevy Silverado PU M2500 HD </t>
  </si>
  <si>
    <t>Retired 2017</t>
  </si>
  <si>
    <t>2018 Peterbilt/McNeilus REL (N)</t>
  </si>
  <si>
    <t>2120-18-0001</t>
  </si>
  <si>
    <t>2120-18-0007</t>
  </si>
  <si>
    <t>RESIDENTIAL RECYCLING/GARBAGE</t>
  </si>
  <si>
    <t>Resi Recycling/Garbage - Shared</t>
  </si>
  <si>
    <t>COMM RECYCLING/GARBAGE</t>
  </si>
  <si>
    <t>Truck #67 Amort of salvage</t>
  </si>
  <si>
    <t>Truck #5 Amort of salvage</t>
  </si>
  <si>
    <t>Truck #8 Amort of salvage</t>
  </si>
  <si>
    <t>Truck #10 Amort of salvage</t>
  </si>
  <si>
    <t>Cart Tippers Amort of salvage</t>
  </si>
  <si>
    <t>Drive Cams Amort of salvage</t>
  </si>
  <si>
    <t>Truck #11 Amort of salvage</t>
  </si>
  <si>
    <t>Truck #14 Amort of salvage</t>
  </si>
  <si>
    <t>Truck #16 Amort of salvage</t>
  </si>
  <si>
    <t>Truck #7 Amort of salvage</t>
  </si>
  <si>
    <t>Truck #33 Amort of salvage</t>
  </si>
  <si>
    <t>Truck #1 Amort of salvage</t>
  </si>
  <si>
    <t>Truck #15 Amort of salvage</t>
  </si>
  <si>
    <t>Truck #25 Amort of salvage</t>
  </si>
  <si>
    <t>Truck #6 Amort of salvage</t>
  </si>
  <si>
    <t>Truck #74 Amort of salvage</t>
  </si>
  <si>
    <t>Truck #65 Amort of salvage</t>
  </si>
  <si>
    <t>Truck Chevy PU M2500 Amort of salvage</t>
  </si>
  <si>
    <t>Truck Ford F450 Amort of salvage</t>
  </si>
  <si>
    <t>Truck Ford F450 Diesel Amort of salvage</t>
  </si>
  <si>
    <t>2001 Ford F-150 (U) Amort of salvage</t>
  </si>
  <si>
    <t>Comm Recycling/Garbage - Shared</t>
  </si>
  <si>
    <t>TOTAL RESI RECYCLING/GARBAGE</t>
  </si>
  <si>
    <t>TOTAL COMM RECYCLING/GARBAGE</t>
  </si>
  <si>
    <t>Qty</t>
  </si>
  <si>
    <t>Beginning Rate Year</t>
  </si>
  <si>
    <t>Ending Rate Year</t>
  </si>
  <si>
    <t>2018 Peterbilt RO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</si>
</sst>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mm/dd/yy"/>
    <numFmt numFmtId="167" formatCode="m/d/yy;@"/>
    <numFmt numFmtId="168" formatCode="&quot;$&quot;#,##0\ ;\(&quot;$&quot;#,##0\)"/>
    <numFmt numFmtId="169" formatCode="General_)"/>
    <numFmt numFmtId="170" formatCode="0.0%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Helv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9"/>
      <color rgb="FFC00000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1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"/>
      <family val="2"/>
    </font>
    <font>
      <sz val="12"/>
      <name val="CG Omega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1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1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1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51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59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u/>
      <sz val="8.8000000000000007"/>
      <color theme="10"/>
      <name val="Calibri"/>
      <family val="2"/>
    </font>
    <font>
      <sz val="8"/>
      <color rgb="FF0000FF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8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1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1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5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23" borderId="0" applyNumberFormat="0" applyBorder="0" applyAlignment="0" applyProtection="0"/>
    <xf numFmtId="0" fontId="21" fillId="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1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5" borderId="0" applyNumberFormat="0" applyBorder="0" applyAlignment="0" applyProtection="0"/>
    <xf numFmtId="0" fontId="21" fillId="2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8" borderId="0" applyNumberFormat="0" applyBorder="0" applyAlignment="0" applyProtection="0"/>
    <xf numFmtId="0" fontId="2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3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41" fontId="10" fillId="0" borderId="0"/>
    <xf numFmtId="41" fontId="10" fillId="0" borderId="0"/>
    <xf numFmtId="41" fontId="10" fillId="0" borderId="0"/>
    <xf numFmtId="41" fontId="10" fillId="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3" fontId="10" fillId="0" borderId="0"/>
    <xf numFmtId="3" fontId="10" fillId="0" borderId="0"/>
    <xf numFmtId="3" fontId="10" fillId="0" borderId="0"/>
    <xf numFmtId="3" fontId="10" fillId="0" borderId="0"/>
    <xf numFmtId="0" fontId="23" fillId="29" borderId="5" applyNumberFormat="0" applyAlignment="0" applyProtection="0"/>
    <xf numFmtId="0" fontId="23" fillId="29" borderId="5" applyNumberFormat="0" applyAlignment="0" applyProtection="0"/>
    <xf numFmtId="0" fontId="24" fillId="29" borderId="5" applyNumberFormat="0" applyAlignment="0" applyProtection="0"/>
    <xf numFmtId="0" fontId="23" fillId="5" borderId="5" applyNumberFormat="0" applyAlignment="0" applyProtection="0"/>
    <xf numFmtId="0" fontId="23" fillId="5" borderId="5" applyNumberFormat="0" applyAlignment="0" applyProtection="0"/>
    <xf numFmtId="0" fontId="25" fillId="29" borderId="5" applyNumberFormat="0" applyAlignment="0" applyProtection="0"/>
    <xf numFmtId="0" fontId="25" fillId="29" borderId="5" applyNumberFormat="0" applyAlignment="0" applyProtection="0"/>
    <xf numFmtId="0" fontId="26" fillId="30" borderId="6" applyNumberFormat="0" applyAlignment="0" applyProtection="0"/>
    <xf numFmtId="0" fontId="26" fillId="31" borderId="7" applyNumberFormat="0" applyAlignment="0" applyProtection="0"/>
    <xf numFmtId="0" fontId="10" fillId="32" borderId="0">
      <alignment horizontal="center"/>
    </xf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9" fillId="0" borderId="0"/>
    <xf numFmtId="3" fontId="30" fillId="0" borderId="0" applyFont="0" applyFill="0" applyBorder="0" applyAlignment="0" applyProtection="0"/>
    <xf numFmtId="0" fontId="31" fillId="0" borderId="0"/>
    <xf numFmtId="0" fontId="31" fillId="0" borderId="0"/>
    <xf numFmtId="0" fontId="32" fillId="33" borderId="1" applyAlignment="0">
      <alignment horizontal="right"/>
      <protection locked="0"/>
    </xf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4" fillId="34" borderId="0">
      <alignment horizontal="right"/>
      <protection locked="0"/>
    </xf>
    <xf numFmtId="14" fontId="10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2" fontId="34" fillId="34" borderId="0">
      <alignment horizontal="right"/>
      <protection locked="0"/>
    </xf>
    <xf numFmtId="1" fontId="10" fillId="0" borderId="0">
      <alignment horizontal="center"/>
    </xf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4" borderId="0" applyNumberFormat="0" applyBorder="0" applyAlignment="0" applyProtection="0"/>
    <xf numFmtId="0" fontId="2" fillId="2" borderId="0" applyNumberFormat="0" applyBorder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15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15" borderId="5" applyNumberFormat="0" applyAlignment="0" applyProtection="0"/>
    <xf numFmtId="0" fontId="50" fillId="6" borderId="5" applyNumberFormat="0" applyAlignment="0" applyProtection="0"/>
    <xf numFmtId="0" fontId="50" fillId="15" borderId="5" applyNumberFormat="0" applyAlignment="0" applyProtection="0"/>
    <xf numFmtId="3" fontId="51" fillId="35" borderId="0">
      <protection locked="0"/>
    </xf>
    <xf numFmtId="4" fontId="51" fillId="35" borderId="0">
      <protection locked="0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2" fillId="0" borderId="18" applyNumberFormat="0" applyFill="0" applyAlignment="0" applyProtection="0"/>
    <xf numFmtId="0" fontId="54" fillId="0" borderId="20" applyNumberFormat="0" applyFill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6" fillId="15" borderId="0" applyNumberFormat="0" applyBorder="0" applyAlignment="0" applyProtection="0"/>
    <xf numFmtId="0" fontId="55" fillId="15" borderId="0" applyNumberFormat="0" applyBorder="0" applyAlignment="0" applyProtection="0"/>
    <xf numFmtId="0" fontId="57" fillId="15" borderId="0" applyNumberFormat="0" applyBorder="0" applyAlignment="0" applyProtection="0"/>
    <xf numFmtId="43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  <xf numFmtId="0" fontId="20" fillId="0" borderId="0"/>
    <xf numFmtId="0" fontId="20" fillId="0" borderId="0"/>
    <xf numFmtId="0" fontId="10" fillId="0" borderId="0">
      <alignment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58" fillId="0" borderId="0"/>
    <xf numFmtId="0" fontId="10" fillId="0" borderId="0"/>
    <xf numFmtId="0" fontId="1" fillId="0" borderId="0"/>
    <xf numFmtId="0" fontId="58" fillId="0" borderId="0"/>
    <xf numFmtId="0" fontId="20" fillId="0" borderId="0"/>
    <xf numFmtId="0" fontId="20" fillId="0" borderId="0"/>
    <xf numFmtId="0" fontId="28" fillId="0" borderId="0"/>
    <xf numFmtId="0" fontId="10" fillId="0" borderId="0"/>
    <xf numFmtId="0" fontId="1" fillId="0" borderId="0"/>
    <xf numFmtId="0" fontId="28" fillId="0" borderId="0"/>
    <xf numFmtId="0" fontId="20" fillId="0" borderId="0"/>
    <xf numFmtId="0" fontId="20" fillId="0" borderId="0"/>
    <xf numFmtId="0" fontId="1" fillId="0" borderId="0"/>
    <xf numFmtId="0" fontId="10" fillId="0" borderId="0"/>
    <xf numFmtId="0" fontId="1" fillId="0" borderId="0"/>
    <xf numFmtId="0" fontId="20" fillId="0" borderId="0"/>
    <xf numFmtId="0" fontId="20" fillId="0" borderId="0"/>
    <xf numFmtId="0" fontId="10" fillId="0" borderId="0"/>
    <xf numFmtId="0" fontId="1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3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0" borderId="0">
      <alignment wrapText="1"/>
    </xf>
    <xf numFmtId="0" fontId="2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20" fillId="0" borderId="0"/>
    <xf numFmtId="0" fontId="10" fillId="0" borderId="0">
      <alignment wrapText="1"/>
    </xf>
    <xf numFmtId="0" fontId="10" fillId="0" borderId="0"/>
    <xf numFmtId="0" fontId="29" fillId="0" borderId="0">
      <alignment vertical="top"/>
    </xf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3" fillId="0" borderId="0"/>
    <xf numFmtId="0" fontId="20" fillId="0" borderId="0"/>
    <xf numFmtId="169" fontId="3" fillId="0" borderId="0"/>
    <xf numFmtId="0" fontId="29" fillId="0" borderId="0">
      <alignment vertical="top"/>
    </xf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2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11" borderId="21" applyNumberFormat="0" applyFont="0" applyAlignment="0" applyProtection="0"/>
    <xf numFmtId="0" fontId="20" fillId="11" borderId="21" applyNumberFormat="0" applyFont="0" applyAlignment="0" applyProtection="0"/>
    <xf numFmtId="0" fontId="29" fillId="11" borderId="21" applyNumberFormat="0" applyFont="0" applyAlignment="0" applyProtection="0"/>
    <xf numFmtId="0" fontId="13" fillId="11" borderId="21" applyNumberFormat="0" applyFont="0" applyAlignment="0" applyProtection="0"/>
    <xf numFmtId="0" fontId="1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170" fontId="60" fillId="0" borderId="0" applyNumberFormat="0"/>
    <xf numFmtId="0" fontId="43" fillId="29" borderId="22" applyNumberFormat="0" applyAlignment="0" applyProtection="0"/>
    <xf numFmtId="0" fontId="61" fillId="5" borderId="23" applyNumberFormat="0" applyAlignment="0" applyProtection="0"/>
    <xf numFmtId="0" fontId="61" fillId="29" borderId="23" applyNumberFormat="0" applyAlignment="0" applyProtection="0"/>
    <xf numFmtId="9" fontId="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38" fontId="62" fillId="0" borderId="0" applyNumberFormat="0" applyFont="0" applyFill="0" applyBorder="0">
      <alignment horizontal="left" indent="4"/>
      <protection locked="0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63" fillId="0" borderId="24">
      <alignment horizontal="center"/>
    </xf>
    <xf numFmtId="3" fontId="30" fillId="0" borderId="0" applyFont="0" applyFill="0" applyBorder="0" applyAlignment="0" applyProtection="0"/>
    <xf numFmtId="0" fontId="30" fillId="36" borderId="0" applyNumberFormat="0" applyFon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 applyNumberFormat="0" applyBorder="0" applyAlignment="0"/>
    <xf numFmtId="37" fontId="65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9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8" applyNumberFormat="0" applyFill="0" applyAlignment="0" applyProtection="0"/>
    <xf numFmtId="0" fontId="69" fillId="0" borderId="28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4" fontId="59" fillId="37" borderId="0" applyFont="0" applyFill="0" applyBorder="0" applyAlignment="0" applyProtection="0">
      <alignment wrapText="1"/>
    </xf>
    <xf numFmtId="0" fontId="20" fillId="0" borderId="0"/>
    <xf numFmtId="0" fontId="21" fillId="28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50" fillId="15" borderId="5" applyNumberFormat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/>
    <xf numFmtId="0" fontId="70" fillId="0" borderId="0"/>
    <xf numFmtId="0" fontId="3" fillId="0" borderId="0"/>
    <xf numFmtId="0" fontId="61" fillId="29" borderId="23" applyNumberFormat="0" applyAlignment="0" applyProtection="0"/>
    <xf numFmtId="0" fontId="68" fillId="0" borderId="0" applyNumberFormat="0" applyFill="0" applyBorder="0" applyAlignment="0" applyProtection="0"/>
    <xf numFmtId="0" fontId="20" fillId="0" borderId="0"/>
  </cellStyleXfs>
  <cellXfs count="258">
    <xf numFmtId="0" fontId="0" fillId="0" borderId="0" xfId="0"/>
    <xf numFmtId="0" fontId="4" fillId="3" borderId="0" xfId="0" applyFont="1" applyFill="1" applyBorder="1" applyAlignment="1">
      <alignment horizontal="center"/>
    </xf>
    <xf numFmtId="43" fontId="5" fillId="3" borderId="0" xfId="0" applyNumberFormat="1" applyFont="1" applyFill="1" applyBorder="1"/>
    <xf numFmtId="43" fontId="9" fillId="3" borderId="0" xfId="0" applyNumberFormat="1" applyFont="1" applyFill="1" applyBorder="1"/>
    <xf numFmtId="0" fontId="4" fillId="3" borderId="0" xfId="0" applyFont="1" applyFill="1" applyBorder="1"/>
    <xf numFmtId="0" fontId="13" fillId="0" borderId="0" xfId="2" applyFont="1" applyBorder="1"/>
    <xf numFmtId="4" fontId="14" fillId="0" borderId="0" xfId="2" applyNumberFormat="1" applyFont="1" applyFill="1" applyBorder="1" applyAlignment="1">
      <alignment horizontal="left"/>
    </xf>
    <xf numFmtId="0" fontId="13" fillId="0" borderId="0" xfId="2" applyFont="1" applyFill="1" applyBorder="1"/>
    <xf numFmtId="0" fontId="15" fillId="0" borderId="0" xfId="2" applyFont="1" applyFill="1" applyBorder="1"/>
    <xf numFmtId="1" fontId="13" fillId="0" borderId="0" xfId="2" applyNumberFormat="1" applyFont="1" applyFill="1" applyBorder="1"/>
    <xf numFmtId="4" fontId="13" fillId="0" borderId="0" xfId="2" applyNumberFormat="1" applyFont="1" applyFill="1" applyBorder="1"/>
    <xf numFmtId="4" fontId="13" fillId="0" borderId="0" xfId="2" applyNumberFormat="1" applyFont="1" applyFill="1" applyBorder="1" applyAlignment="1">
      <alignment horizontal="right"/>
    </xf>
    <xf numFmtId="14" fontId="16" fillId="0" borderId="0" xfId="2" applyNumberFormat="1" applyFont="1" applyFill="1" applyBorder="1"/>
    <xf numFmtId="3" fontId="14" fillId="0" borderId="0" xfId="2" applyNumberFormat="1" applyFont="1" applyFill="1" applyBorder="1" applyAlignment="1">
      <alignment horizontal="right"/>
    </xf>
    <xf numFmtId="4" fontId="13" fillId="0" borderId="0" xfId="2" applyNumberFormat="1" applyFont="1" applyFill="1" applyBorder="1" applyAlignment="1">
      <alignment horizontal="left"/>
    </xf>
    <xf numFmtId="0" fontId="13" fillId="0" borderId="0" xfId="2" applyFont="1" applyFill="1" applyBorder="1" applyAlignment="1">
      <alignment horizontal="center"/>
    </xf>
    <xf numFmtId="0" fontId="14" fillId="0" borderId="0" xfId="2" applyNumberFormat="1" applyFont="1" applyFill="1" applyBorder="1" applyAlignment="1">
      <alignment horizontal="right"/>
    </xf>
    <xf numFmtId="0" fontId="14" fillId="0" borderId="0" xfId="2" applyFont="1" applyFill="1" applyBorder="1" applyAlignment="1">
      <alignment horizontal="center"/>
    </xf>
    <xf numFmtId="4" fontId="13" fillId="0" borderId="0" xfId="2" applyNumberFormat="1" applyFont="1" applyFill="1" applyBorder="1" applyAlignment="1">
      <alignment horizontal="center"/>
    </xf>
    <xf numFmtId="1" fontId="13" fillId="0" borderId="0" xfId="2" applyNumberFormat="1" applyFont="1" applyFill="1" applyBorder="1" applyAlignment="1">
      <alignment horizontal="right"/>
    </xf>
    <xf numFmtId="0" fontId="14" fillId="0" borderId="0" xfId="2" applyFont="1" applyFill="1" applyBorder="1" applyAlignment="1">
      <alignment horizontal="left"/>
    </xf>
    <xf numFmtId="9" fontId="14" fillId="0" borderId="0" xfId="2" applyNumberFormat="1" applyFont="1" applyFill="1" applyBorder="1" applyAlignment="1">
      <alignment horizontal="center"/>
    </xf>
    <xf numFmtId="1" fontId="14" fillId="0" borderId="0" xfId="2" applyNumberFormat="1" applyFont="1" applyFill="1" applyBorder="1" applyAlignment="1">
      <alignment horizontal="center"/>
    </xf>
    <xf numFmtId="4" fontId="14" fillId="0" borderId="0" xfId="2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left"/>
    </xf>
    <xf numFmtId="9" fontId="17" fillId="0" borderId="0" xfId="2" applyNumberFormat="1" applyFont="1" applyFill="1" applyBorder="1" applyAlignment="1">
      <alignment horizontal="center"/>
    </xf>
    <xf numFmtId="1" fontId="17" fillId="0" borderId="0" xfId="2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fill"/>
    </xf>
    <xf numFmtId="4" fontId="17" fillId="0" borderId="0" xfId="2" applyNumberFormat="1" applyFont="1" applyFill="1" applyBorder="1" applyAlignment="1">
      <alignment horizontal="center"/>
    </xf>
    <xf numFmtId="166" fontId="14" fillId="0" borderId="0" xfId="2" applyNumberFormat="1" applyFont="1" applyFill="1" applyBorder="1" applyAlignment="1">
      <alignment horizontal="center"/>
    </xf>
    <xf numFmtId="167" fontId="14" fillId="0" borderId="0" xfId="2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left"/>
    </xf>
    <xf numFmtId="9" fontId="13" fillId="0" borderId="0" xfId="2" applyNumberFormat="1" applyFont="1" applyFill="1" applyBorder="1" applyAlignment="1" applyProtection="1">
      <alignment horizontal="center"/>
    </xf>
    <xf numFmtId="164" fontId="13" fillId="0" borderId="0" xfId="1" applyNumberFormat="1" applyFont="1" applyFill="1" applyBorder="1" applyProtection="1"/>
    <xf numFmtId="164" fontId="13" fillId="0" borderId="0" xfId="1" applyNumberFormat="1" applyFont="1" applyFill="1" applyBorder="1" applyAlignment="1">
      <alignment horizontal="right"/>
    </xf>
    <xf numFmtId="0" fontId="14" fillId="0" borderId="0" xfId="2" applyFont="1" applyBorder="1"/>
    <xf numFmtId="0" fontId="14" fillId="0" borderId="0" xfId="2" applyFont="1" applyFill="1" applyBorder="1"/>
    <xf numFmtId="0" fontId="14" fillId="0" borderId="2" xfId="2" applyFont="1" applyFill="1" applyBorder="1"/>
    <xf numFmtId="0" fontId="14" fillId="0" borderId="2" xfId="2" applyFont="1" applyFill="1" applyBorder="1" applyAlignment="1">
      <alignment horizontal="center"/>
    </xf>
    <xf numFmtId="1" fontId="14" fillId="0" borderId="2" xfId="2" applyNumberFormat="1" applyFont="1" applyFill="1" applyBorder="1"/>
    <xf numFmtId="164" fontId="14" fillId="0" borderId="2" xfId="1" applyNumberFormat="1" applyFont="1" applyFill="1" applyBorder="1"/>
    <xf numFmtId="1" fontId="14" fillId="0" borderId="0" xfId="2" applyNumberFormat="1" applyFont="1" applyFill="1" applyBorder="1"/>
    <xf numFmtId="164" fontId="14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Font="1" applyFill="1" applyBorder="1" applyAlignment="1">
      <alignment horizontal="left"/>
    </xf>
    <xf numFmtId="164" fontId="13" fillId="0" borderId="0" xfId="1" quotePrefix="1" applyNumberFormat="1" applyFont="1" applyFill="1" applyBorder="1" applyProtection="1"/>
    <xf numFmtId="0" fontId="14" fillId="0" borderId="2" xfId="2" applyFont="1" applyFill="1" applyBorder="1" applyAlignment="1">
      <alignment horizontal="left"/>
    </xf>
    <xf numFmtId="0" fontId="13" fillId="0" borderId="2" xfId="2" applyFont="1" applyFill="1" applyBorder="1" applyAlignment="1">
      <alignment horizontal="center"/>
    </xf>
    <xf numFmtId="0" fontId="13" fillId="0" borderId="2" xfId="2" applyFont="1" applyFill="1" applyBorder="1"/>
    <xf numFmtId="9" fontId="13" fillId="0" borderId="2" xfId="2" applyNumberFormat="1" applyFont="1" applyFill="1" applyBorder="1" applyAlignment="1" applyProtection="1">
      <alignment horizontal="center"/>
    </xf>
    <xf numFmtId="1" fontId="13" fillId="0" borderId="2" xfId="2" applyNumberFormat="1" applyFont="1" applyFill="1" applyBorder="1" applyAlignment="1">
      <alignment horizontal="right"/>
    </xf>
    <xf numFmtId="0" fontId="14" fillId="0" borderId="4" xfId="2" applyFont="1" applyFill="1" applyBorder="1"/>
    <xf numFmtId="0" fontId="14" fillId="0" borderId="4" xfId="2" applyFont="1" applyFill="1" applyBorder="1" applyAlignment="1">
      <alignment horizontal="center"/>
    </xf>
    <xf numFmtId="1" fontId="14" fillId="0" borderId="4" xfId="2" applyNumberFormat="1" applyFont="1" applyFill="1" applyBorder="1"/>
    <xf numFmtId="164" fontId="14" fillId="0" borderId="4" xfId="1" applyNumberFormat="1" applyFont="1" applyFill="1" applyBorder="1"/>
    <xf numFmtId="9" fontId="13" fillId="0" borderId="0" xfId="2" applyNumberFormat="1" applyFont="1" applyFill="1" applyBorder="1" applyProtection="1"/>
    <xf numFmtId="37" fontId="13" fillId="0" borderId="0" xfId="2" applyNumberFormat="1" applyFont="1" applyFill="1" applyBorder="1" applyProtection="1"/>
    <xf numFmtId="0" fontId="18" fillId="0" borderId="0" xfId="2" applyFont="1" applyFill="1" applyBorder="1"/>
    <xf numFmtId="0" fontId="18" fillId="0" borderId="0" xfId="2" applyFont="1" applyFill="1" applyBorder="1" applyAlignment="1">
      <alignment horizontal="left"/>
    </xf>
    <xf numFmtId="3" fontId="18" fillId="0" borderId="0" xfId="2" applyNumberFormat="1" applyFont="1" applyFill="1" applyBorder="1" applyAlignment="1">
      <alignment horizontal="left"/>
    </xf>
    <xf numFmtId="3" fontId="18" fillId="0" borderId="0" xfId="2" applyNumberFormat="1" applyFont="1" applyFill="1" applyBorder="1" applyAlignment="1">
      <alignment horizontal="center"/>
    </xf>
    <xf numFmtId="0" fontId="18" fillId="0" borderId="2" xfId="2" applyFont="1" applyFill="1" applyBorder="1" applyAlignment="1">
      <alignment horizontal="center"/>
    </xf>
    <xf numFmtId="0" fontId="18" fillId="0" borderId="2" xfId="2" applyFont="1" applyFill="1" applyBorder="1"/>
    <xf numFmtId="1" fontId="13" fillId="0" borderId="2" xfId="2" applyNumberFormat="1" applyFont="1" applyFill="1" applyBorder="1"/>
    <xf numFmtId="37" fontId="14" fillId="0" borderId="2" xfId="2" applyNumberFormat="1" applyFont="1" applyFill="1" applyBorder="1" applyProtection="1"/>
    <xf numFmtId="164" fontId="14" fillId="0" borderId="2" xfId="1" applyNumberFormat="1" applyFont="1" applyFill="1" applyBorder="1" applyProtection="1"/>
    <xf numFmtId="164" fontId="13" fillId="0" borderId="2" xfId="1" applyNumberFormat="1" applyFont="1" applyFill="1" applyBorder="1"/>
    <xf numFmtId="0" fontId="18" fillId="0" borderId="0" xfId="2" applyFont="1" applyFill="1" applyBorder="1" applyAlignment="1">
      <alignment horizontal="center"/>
    </xf>
    <xf numFmtId="37" fontId="14" fillId="0" borderId="0" xfId="2" applyNumberFormat="1" applyFont="1" applyFill="1" applyBorder="1" applyProtection="1"/>
    <xf numFmtId="164" fontId="14" fillId="0" borderId="0" xfId="1" applyNumberFormat="1" applyFont="1" applyFill="1" applyBorder="1" applyProtection="1"/>
    <xf numFmtId="1" fontId="13" fillId="0" borderId="0" xfId="2" applyNumberFormat="1" applyFont="1" applyFill="1" applyBorder="1" applyAlignment="1">
      <alignment horizontal="center"/>
    </xf>
    <xf numFmtId="3" fontId="13" fillId="0" borderId="0" xfId="2" applyNumberFormat="1" applyFont="1" applyFill="1" applyBorder="1"/>
    <xf numFmtId="1" fontId="18" fillId="0" borderId="0" xfId="2" applyNumberFormat="1" applyFont="1" applyFill="1" applyBorder="1"/>
    <xf numFmtId="9" fontId="13" fillId="0" borderId="2" xfId="2" applyNumberFormat="1" applyFont="1" applyFill="1" applyBorder="1" applyProtection="1"/>
    <xf numFmtId="37" fontId="13" fillId="0" borderId="2" xfId="2" applyNumberFormat="1" applyFont="1" applyFill="1" applyBorder="1" applyProtection="1"/>
    <xf numFmtId="164" fontId="13" fillId="0" borderId="2" xfId="1" applyNumberFormat="1" applyFont="1" applyFill="1" applyBorder="1" applyAlignment="1">
      <alignment horizontal="right"/>
    </xf>
    <xf numFmtId="37" fontId="13" fillId="0" borderId="0" xfId="2" applyNumberFormat="1" applyFont="1" applyFill="1" applyBorder="1" applyAlignment="1" applyProtection="1">
      <alignment horizontal="fill"/>
    </xf>
    <xf numFmtId="164" fontId="13" fillId="0" borderId="0" xfId="1" applyNumberFormat="1" applyFont="1" applyFill="1" applyBorder="1" applyAlignment="1" applyProtection="1">
      <alignment horizontal="fill"/>
    </xf>
    <xf numFmtId="0" fontId="13" fillId="4" borderId="0" xfId="2" applyFont="1" applyFill="1" applyBorder="1" applyAlignment="1">
      <alignment horizontal="center"/>
    </xf>
    <xf numFmtId="3" fontId="14" fillId="0" borderId="2" xfId="2" applyNumberFormat="1" applyFont="1" applyFill="1" applyBorder="1"/>
    <xf numFmtId="3" fontId="14" fillId="0" borderId="0" xfId="2" applyNumberFormat="1" applyFont="1" applyFill="1" applyBorder="1"/>
    <xf numFmtId="37" fontId="13" fillId="0" borderId="0" xfId="2" applyNumberFormat="1" applyFont="1" applyFill="1" applyBorder="1"/>
    <xf numFmtId="37" fontId="14" fillId="0" borderId="2" xfId="2" applyNumberFormat="1" applyFont="1" applyFill="1" applyBorder="1"/>
    <xf numFmtId="0" fontId="14" fillId="0" borderId="3" xfId="2" applyFont="1" applyBorder="1" applyAlignment="1">
      <alignment horizontal="right"/>
    </xf>
    <xf numFmtId="0" fontId="13" fillId="0" borderId="3" xfId="2" applyFont="1" applyBorder="1" applyAlignment="1">
      <alignment horizontal="center"/>
    </xf>
    <xf numFmtId="0" fontId="13" fillId="0" borderId="3" xfId="2" applyFont="1" applyBorder="1"/>
    <xf numFmtId="1" fontId="13" fillId="0" borderId="3" xfId="2" applyNumberFormat="1" applyFont="1" applyBorder="1"/>
    <xf numFmtId="37" fontId="13" fillId="0" borderId="3" xfId="2" applyNumberFormat="1" applyFont="1" applyBorder="1"/>
    <xf numFmtId="37" fontId="14" fillId="0" borderId="3" xfId="2" applyNumberFormat="1" applyFont="1" applyBorder="1"/>
    <xf numFmtId="0" fontId="13" fillId="0" borderId="0" xfId="2" applyFont="1" applyBorder="1" applyAlignment="1">
      <alignment horizontal="center"/>
    </xf>
    <xf numFmtId="1" fontId="13" fillId="0" borderId="0" xfId="2" applyNumberFormat="1" applyFont="1" applyBorder="1"/>
    <xf numFmtId="37" fontId="13" fillId="0" borderId="0" xfId="2" applyNumberFormat="1" applyFont="1" applyBorder="1"/>
    <xf numFmtId="4" fontId="13" fillId="0" borderId="0" xfId="2" applyNumberFormat="1" applyFont="1" applyBorder="1"/>
    <xf numFmtId="1" fontId="14" fillId="0" borderId="0" xfId="2" applyNumberFormat="1" applyFont="1" applyBorder="1"/>
    <xf numFmtId="3" fontId="13" fillId="0" borderId="0" xfId="2" applyNumberFormat="1" applyFont="1" applyBorder="1"/>
    <xf numFmtId="3" fontId="14" fillId="0" borderId="0" xfId="2" applyNumberFormat="1" applyFont="1" applyBorder="1"/>
    <xf numFmtId="0" fontId="13" fillId="38" borderId="0" xfId="2" applyFont="1" applyFill="1" applyBorder="1"/>
    <xf numFmtId="0" fontId="13" fillId="38" borderId="0" xfId="2" applyFont="1" applyFill="1" applyBorder="1" applyAlignment="1">
      <alignment horizontal="left"/>
    </xf>
    <xf numFmtId="0" fontId="13" fillId="38" borderId="0" xfId="2" applyFont="1" applyFill="1" applyBorder="1" applyAlignment="1">
      <alignment horizontal="center"/>
    </xf>
    <xf numFmtId="9" fontId="13" fillId="38" borderId="0" xfId="2" applyNumberFormat="1" applyFont="1" applyFill="1" applyBorder="1" applyProtection="1"/>
    <xf numFmtId="1" fontId="13" fillId="38" borderId="0" xfId="2" applyNumberFormat="1" applyFont="1" applyFill="1" applyBorder="1"/>
    <xf numFmtId="37" fontId="13" fillId="38" borderId="0" xfId="2" applyNumberFormat="1" applyFont="1" applyFill="1" applyBorder="1" applyProtection="1"/>
    <xf numFmtId="164" fontId="13" fillId="38" borderId="0" xfId="1" applyNumberFormat="1" applyFont="1" applyFill="1" applyBorder="1" applyProtection="1"/>
    <xf numFmtId="164" fontId="13" fillId="38" borderId="0" xfId="1" applyNumberFormat="1" applyFont="1" applyFill="1" applyBorder="1"/>
    <xf numFmtId="164" fontId="13" fillId="38" borderId="0" xfId="1" applyNumberFormat="1" applyFont="1" applyFill="1" applyBorder="1" applyAlignment="1">
      <alignment horizontal="right"/>
    </xf>
    <xf numFmtId="4" fontId="13" fillId="38" borderId="0" xfId="2" applyNumberFormat="1" applyFont="1" applyFill="1" applyBorder="1" applyAlignment="1">
      <alignment horizontal="right"/>
    </xf>
    <xf numFmtId="3" fontId="13" fillId="38" borderId="0" xfId="2" applyNumberFormat="1" applyFont="1" applyFill="1" applyBorder="1"/>
    <xf numFmtId="9" fontId="13" fillId="38" borderId="0" xfId="2" applyNumberFormat="1" applyFont="1" applyFill="1" applyBorder="1" applyAlignment="1" applyProtection="1">
      <alignment horizontal="center"/>
    </xf>
    <xf numFmtId="1" fontId="13" fillId="38" borderId="0" xfId="2" applyNumberFormat="1" applyFont="1" applyFill="1" applyBorder="1" applyAlignment="1">
      <alignment horizontal="right"/>
    </xf>
    <xf numFmtId="0" fontId="13" fillId="39" borderId="0" xfId="2" applyFont="1" applyFill="1" applyBorder="1"/>
    <xf numFmtId="4" fontId="14" fillId="39" borderId="0" xfId="2" applyNumberFormat="1" applyFont="1" applyFill="1" applyBorder="1" applyAlignment="1">
      <alignment horizontal="left"/>
    </xf>
    <xf numFmtId="0" fontId="15" fillId="39" borderId="0" xfId="2" applyFont="1" applyFill="1" applyBorder="1"/>
    <xf numFmtId="1" fontId="13" fillId="39" borderId="0" xfId="2" applyNumberFormat="1" applyFont="1" applyFill="1" applyBorder="1"/>
    <xf numFmtId="4" fontId="13" fillId="39" borderId="0" xfId="2" applyNumberFormat="1" applyFont="1" applyFill="1" applyBorder="1"/>
    <xf numFmtId="4" fontId="13" fillId="39" borderId="0" xfId="2" applyNumberFormat="1" applyFont="1" applyFill="1" applyBorder="1" applyAlignment="1">
      <alignment horizontal="right"/>
    </xf>
    <xf numFmtId="14" fontId="16" fillId="39" borderId="0" xfId="2" applyNumberFormat="1" applyFont="1" applyFill="1" applyBorder="1"/>
    <xf numFmtId="3" fontId="14" fillId="39" borderId="0" xfId="2" applyNumberFormat="1" applyFont="1" applyFill="1" applyBorder="1" applyAlignment="1">
      <alignment horizontal="right"/>
    </xf>
    <xf numFmtId="4" fontId="13" fillId="39" borderId="0" xfId="2" applyNumberFormat="1" applyFont="1" applyFill="1" applyBorder="1" applyAlignment="1">
      <alignment horizontal="left"/>
    </xf>
    <xf numFmtId="0" fontId="13" fillId="39" borderId="0" xfId="2" applyFont="1" applyFill="1" applyBorder="1" applyAlignment="1">
      <alignment horizontal="center"/>
    </xf>
    <xf numFmtId="0" fontId="14" fillId="39" borderId="0" xfId="2" applyNumberFormat="1" applyFont="1" applyFill="1" applyBorder="1" applyAlignment="1">
      <alignment horizontal="right"/>
    </xf>
    <xf numFmtId="0" fontId="14" fillId="39" borderId="0" xfId="2" applyFont="1" applyFill="1" applyBorder="1" applyAlignment="1">
      <alignment horizontal="center"/>
    </xf>
    <xf numFmtId="4" fontId="13" fillId="39" borderId="0" xfId="2" applyNumberFormat="1" applyFont="1" applyFill="1" applyBorder="1" applyAlignment="1">
      <alignment horizontal="center"/>
    </xf>
    <xf numFmtId="1" fontId="13" fillId="39" borderId="0" xfId="2" applyNumberFormat="1" applyFont="1" applyFill="1" applyBorder="1" applyAlignment="1">
      <alignment horizontal="right"/>
    </xf>
    <xf numFmtId="0" fontId="14" fillId="39" borderId="0" xfId="2" applyFont="1" applyFill="1" applyBorder="1" applyAlignment="1">
      <alignment horizontal="left"/>
    </xf>
    <xf numFmtId="9" fontId="14" fillId="39" borderId="0" xfId="2" applyNumberFormat="1" applyFont="1" applyFill="1" applyBorder="1" applyAlignment="1">
      <alignment horizontal="center"/>
    </xf>
    <xf numFmtId="1" fontId="14" fillId="39" borderId="0" xfId="2" applyNumberFormat="1" applyFont="1" applyFill="1" applyBorder="1" applyAlignment="1">
      <alignment horizontal="center"/>
    </xf>
    <xf numFmtId="4" fontId="14" fillId="39" borderId="0" xfId="2" applyNumberFormat="1" applyFont="1" applyFill="1" applyBorder="1" applyAlignment="1">
      <alignment horizontal="center"/>
    </xf>
    <xf numFmtId="0" fontId="17" fillId="39" borderId="0" xfId="2" applyFont="1" applyFill="1" applyBorder="1" applyAlignment="1">
      <alignment horizontal="center"/>
    </xf>
    <xf numFmtId="0" fontId="17" fillId="39" borderId="0" xfId="2" applyFont="1" applyFill="1" applyBorder="1" applyAlignment="1">
      <alignment horizontal="left"/>
    </xf>
    <xf numFmtId="9" fontId="17" fillId="39" borderId="0" xfId="2" applyNumberFormat="1" applyFont="1" applyFill="1" applyBorder="1" applyAlignment="1">
      <alignment horizontal="center"/>
    </xf>
    <xf numFmtId="1" fontId="17" fillId="39" borderId="0" xfId="2" applyNumberFormat="1" applyFont="1" applyFill="1" applyBorder="1" applyAlignment="1">
      <alignment horizontal="center"/>
    </xf>
    <xf numFmtId="0" fontId="13" fillId="39" borderId="0" xfId="2" applyFont="1" applyFill="1" applyBorder="1" applyAlignment="1">
      <alignment horizontal="fill"/>
    </xf>
    <xf numFmtId="4" fontId="17" fillId="39" borderId="0" xfId="2" applyNumberFormat="1" applyFont="1" applyFill="1" applyBorder="1" applyAlignment="1">
      <alignment horizontal="center"/>
    </xf>
    <xf numFmtId="166" fontId="14" fillId="39" borderId="0" xfId="2" applyNumberFormat="1" applyFont="1" applyFill="1" applyBorder="1" applyAlignment="1">
      <alignment horizontal="center"/>
    </xf>
    <xf numFmtId="167" fontId="14" fillId="39" borderId="0" xfId="2" applyNumberFormat="1" applyFont="1" applyFill="1" applyBorder="1" applyAlignment="1">
      <alignment horizontal="center"/>
    </xf>
    <xf numFmtId="0" fontId="13" fillId="39" borderId="0" xfId="2" applyFont="1" applyFill="1" applyBorder="1" applyAlignment="1">
      <alignment horizontal="left"/>
    </xf>
    <xf numFmtId="9" fontId="13" fillId="39" borderId="0" xfId="2" applyNumberFormat="1" applyFont="1" applyFill="1" applyBorder="1" applyAlignment="1" applyProtection="1">
      <alignment horizontal="center"/>
    </xf>
    <xf numFmtId="164" fontId="13" fillId="39" borderId="0" xfId="1" applyNumberFormat="1" applyFont="1" applyFill="1" applyBorder="1" applyProtection="1"/>
    <xf numFmtId="164" fontId="13" fillId="39" borderId="0" xfId="1" applyNumberFormat="1" applyFont="1" applyFill="1" applyBorder="1" applyAlignment="1">
      <alignment horizontal="right"/>
    </xf>
    <xf numFmtId="0" fontId="14" fillId="39" borderId="0" xfId="2" applyFont="1" applyFill="1" applyBorder="1"/>
    <xf numFmtId="0" fontId="14" fillId="39" borderId="2" xfId="2" applyFont="1" applyFill="1" applyBorder="1"/>
    <xf numFmtId="0" fontId="14" fillId="39" borderId="2" xfId="2" applyFont="1" applyFill="1" applyBorder="1" applyAlignment="1">
      <alignment horizontal="center"/>
    </xf>
    <xf numFmtId="1" fontId="14" fillId="39" borderId="2" xfId="2" applyNumberFormat="1" applyFont="1" applyFill="1" applyBorder="1"/>
    <xf numFmtId="164" fontId="14" fillId="39" borderId="2" xfId="1" applyNumberFormat="1" applyFont="1" applyFill="1" applyBorder="1"/>
    <xf numFmtId="1" fontId="14" fillId="39" borderId="0" xfId="2" applyNumberFormat="1" applyFont="1" applyFill="1" applyBorder="1"/>
    <xf numFmtId="164" fontId="14" fillId="39" borderId="0" xfId="1" applyNumberFormat="1" applyFont="1" applyFill="1" applyBorder="1"/>
    <xf numFmtId="164" fontId="13" fillId="39" borderId="0" xfId="1" applyNumberFormat="1" applyFont="1" applyFill="1" applyBorder="1"/>
    <xf numFmtId="0" fontId="13" fillId="39" borderId="0" xfId="2" quotePrefix="1" applyFont="1" applyFill="1" applyBorder="1" applyAlignment="1">
      <alignment horizontal="left"/>
    </xf>
    <xf numFmtId="164" fontId="13" fillId="39" borderId="0" xfId="1" quotePrefix="1" applyNumberFormat="1" applyFont="1" applyFill="1" applyBorder="1" applyProtection="1"/>
    <xf numFmtId="0" fontId="14" fillId="39" borderId="2" xfId="2" applyFont="1" applyFill="1" applyBorder="1" applyAlignment="1">
      <alignment horizontal="left"/>
    </xf>
    <xf numFmtId="0" fontId="13" fillId="39" borderId="2" xfId="2" applyFont="1" applyFill="1" applyBorder="1" applyAlignment="1">
      <alignment horizontal="center"/>
    </xf>
    <xf numFmtId="0" fontId="13" fillId="39" borderId="2" xfId="2" applyFont="1" applyFill="1" applyBorder="1"/>
    <xf numFmtId="9" fontId="13" fillId="39" borderId="2" xfId="2" applyNumberFormat="1" applyFont="1" applyFill="1" applyBorder="1" applyAlignment="1" applyProtection="1">
      <alignment horizontal="center"/>
    </xf>
    <xf numFmtId="1" fontId="13" fillId="39" borderId="2" xfId="2" applyNumberFormat="1" applyFont="1" applyFill="1" applyBorder="1" applyAlignment="1">
      <alignment horizontal="right"/>
    </xf>
    <xf numFmtId="0" fontId="14" fillId="39" borderId="4" xfId="2" applyFont="1" applyFill="1" applyBorder="1"/>
    <xf numFmtId="0" fontId="14" fillId="39" borderId="4" xfId="2" applyFont="1" applyFill="1" applyBorder="1" applyAlignment="1">
      <alignment horizontal="center"/>
    </xf>
    <xf numFmtId="1" fontId="14" fillId="39" borderId="4" xfId="2" applyNumberFormat="1" applyFont="1" applyFill="1" applyBorder="1"/>
    <xf numFmtId="164" fontId="14" fillId="39" borderId="4" xfId="1" applyNumberFormat="1" applyFont="1" applyFill="1" applyBorder="1"/>
    <xf numFmtId="9" fontId="13" fillId="39" borderId="0" xfId="2" applyNumberFormat="1" applyFont="1" applyFill="1" applyBorder="1" applyProtection="1"/>
    <xf numFmtId="37" fontId="13" fillId="39" borderId="0" xfId="2" applyNumberFormat="1" applyFont="1" applyFill="1" applyBorder="1" applyProtection="1"/>
    <xf numFmtId="0" fontId="18" fillId="39" borderId="0" xfId="2" applyFont="1" applyFill="1" applyBorder="1"/>
    <xf numFmtId="0" fontId="18" fillId="39" borderId="0" xfId="2" applyFont="1" applyFill="1" applyBorder="1" applyAlignment="1">
      <alignment horizontal="left"/>
    </xf>
    <xf numFmtId="3" fontId="18" fillId="39" borderId="0" xfId="2" applyNumberFormat="1" applyFont="1" applyFill="1" applyBorder="1" applyAlignment="1">
      <alignment horizontal="left"/>
    </xf>
    <xf numFmtId="3" fontId="18" fillId="39" borderId="0" xfId="2" applyNumberFormat="1" applyFont="1" applyFill="1" applyBorder="1" applyAlignment="1">
      <alignment horizontal="center"/>
    </xf>
    <xf numFmtId="0" fontId="18" fillId="39" borderId="2" xfId="2" applyFont="1" applyFill="1" applyBorder="1" applyAlignment="1">
      <alignment horizontal="center"/>
    </xf>
    <xf numFmtId="0" fontId="18" fillId="39" borderId="2" xfId="2" applyFont="1" applyFill="1" applyBorder="1"/>
    <xf numFmtId="1" fontId="13" fillId="39" borderId="2" xfId="2" applyNumberFormat="1" applyFont="1" applyFill="1" applyBorder="1"/>
    <xf numFmtId="37" fontId="14" fillId="39" borderId="2" xfId="2" applyNumberFormat="1" applyFont="1" applyFill="1" applyBorder="1" applyProtection="1"/>
    <xf numFmtId="164" fontId="14" fillId="39" borderId="2" xfId="1" applyNumberFormat="1" applyFont="1" applyFill="1" applyBorder="1" applyProtection="1"/>
    <xf numFmtId="164" fontId="13" fillId="39" borderId="2" xfId="1" applyNumberFormat="1" applyFont="1" applyFill="1" applyBorder="1"/>
    <xf numFmtId="0" fontId="18" fillId="39" borderId="0" xfId="2" applyFont="1" applyFill="1" applyBorder="1" applyAlignment="1">
      <alignment horizontal="center"/>
    </xf>
    <xf numFmtId="37" fontId="14" fillId="39" borderId="0" xfId="2" applyNumberFormat="1" applyFont="1" applyFill="1" applyBorder="1" applyProtection="1"/>
    <xf numFmtId="164" fontId="14" fillId="39" borderId="0" xfId="1" applyNumberFormat="1" applyFont="1" applyFill="1" applyBorder="1" applyProtection="1"/>
    <xf numFmtId="1" fontId="13" fillId="39" borderId="0" xfId="2" applyNumberFormat="1" applyFont="1" applyFill="1" applyBorder="1" applyAlignment="1">
      <alignment horizontal="center"/>
    </xf>
    <xf numFmtId="3" fontId="13" fillId="39" borderId="0" xfId="2" applyNumberFormat="1" applyFont="1" applyFill="1" applyBorder="1"/>
    <xf numFmtId="1" fontId="18" fillId="39" borderId="0" xfId="2" applyNumberFormat="1" applyFont="1" applyFill="1" applyBorder="1"/>
    <xf numFmtId="9" fontId="13" fillId="39" borderId="2" xfId="2" applyNumberFormat="1" applyFont="1" applyFill="1" applyBorder="1" applyProtection="1"/>
    <xf numFmtId="37" fontId="13" fillId="39" borderId="2" xfId="2" applyNumberFormat="1" applyFont="1" applyFill="1" applyBorder="1" applyProtection="1"/>
    <xf numFmtId="37" fontId="13" fillId="39" borderId="0" xfId="2" applyNumberFormat="1" applyFont="1" applyFill="1" applyBorder="1" applyAlignment="1" applyProtection="1">
      <alignment horizontal="fill"/>
    </xf>
    <xf numFmtId="164" fontId="13" fillId="39" borderId="0" xfId="1" applyNumberFormat="1" applyFont="1" applyFill="1" applyBorder="1" applyAlignment="1" applyProtection="1">
      <alignment horizontal="fill"/>
    </xf>
    <xf numFmtId="3" fontId="14" fillId="39" borderId="2" xfId="2" applyNumberFormat="1" applyFont="1" applyFill="1" applyBorder="1"/>
    <xf numFmtId="3" fontId="14" fillId="39" borderId="0" xfId="2" applyNumberFormat="1" applyFont="1" applyFill="1" applyBorder="1"/>
    <xf numFmtId="37" fontId="13" fillId="39" borderId="0" xfId="2" applyNumberFormat="1" applyFont="1" applyFill="1" applyBorder="1"/>
    <xf numFmtId="37" fontId="14" fillId="39" borderId="2" xfId="2" applyNumberFormat="1" applyFont="1" applyFill="1" applyBorder="1"/>
    <xf numFmtId="0" fontId="14" fillId="39" borderId="3" xfId="2" applyFont="1" applyFill="1" applyBorder="1" applyAlignment="1">
      <alignment horizontal="right"/>
    </xf>
    <xf numFmtId="0" fontId="13" fillId="39" borderId="3" xfId="2" applyFont="1" applyFill="1" applyBorder="1" applyAlignment="1">
      <alignment horizontal="center"/>
    </xf>
    <xf numFmtId="0" fontId="13" fillId="39" borderId="3" xfId="2" applyFont="1" applyFill="1" applyBorder="1"/>
    <xf numFmtId="1" fontId="13" fillId="39" borderId="3" xfId="2" applyNumberFormat="1" applyFont="1" applyFill="1" applyBorder="1"/>
    <xf numFmtId="37" fontId="13" fillId="39" borderId="3" xfId="2" applyNumberFormat="1" applyFont="1" applyFill="1" applyBorder="1"/>
    <xf numFmtId="37" fontId="14" fillId="39" borderId="3" xfId="2" applyNumberFormat="1" applyFont="1" applyFill="1" applyBorder="1"/>
    <xf numFmtId="0" fontId="19" fillId="39" borderId="0" xfId="2" applyFont="1" applyFill="1" applyBorder="1" applyAlignment="1">
      <alignment horizontal="center"/>
    </xf>
    <xf numFmtId="0" fontId="15" fillId="39" borderId="0" xfId="2" applyFont="1" applyFill="1" applyBorder="1" applyAlignment="1">
      <alignment horizontal="center"/>
    </xf>
    <xf numFmtId="4" fontId="15" fillId="39" borderId="0" xfId="2" applyNumberFormat="1" applyFont="1" applyFill="1" applyBorder="1" applyAlignment="1">
      <alignment horizontal="right"/>
    </xf>
    <xf numFmtId="164" fontId="15" fillId="39" borderId="0" xfId="1" applyNumberFormat="1" applyFont="1" applyFill="1" applyBorder="1" applyAlignment="1">
      <alignment horizontal="right"/>
    </xf>
    <xf numFmtId="0" fontId="17" fillId="39" borderId="0" xfId="2" applyFont="1" applyFill="1" applyBorder="1"/>
    <xf numFmtId="0" fontId="15" fillId="40" borderId="0" xfId="2" applyFont="1" applyFill="1" applyBorder="1"/>
    <xf numFmtId="0" fontId="15" fillId="40" borderId="0" xfId="2" applyFont="1" applyFill="1" applyBorder="1" applyAlignment="1">
      <alignment horizontal="left"/>
    </xf>
    <xf numFmtId="0" fontId="15" fillId="40" borderId="0" xfId="2" applyFont="1" applyFill="1" applyBorder="1" applyAlignment="1">
      <alignment horizontal="center"/>
    </xf>
    <xf numFmtId="9" fontId="15" fillId="40" borderId="0" xfId="2" applyNumberFormat="1" applyFont="1" applyFill="1" applyBorder="1" applyAlignment="1" applyProtection="1">
      <alignment horizontal="center"/>
    </xf>
    <xf numFmtId="1" fontId="15" fillId="40" borderId="0" xfId="2" applyNumberFormat="1" applyFont="1" applyFill="1" applyBorder="1" applyAlignment="1">
      <alignment horizontal="right"/>
    </xf>
    <xf numFmtId="164" fontId="15" fillId="40" borderId="0" xfId="1" applyNumberFormat="1" applyFont="1" applyFill="1" applyBorder="1" applyProtection="1"/>
    <xf numFmtId="164" fontId="15" fillId="40" borderId="0" xfId="1" applyNumberFormat="1" applyFont="1" applyFill="1" applyBorder="1" applyAlignment="1">
      <alignment horizontal="right"/>
    </xf>
    <xf numFmtId="0" fontId="5" fillId="39" borderId="0" xfId="2" applyFont="1" applyFill="1" applyBorder="1"/>
    <xf numFmtId="0" fontId="4" fillId="39" borderId="0" xfId="2" applyFont="1" applyFill="1" applyBorder="1" applyAlignment="1">
      <alignment horizontal="center"/>
    </xf>
    <xf numFmtId="3" fontId="5" fillId="39" borderId="0" xfId="2" applyNumberFormat="1" applyFont="1" applyFill="1" applyBorder="1"/>
    <xf numFmtId="14" fontId="4" fillId="39" borderId="0" xfId="2" quotePrefix="1" applyNumberFormat="1" applyFont="1" applyFill="1" applyBorder="1" applyAlignment="1">
      <alignment horizontal="center"/>
    </xf>
    <xf numFmtId="0" fontId="4" fillId="39" borderId="0" xfId="2" quotePrefix="1" applyFont="1" applyFill="1" applyBorder="1" applyAlignment="1">
      <alignment horizontal="center"/>
    </xf>
    <xf numFmtId="0" fontId="5" fillId="39" borderId="0" xfId="2" applyFont="1" applyFill="1" applyBorder="1" applyAlignment="1">
      <alignment horizontal="center"/>
    </xf>
    <xf numFmtId="0" fontId="4" fillId="39" borderId="1" xfId="2" applyFont="1" applyFill="1" applyBorder="1" applyAlignment="1">
      <alignment horizontal="center"/>
    </xf>
    <xf numFmtId="164" fontId="5" fillId="39" borderId="0" xfId="1" applyNumberFormat="1" applyFont="1" applyFill="1" applyBorder="1"/>
    <xf numFmtId="43" fontId="5" fillId="39" borderId="0" xfId="1" applyFont="1" applyFill="1" applyBorder="1" applyAlignment="1">
      <alignment horizontal="center"/>
    </xf>
    <xf numFmtId="43" fontId="5" fillId="39" borderId="0" xfId="2" applyNumberFormat="1" applyFont="1" applyFill="1" applyBorder="1"/>
    <xf numFmtId="43" fontId="5" fillId="39" borderId="0" xfId="1" applyFont="1" applyFill="1" applyBorder="1"/>
    <xf numFmtId="164" fontId="4" fillId="39" borderId="2" xfId="1" applyNumberFormat="1" applyFont="1" applyFill="1" applyBorder="1"/>
    <xf numFmtId="3" fontId="4" fillId="39" borderId="0" xfId="2" applyNumberFormat="1" applyFont="1" applyFill="1" applyBorder="1"/>
    <xf numFmtId="3" fontId="5" fillId="39" borderId="0" xfId="2" applyNumberFormat="1" applyFont="1" applyFill="1" applyBorder="1" applyAlignment="1">
      <alignment horizontal="center"/>
    </xf>
    <xf numFmtId="3" fontId="7" fillId="39" borderId="0" xfId="2" applyNumberFormat="1" applyFont="1" applyFill="1" applyBorder="1" applyAlignment="1">
      <alignment horizontal="left"/>
    </xf>
    <xf numFmtId="3" fontId="8" fillId="39" borderId="0" xfId="2" applyNumberFormat="1" applyFont="1" applyFill="1" applyBorder="1"/>
    <xf numFmtId="0" fontId="4" fillId="39" borderId="0" xfId="2" applyFont="1" applyFill="1" applyBorder="1"/>
    <xf numFmtId="164" fontId="4" fillId="39" borderId="3" xfId="1" applyNumberFormat="1" applyFont="1" applyFill="1" applyBorder="1"/>
    <xf numFmtId="164" fontId="4" fillId="39" borderId="0" xfId="1" applyNumberFormat="1" applyFont="1" applyFill="1" applyBorder="1"/>
    <xf numFmtId="0" fontId="4" fillId="39" borderId="0" xfId="2" applyFont="1" applyFill="1" applyBorder="1" applyAlignment="1">
      <alignment horizontal="left"/>
    </xf>
    <xf numFmtId="0" fontId="4" fillId="39" borderId="2" xfId="2" applyFont="1" applyFill="1" applyBorder="1"/>
    <xf numFmtId="0" fontId="4" fillId="39" borderId="3" xfId="2" applyFont="1" applyFill="1" applyBorder="1"/>
    <xf numFmtId="9" fontId="15" fillId="40" borderId="0" xfId="2" applyNumberFormat="1" applyFont="1" applyFill="1" applyBorder="1" applyProtection="1"/>
    <xf numFmtId="1" fontId="15" fillId="40" borderId="0" xfId="2" applyNumberFormat="1" applyFont="1" applyFill="1" applyBorder="1"/>
    <xf numFmtId="37" fontId="15" fillId="40" borderId="0" xfId="2" applyNumberFormat="1" applyFont="1" applyFill="1" applyBorder="1" applyProtection="1"/>
    <xf numFmtId="164" fontId="15" fillId="40" borderId="0" xfId="1" applyNumberFormat="1" applyFont="1" applyFill="1" applyBorder="1"/>
    <xf numFmtId="4" fontId="15" fillId="40" borderId="0" xfId="2" applyNumberFormat="1" applyFont="1" applyFill="1" applyBorder="1" applyAlignment="1">
      <alignment horizontal="right"/>
    </xf>
    <xf numFmtId="0" fontId="14" fillId="39" borderId="0" xfId="2" applyFont="1" applyFill="1" applyBorder="1" applyAlignment="1">
      <alignment horizontal="center"/>
    </xf>
    <xf numFmtId="0" fontId="13" fillId="41" borderId="0" xfId="2" applyFont="1" applyFill="1" applyBorder="1"/>
    <xf numFmtId="9" fontId="15" fillId="39" borderId="0" xfId="2" applyNumberFormat="1" applyFont="1" applyFill="1" applyBorder="1" applyProtection="1"/>
    <xf numFmtId="1" fontId="15" fillId="39" borderId="0" xfId="2" applyNumberFormat="1" applyFont="1" applyFill="1" applyBorder="1"/>
    <xf numFmtId="3" fontId="15" fillId="39" borderId="0" xfId="2" applyNumberFormat="1" applyFont="1" applyFill="1" applyBorder="1"/>
    <xf numFmtId="164" fontId="15" fillId="39" borderId="0" xfId="1" applyNumberFormat="1" applyFont="1" applyFill="1" applyBorder="1"/>
    <xf numFmtId="43" fontId="13" fillId="39" borderId="0" xfId="2" applyNumberFormat="1" applyFont="1" applyFill="1" applyBorder="1"/>
    <xf numFmtId="0" fontId="73" fillId="39" borderId="0" xfId="2" applyFont="1" applyFill="1" applyBorder="1"/>
    <xf numFmtId="0" fontId="73" fillId="39" borderId="0" xfId="2" applyFont="1" applyFill="1" applyBorder="1" applyAlignment="1">
      <alignment horizontal="left"/>
    </xf>
    <xf numFmtId="0" fontId="73" fillId="39" borderId="0" xfId="2" applyFont="1" applyFill="1" applyBorder="1" applyAlignment="1">
      <alignment horizontal="center"/>
    </xf>
    <xf numFmtId="9" fontId="73" fillId="39" borderId="0" xfId="2" applyNumberFormat="1" applyFont="1" applyFill="1" applyBorder="1" applyAlignment="1" applyProtection="1">
      <alignment horizontal="center"/>
    </xf>
    <xf numFmtId="1" fontId="73" fillId="39" borderId="0" xfId="2" applyNumberFormat="1" applyFont="1" applyFill="1" applyBorder="1" applyAlignment="1">
      <alignment horizontal="right"/>
    </xf>
    <xf numFmtId="164" fontId="73" fillId="39" borderId="0" xfId="1" applyNumberFormat="1" applyFont="1" applyFill="1" applyBorder="1" applyProtection="1"/>
    <xf numFmtId="164" fontId="73" fillId="39" borderId="0" xfId="1" applyNumberFormat="1" applyFont="1" applyFill="1" applyBorder="1" applyAlignment="1">
      <alignment horizontal="right"/>
    </xf>
    <xf numFmtId="164" fontId="73" fillId="42" borderId="0" xfId="1" applyNumberFormat="1" applyFont="1" applyFill="1" applyBorder="1" applyAlignment="1">
      <alignment horizontal="right"/>
    </xf>
    <xf numFmtId="0" fontId="13" fillId="40" borderId="0" xfId="2" applyFont="1" applyFill="1" applyBorder="1"/>
    <xf numFmtId="0" fontId="73" fillId="0" borderId="0" xfId="2" applyFont="1" applyFill="1" applyBorder="1" applyAlignment="1">
      <alignment horizontal="left"/>
    </xf>
    <xf numFmtId="0" fontId="73" fillId="0" borderId="0" xfId="2" applyFont="1" applyFill="1" applyBorder="1" applyAlignment="1">
      <alignment horizontal="center"/>
    </xf>
    <xf numFmtId="0" fontId="73" fillId="0" borderId="0" xfId="2" applyFont="1" applyFill="1" applyBorder="1"/>
    <xf numFmtId="9" fontId="73" fillId="0" borderId="0" xfId="2" applyNumberFormat="1" applyFont="1" applyFill="1" applyBorder="1" applyAlignment="1" applyProtection="1">
      <alignment horizontal="center"/>
    </xf>
    <xf numFmtId="1" fontId="73" fillId="0" borderId="0" xfId="2" applyNumberFormat="1" applyFont="1" applyFill="1" applyBorder="1" applyAlignment="1">
      <alignment horizontal="right"/>
    </xf>
    <xf numFmtId="164" fontId="73" fillId="0" borderId="0" xfId="1" applyNumberFormat="1" applyFont="1" applyFill="1" applyBorder="1" applyProtection="1"/>
    <xf numFmtId="164" fontId="5" fillId="39" borderId="0" xfId="2" applyNumberFormat="1" applyFont="1" applyFill="1" applyBorder="1"/>
    <xf numFmtId="0" fontId="6" fillId="39" borderId="0" xfId="2" applyFont="1" applyFill="1" applyBorder="1" applyAlignment="1">
      <alignment horizontal="center"/>
    </xf>
    <xf numFmtId="0" fontId="14" fillId="39" borderId="0" xfId="2" applyFont="1" applyFill="1" applyBorder="1" applyAlignment="1">
      <alignment horizontal="center"/>
    </xf>
    <xf numFmtId="165" fontId="14" fillId="39" borderId="0" xfId="3" applyNumberFormat="1" applyFont="1" applyFill="1" applyBorder="1" applyAlignment="1">
      <alignment horizontal="left"/>
    </xf>
    <xf numFmtId="0" fontId="14" fillId="0" borderId="0" xfId="2" applyFont="1" applyFill="1" applyBorder="1" applyAlignment="1">
      <alignment horizontal="center"/>
    </xf>
    <xf numFmtId="165" fontId="14" fillId="0" borderId="0" xfId="3" applyNumberFormat="1" applyFont="1" applyFill="1" applyBorder="1" applyAlignment="1">
      <alignment horizontal="left"/>
    </xf>
  </cellXfs>
  <cellStyles count="582"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2 2" xfId="11"/>
    <cellStyle name="20% - Accent2 3" xfId="12"/>
    <cellStyle name="20% - Accent2 3 2" xfId="13"/>
    <cellStyle name="20% - Accent3 2" xfId="14"/>
    <cellStyle name="20% - Accent3 3" xfId="15"/>
    <cellStyle name="20% - Accent3 3 2" xfId="16"/>
    <cellStyle name="20% - Accent4 2" xfId="17"/>
    <cellStyle name="20% - Accent4 2 2" xfId="18"/>
    <cellStyle name="20% - Accent4 2 3" xfId="19"/>
    <cellStyle name="20% - Accent4 3" xfId="20"/>
    <cellStyle name="20% - Accent4 3 2" xfId="21"/>
    <cellStyle name="20% - Accent4 3 3" xfId="22"/>
    <cellStyle name="20% - Accent4 4" xfId="23"/>
    <cellStyle name="20% - Accent5 2" xfId="24"/>
    <cellStyle name="20% - Accent5 3" xfId="25"/>
    <cellStyle name="20% - Accent6 2" xfId="26"/>
    <cellStyle name="20% - Accent6 3" xfId="27"/>
    <cellStyle name="20% - Accent6 3 2" xfId="28"/>
    <cellStyle name="40% - Accent1 2" xfId="29"/>
    <cellStyle name="40% - Accent1 3" xfId="30"/>
    <cellStyle name="40% - Accent1 3 2" xfId="31"/>
    <cellStyle name="40% - Accent1 3 3" xfId="32"/>
    <cellStyle name="40% - Accent1 4" xfId="33"/>
    <cellStyle name="40% - Accent2 2" xfId="34"/>
    <cellStyle name="40% - Accent2 3" xfId="35"/>
    <cellStyle name="40% - Accent3 2" xfId="36"/>
    <cellStyle name="40% - Accent3 3" xfId="37"/>
    <cellStyle name="40% - Accent3 3 2" xfId="38"/>
    <cellStyle name="40% - Accent4 2" xfId="39"/>
    <cellStyle name="40% - Accent4 3" xfId="40"/>
    <cellStyle name="40% - Accent4 3 2" xfId="41"/>
    <cellStyle name="40% - Accent4 3 3" xfId="42"/>
    <cellStyle name="40% - Accent4 4" xfId="43"/>
    <cellStyle name="40% - Accent5 2" xfId="44"/>
    <cellStyle name="40% - Accent5 3" xfId="45"/>
    <cellStyle name="40% - Accent5 3 2" xfId="46"/>
    <cellStyle name="40% - Accent6 2" xfId="47"/>
    <cellStyle name="40% - Accent6 3" xfId="48"/>
    <cellStyle name="40% - Accent6 3 2" xfId="49"/>
    <cellStyle name="40% - Accent6 3 3" xfId="50"/>
    <cellStyle name="40% - Accent6 4" xfId="51"/>
    <cellStyle name="60% - Accent1 2" xfId="52"/>
    <cellStyle name="60% - Accent1 2 2" xfId="53"/>
    <cellStyle name="60% - Accent1 2 3" xfId="54"/>
    <cellStyle name="60% - Accent1 3" xfId="55"/>
    <cellStyle name="60% - Accent1 3 2" xfId="56"/>
    <cellStyle name="60% - Accent1 3 3" xfId="57"/>
    <cellStyle name="60% - Accent1 4" xfId="58"/>
    <cellStyle name="60% - Accent2 2" xfId="59"/>
    <cellStyle name="60% - Accent2 3" xfId="60"/>
    <cellStyle name="60% - Accent2 3 2" xfId="61"/>
    <cellStyle name="60% - Accent3 2" xfId="62"/>
    <cellStyle name="60% - Accent3 3" xfId="63"/>
    <cellStyle name="60% - Accent3 3 2" xfId="64"/>
    <cellStyle name="60% - Accent3 3 3" xfId="65"/>
    <cellStyle name="60% - Accent3 4" xfId="66"/>
    <cellStyle name="60% - Accent4 2" xfId="67"/>
    <cellStyle name="60% - Accent4 3" xfId="68"/>
    <cellStyle name="60% - Accent4 3 2" xfId="69"/>
    <cellStyle name="60% - Accent4 3 3" xfId="70"/>
    <cellStyle name="60% - Accent4 4" xfId="71"/>
    <cellStyle name="60% - Accent5 2" xfId="72"/>
    <cellStyle name="60% - Accent5 2 2" xfId="73"/>
    <cellStyle name="60% - Accent5 2 3" xfId="74"/>
    <cellStyle name="60% - Accent5 3" xfId="75"/>
    <cellStyle name="60% - Accent5 3 2" xfId="76"/>
    <cellStyle name="60% - Accent6 2" xfId="77"/>
    <cellStyle name="60% - Accent6 3" xfId="78"/>
    <cellStyle name="60% - Accent6 3 2" xfId="79"/>
    <cellStyle name="Accent1 2" xfId="80"/>
    <cellStyle name="Accent1 2 2" xfId="81"/>
    <cellStyle name="Accent1 2 3" xfId="82"/>
    <cellStyle name="Accent1 3" xfId="83"/>
    <cellStyle name="Accent1 3 2" xfId="84"/>
    <cellStyle name="Accent1 3 3" xfId="85"/>
    <cellStyle name="Accent1 4" xfId="86"/>
    <cellStyle name="Accent2 2" xfId="87"/>
    <cellStyle name="Accent2 3" xfId="88"/>
    <cellStyle name="Accent2 3 2" xfId="89"/>
    <cellStyle name="Accent3 2" xfId="90"/>
    <cellStyle name="Accent3 2 2" xfId="91"/>
    <cellStyle name="Accent3 2 3" xfId="92"/>
    <cellStyle name="Accent3 3" xfId="93"/>
    <cellStyle name="Accent3 3 2" xfId="94"/>
    <cellStyle name="Accent4 2" xfId="95"/>
    <cellStyle name="Accent4 2 2" xfId="552"/>
    <cellStyle name="Accent4 3" xfId="96"/>
    <cellStyle name="Accent4 3 2" xfId="97"/>
    <cellStyle name="Accent5 2" xfId="98"/>
    <cellStyle name="Accent5 3" xfId="99"/>
    <cellStyle name="Accent6 2" xfId="100"/>
    <cellStyle name="Accent6 2 2" xfId="101"/>
    <cellStyle name="Accent6 2 3" xfId="102"/>
    <cellStyle name="Accent6 3" xfId="103"/>
    <cellStyle name="Accent6 3 2" xfId="104"/>
    <cellStyle name="Accounting" xfId="105"/>
    <cellStyle name="Accounting 2" xfId="106"/>
    <cellStyle name="Accounting 3" xfId="107"/>
    <cellStyle name="Accounting_2011-11" xfId="108"/>
    <cellStyle name="Bad 2" xfId="109"/>
    <cellStyle name="Bad 3" xfId="110"/>
    <cellStyle name="Bad 3 2" xfId="111"/>
    <cellStyle name="Budget" xfId="112"/>
    <cellStyle name="Budget 2" xfId="113"/>
    <cellStyle name="Budget 3" xfId="114"/>
    <cellStyle name="Budget_2011-11" xfId="115"/>
    <cellStyle name="Calculation 2" xfId="116"/>
    <cellStyle name="Calculation 2 2" xfId="117"/>
    <cellStyle name="Calculation 2 3" xfId="118"/>
    <cellStyle name="Calculation 3" xfId="119"/>
    <cellStyle name="Calculation 3 2" xfId="120"/>
    <cellStyle name="Calculation 3 3" xfId="121"/>
    <cellStyle name="Calculation 4" xfId="122"/>
    <cellStyle name="Check Cell 2" xfId="123"/>
    <cellStyle name="Check Cell 3" xfId="124"/>
    <cellStyle name="combo" xfId="125"/>
    <cellStyle name="Comma" xfId="1" builtinId="3"/>
    <cellStyle name="Comma 10" xfId="3"/>
    <cellStyle name="Comma 11" xfId="126"/>
    <cellStyle name="Comma 12" xfId="127"/>
    <cellStyle name="Comma 12 2" xfId="128"/>
    <cellStyle name="Comma 12 2 2" xfId="129"/>
    <cellStyle name="Comma 12 3" xfId="130"/>
    <cellStyle name="Comma 12 4" xfId="131"/>
    <cellStyle name="Comma 12 5" xfId="132"/>
    <cellStyle name="Comma 13" xfId="133"/>
    <cellStyle name="Comma 13 2" xfId="134"/>
    <cellStyle name="Comma 14" xfId="135"/>
    <cellStyle name="Comma 15" xfId="136"/>
    <cellStyle name="Comma 15 2" xfId="137"/>
    <cellStyle name="Comma 16" xfId="138"/>
    <cellStyle name="Comma 17" xfId="139"/>
    <cellStyle name="Comma 17 2" xfId="140"/>
    <cellStyle name="Comma 18" xfId="141"/>
    <cellStyle name="Comma 18 2" xfId="142"/>
    <cellStyle name="Comma 18 3" xfId="143"/>
    <cellStyle name="Comma 19" xfId="144"/>
    <cellStyle name="Comma 2" xfId="145"/>
    <cellStyle name="Comma 2 2" xfId="146"/>
    <cellStyle name="Comma 2 2 2" xfId="147"/>
    <cellStyle name="Comma 2 2 2 2" xfId="553"/>
    <cellStyle name="Comma 2 3" xfId="148"/>
    <cellStyle name="Comma 2 3 2" xfId="554"/>
    <cellStyle name="Comma 2 4" xfId="149"/>
    <cellStyle name="Comma 2 4 2" xfId="150"/>
    <cellStyle name="Comma 2 4 3" xfId="151"/>
    <cellStyle name="Comma 2 6" xfId="152"/>
    <cellStyle name="Comma 2 6 2" xfId="153"/>
    <cellStyle name="Comma 20" xfId="154"/>
    <cellStyle name="Comma 21" xfId="155"/>
    <cellStyle name="Comma 3" xfId="156"/>
    <cellStyle name="Comma 3 2" xfId="157"/>
    <cellStyle name="Comma 3 2 2" xfId="158"/>
    <cellStyle name="Comma 3 3" xfId="159"/>
    <cellStyle name="Comma 3 4" xfId="160"/>
    <cellStyle name="Comma 4" xfId="161"/>
    <cellStyle name="Comma 4 2" xfId="162"/>
    <cellStyle name="Comma 4 2 2" xfId="163"/>
    <cellStyle name="Comma 4 2 3" xfId="164"/>
    <cellStyle name="Comma 4 2 4" xfId="555"/>
    <cellStyle name="Comma 4 3" xfId="165"/>
    <cellStyle name="Comma 4 3 2" xfId="166"/>
    <cellStyle name="Comma 4 3 3" xfId="167"/>
    <cellStyle name="Comma 4 4" xfId="168"/>
    <cellStyle name="Comma 4 4 2" xfId="169"/>
    <cellStyle name="Comma 4 4 3" xfId="170"/>
    <cellStyle name="Comma 4 5" xfId="171"/>
    <cellStyle name="Comma 4 5 2" xfId="172"/>
    <cellStyle name="Comma 4 6" xfId="173"/>
    <cellStyle name="Comma 5" xfId="174"/>
    <cellStyle name="Comma 5 2" xfId="175"/>
    <cellStyle name="Comma 5 3" xfId="176"/>
    <cellStyle name="Comma 5 4" xfId="177"/>
    <cellStyle name="Comma 6" xfId="178"/>
    <cellStyle name="Comma 6 2" xfId="179"/>
    <cellStyle name="Comma 7" xfId="180"/>
    <cellStyle name="Comma 8" xfId="181"/>
    <cellStyle name="Comma 9" xfId="182"/>
    <cellStyle name="Comma(2)" xfId="183"/>
    <cellStyle name="Comma0" xfId="184"/>
    <cellStyle name="Comma0 - Style2" xfId="185"/>
    <cellStyle name="Comma1 - Style1" xfId="186"/>
    <cellStyle name="Comments" xfId="187"/>
    <cellStyle name="Currency 10" xfId="188"/>
    <cellStyle name="Currency 11" xfId="189"/>
    <cellStyle name="Currency 12" xfId="190"/>
    <cellStyle name="Currency 13" xfId="191"/>
    <cellStyle name="Currency 2" xfId="192"/>
    <cellStyle name="Currency 2 2" xfId="193"/>
    <cellStyle name="Currency 2 2 2" xfId="194"/>
    <cellStyle name="Currency 2 2 3" xfId="195"/>
    <cellStyle name="Currency 2 3" xfId="196"/>
    <cellStyle name="Currency 2 3 2" xfId="197"/>
    <cellStyle name="Currency 2 3 3" xfId="198"/>
    <cellStyle name="Currency 2 4" xfId="199"/>
    <cellStyle name="Currency 2 6" xfId="200"/>
    <cellStyle name="Currency 2 6 2" xfId="201"/>
    <cellStyle name="Currency 3" xfId="202"/>
    <cellStyle name="Currency 3 2" xfId="203"/>
    <cellStyle name="Currency 3 3" xfId="204"/>
    <cellStyle name="Currency 3 3 2" xfId="205"/>
    <cellStyle name="Currency 3 4" xfId="206"/>
    <cellStyle name="Currency 3 5" xfId="207"/>
    <cellStyle name="Currency 4" xfId="208"/>
    <cellStyle name="Currency 4 2" xfId="209"/>
    <cellStyle name="Currency 4 3" xfId="210"/>
    <cellStyle name="Currency 4 4" xfId="211"/>
    <cellStyle name="Currency 5" xfId="212"/>
    <cellStyle name="Currency 5 2" xfId="213"/>
    <cellStyle name="Currency 5 3" xfId="214"/>
    <cellStyle name="Currency 6" xfId="215"/>
    <cellStyle name="Currency 7" xfId="216"/>
    <cellStyle name="Currency 8" xfId="217"/>
    <cellStyle name="Currency 8 2" xfId="218"/>
    <cellStyle name="Currency 8 3" xfId="556"/>
    <cellStyle name="Currency 9" xfId="219"/>
    <cellStyle name="Currency0" xfId="220"/>
    <cellStyle name="Data Enter" xfId="221"/>
    <cellStyle name="date" xfId="222"/>
    <cellStyle name="Explanatory Text 2" xfId="223"/>
    <cellStyle name="Explanatory Text 3" xfId="224"/>
    <cellStyle name="F9ReportControlStyle_ctpInquire" xfId="225"/>
    <cellStyle name="FactSheet" xfId="226"/>
    <cellStyle name="fish" xfId="227"/>
    <cellStyle name="Good 2" xfId="228"/>
    <cellStyle name="Good 3" xfId="229"/>
    <cellStyle name="Good 3 2" xfId="230"/>
    <cellStyle name="Good 4" xfId="231"/>
    <cellStyle name="Heading 1 2" xfId="232"/>
    <cellStyle name="Heading 1 2 2" xfId="233"/>
    <cellStyle name="Heading 1 2 3" xfId="234"/>
    <cellStyle name="Heading 1 3" xfId="235"/>
    <cellStyle name="Heading 1 3 2" xfId="236"/>
    <cellStyle name="Heading 1 3 3" xfId="237"/>
    <cellStyle name="Heading 1 4" xfId="238"/>
    <cellStyle name="Heading 2 2" xfId="239"/>
    <cellStyle name="Heading 2 2 2" xfId="240"/>
    <cellStyle name="Heading 2 2 3" xfId="241"/>
    <cellStyle name="Heading 2 3" xfId="242"/>
    <cellStyle name="Heading 2 3 2" xfId="243"/>
    <cellStyle name="Heading 2 3 3" xfId="244"/>
    <cellStyle name="Heading 2 4" xfId="245"/>
    <cellStyle name="Heading 3 2" xfId="246"/>
    <cellStyle name="Heading 3 2 2" xfId="247"/>
    <cellStyle name="Heading 3 2 3" xfId="248"/>
    <cellStyle name="Heading 3 3" xfId="249"/>
    <cellStyle name="Heading 3 3 2" xfId="250"/>
    <cellStyle name="Heading 3 3 3" xfId="251"/>
    <cellStyle name="Heading 3 4" xfId="252"/>
    <cellStyle name="Heading 4 2" xfId="253"/>
    <cellStyle name="Heading 4 2 2" xfId="557"/>
    <cellStyle name="Heading 4 3" xfId="254"/>
    <cellStyle name="Heading 4 3 2" xfId="255"/>
    <cellStyle name="Hyperlink 2" xfId="256"/>
    <cellStyle name="Hyperlink 2 2" xfId="558"/>
    <cellStyle name="Hyperlink 3" xfId="257"/>
    <cellStyle name="Hyperlink 3 2" xfId="258"/>
    <cellStyle name="Hyperlink 3 3" xfId="559"/>
    <cellStyle name="Input 2" xfId="259"/>
    <cellStyle name="Input 2 2" xfId="560"/>
    <cellStyle name="Input 3" xfId="260"/>
    <cellStyle name="Input 3 2" xfId="261"/>
    <cellStyle name="input(0)" xfId="262"/>
    <cellStyle name="Input(2)" xfId="263"/>
    <cellStyle name="Linked Cell 2" xfId="264"/>
    <cellStyle name="Linked Cell 2 2" xfId="265"/>
    <cellStyle name="Linked Cell 2 3" xfId="266"/>
    <cellStyle name="Linked Cell 3" xfId="267"/>
    <cellStyle name="Linked Cell 3 2" xfId="268"/>
    <cellStyle name="Neutral 2" xfId="269"/>
    <cellStyle name="Neutral 2 2" xfId="270"/>
    <cellStyle name="Neutral 2 3" xfId="271"/>
    <cellStyle name="Neutral 3" xfId="272"/>
    <cellStyle name="Neutral 3 2" xfId="273"/>
    <cellStyle name="New_normal" xfId="274"/>
    <cellStyle name="Normal" xfId="0" builtinId="0"/>
    <cellStyle name="Normal - Style1" xfId="275"/>
    <cellStyle name="Normal - Style2" xfId="276"/>
    <cellStyle name="Normal - Style3" xfId="277"/>
    <cellStyle name="Normal - Style4" xfId="278"/>
    <cellStyle name="Normal - Style5" xfId="279"/>
    <cellStyle name="Normal 10" xfId="280"/>
    <cellStyle name="Normal 10 2" xfId="281"/>
    <cellStyle name="Normal 10 2 2" xfId="282"/>
    <cellStyle name="Normal 10 2 3" xfId="283"/>
    <cellStyle name="Normal 10 2 4" xfId="284"/>
    <cellStyle name="Normal 10 3" xfId="285"/>
    <cellStyle name="Normal 10_2112 DF Schedule" xfId="286"/>
    <cellStyle name="Normal 100" xfId="287"/>
    <cellStyle name="Normal 101" xfId="288"/>
    <cellStyle name="Normal 102" xfId="289"/>
    <cellStyle name="Normal 103" xfId="290"/>
    <cellStyle name="Normal 104" xfId="291"/>
    <cellStyle name="Normal 105" xfId="292"/>
    <cellStyle name="Normal 106" xfId="293"/>
    <cellStyle name="Normal 107" xfId="294"/>
    <cellStyle name="Normal 108" xfId="295"/>
    <cellStyle name="Normal 109" xfId="296"/>
    <cellStyle name="Normal 11" xfId="297"/>
    <cellStyle name="Normal 11 2" xfId="298"/>
    <cellStyle name="Normal 11 2 2" xfId="299"/>
    <cellStyle name="Normal 110" xfId="300"/>
    <cellStyle name="Normal 111" xfId="551"/>
    <cellStyle name="Normal 112" xfId="581"/>
    <cellStyle name="Normal 12" xfId="301"/>
    <cellStyle name="Normal 12 2" xfId="302"/>
    <cellStyle name="Normal 12 2 2" xfId="561"/>
    <cellStyle name="Normal 12 3" xfId="303"/>
    <cellStyle name="Normal 12 4" xfId="304"/>
    <cellStyle name="Normal 12 5" xfId="305"/>
    <cellStyle name="Normal 12_Sheet1" xfId="306"/>
    <cellStyle name="Normal 13" xfId="307"/>
    <cellStyle name="Normal 13 2" xfId="308"/>
    <cellStyle name="Normal 13 2 2" xfId="562"/>
    <cellStyle name="Normal 13 3" xfId="309"/>
    <cellStyle name="Normal 13 4" xfId="310"/>
    <cellStyle name="Normal 13 5" xfId="311"/>
    <cellStyle name="Normal 13_Sheet1" xfId="312"/>
    <cellStyle name="Normal 14" xfId="313"/>
    <cellStyle name="Normal 14 2" xfId="314"/>
    <cellStyle name="Normal 14 2 2" xfId="563"/>
    <cellStyle name="Normal 14 3" xfId="315"/>
    <cellStyle name="Normal 14 4" xfId="316"/>
    <cellStyle name="Normal 14_Sheet1" xfId="317"/>
    <cellStyle name="Normal 15" xfId="318"/>
    <cellStyle name="Normal 15 2" xfId="319"/>
    <cellStyle name="Normal 15 2 2" xfId="564"/>
    <cellStyle name="Normal 15 3" xfId="320"/>
    <cellStyle name="Normal 15 4" xfId="321"/>
    <cellStyle name="Normal 16" xfId="322"/>
    <cellStyle name="Normal 16 2" xfId="323"/>
    <cellStyle name="Normal 16 2 2" xfId="565"/>
    <cellStyle name="Normal 16 3" xfId="324"/>
    <cellStyle name="Normal 17" xfId="325"/>
    <cellStyle name="Normal 17 2" xfId="326"/>
    <cellStyle name="Normal 17 2 2" xfId="566"/>
    <cellStyle name="Normal 17 3" xfId="327"/>
    <cellStyle name="Normal 18" xfId="328"/>
    <cellStyle name="Normal 18 2" xfId="329"/>
    <cellStyle name="Normal 18 2 2" xfId="567"/>
    <cellStyle name="Normal 18 3" xfId="330"/>
    <cellStyle name="Normal 19" xfId="331"/>
    <cellStyle name="Normal 19 2" xfId="332"/>
    <cellStyle name="Normal 19 2 2" xfId="568"/>
    <cellStyle name="Normal 19 3" xfId="333"/>
    <cellStyle name="Normal 2" xfId="334"/>
    <cellStyle name="Normal 2 10" xfId="335"/>
    <cellStyle name="Normal 2 11" xfId="336"/>
    <cellStyle name="Normal 2 2" xfId="337"/>
    <cellStyle name="Normal 2 2 2" xfId="338"/>
    <cellStyle name="Normal 2 2 2 2" xfId="339"/>
    <cellStyle name="Normal 2 2 3" xfId="340"/>
    <cellStyle name="Normal 2 2 4" xfId="341"/>
    <cellStyle name="Normal 2 2_4MthProj2" xfId="342"/>
    <cellStyle name="Normal 2 3" xfId="343"/>
    <cellStyle name="Normal 2 3 2" xfId="344"/>
    <cellStyle name="Normal 2 3 3" xfId="345"/>
    <cellStyle name="Normal 2 3 3 2" xfId="569"/>
    <cellStyle name="Normal 2 3_4MthProj2" xfId="346"/>
    <cellStyle name="Normal 2 4" xfId="347"/>
    <cellStyle name="Normal 2 4 2" xfId="348"/>
    <cellStyle name="Normal 2 5" xfId="349"/>
    <cellStyle name="Normal 2 6" xfId="350"/>
    <cellStyle name="Normal 2 7" xfId="351"/>
    <cellStyle name="Normal 2 8" xfId="352"/>
    <cellStyle name="Normal 2 9" xfId="353"/>
    <cellStyle name="Normal 2_2009 Regulated Price Out" xfId="354"/>
    <cellStyle name="Normal 20" xfId="355"/>
    <cellStyle name="Normal 20 2" xfId="356"/>
    <cellStyle name="Normal 20 3" xfId="357"/>
    <cellStyle name="Normal 20 4" xfId="570"/>
    <cellStyle name="Normal 21" xfId="358"/>
    <cellStyle name="Normal 21 2" xfId="359"/>
    <cellStyle name="Normal 21 3" xfId="571"/>
    <cellStyle name="Normal 22" xfId="360"/>
    <cellStyle name="Normal 22 2" xfId="361"/>
    <cellStyle name="Normal 22 3" xfId="572"/>
    <cellStyle name="Normal 23" xfId="362"/>
    <cellStyle name="Normal 23 2" xfId="363"/>
    <cellStyle name="Normal 23 3" xfId="573"/>
    <cellStyle name="Normal 24" xfId="364"/>
    <cellStyle name="Normal 24 2" xfId="365"/>
    <cellStyle name="Normal 24 3" xfId="574"/>
    <cellStyle name="Normal 25" xfId="366"/>
    <cellStyle name="Normal 25 2" xfId="575"/>
    <cellStyle name="Normal 26" xfId="367"/>
    <cellStyle name="Normal 26 2" xfId="576"/>
    <cellStyle name="Normal 27" xfId="368"/>
    <cellStyle name="Normal 27 2" xfId="369"/>
    <cellStyle name="Normal 27 3" xfId="577"/>
    <cellStyle name="Normal 28" xfId="370"/>
    <cellStyle name="Normal 29" xfId="371"/>
    <cellStyle name="Normal 3" xfId="372"/>
    <cellStyle name="Normal 3 2" xfId="373"/>
    <cellStyle name="Normal 3 2 2" xfId="374"/>
    <cellStyle name="Normal 3 2 3" xfId="578"/>
    <cellStyle name="Normal 3 3" xfId="375"/>
    <cellStyle name="Normal 3 3 2" xfId="376"/>
    <cellStyle name="Normal 3 4" xfId="377"/>
    <cellStyle name="Normal 3_2012 PR" xfId="378"/>
    <cellStyle name="Normal 30" xfId="379"/>
    <cellStyle name="Normal 31" xfId="380"/>
    <cellStyle name="Normal 31 2" xfId="381"/>
    <cellStyle name="Normal 32" xfId="382"/>
    <cellStyle name="Normal 33" xfId="383"/>
    <cellStyle name="Normal 34" xfId="384"/>
    <cellStyle name="Normal 35" xfId="385"/>
    <cellStyle name="Normal 36" xfId="386"/>
    <cellStyle name="Normal 37" xfId="387"/>
    <cellStyle name="Normal 38" xfId="388"/>
    <cellStyle name="Normal 39" xfId="389"/>
    <cellStyle name="Normal 4" xfId="390"/>
    <cellStyle name="Normal 4 2" xfId="391"/>
    <cellStyle name="Normal 4 2 2" xfId="392"/>
    <cellStyle name="Normal 4 3" xfId="393"/>
    <cellStyle name="Normal 4 3 2" xfId="394"/>
    <cellStyle name="Normal 4_Consolidated IS" xfId="395"/>
    <cellStyle name="Normal 40" xfId="396"/>
    <cellStyle name="Normal 41" xfId="397"/>
    <cellStyle name="Normal 42" xfId="398"/>
    <cellStyle name="Normal 43" xfId="399"/>
    <cellStyle name="Normal 44" xfId="400"/>
    <cellStyle name="Normal 45" xfId="401"/>
    <cellStyle name="Normal 46" xfId="402"/>
    <cellStyle name="Normal 47" xfId="403"/>
    <cellStyle name="Normal 48" xfId="404"/>
    <cellStyle name="Normal 49" xfId="405"/>
    <cellStyle name="Normal 5" xfId="406"/>
    <cellStyle name="Normal 5 2" xfId="407"/>
    <cellStyle name="Normal 5 3" xfId="408"/>
    <cellStyle name="Normal 5 4" xfId="409"/>
    <cellStyle name="Normal 5_2112 DF Schedule" xfId="410"/>
    <cellStyle name="Normal 50" xfId="411"/>
    <cellStyle name="Normal 51" xfId="412"/>
    <cellStyle name="Normal 52" xfId="413"/>
    <cellStyle name="Normal 53" xfId="414"/>
    <cellStyle name="Normal 54" xfId="415"/>
    <cellStyle name="Normal 55" xfId="416"/>
    <cellStyle name="Normal 56" xfId="417"/>
    <cellStyle name="Normal 57" xfId="418"/>
    <cellStyle name="Normal 58" xfId="419"/>
    <cellStyle name="Normal 59" xfId="420"/>
    <cellStyle name="Normal 6" xfId="421"/>
    <cellStyle name="Normal 6 2" xfId="422"/>
    <cellStyle name="Normal 6 2 2" xfId="423"/>
    <cellStyle name="Normal 6 3" xfId="424"/>
    <cellStyle name="Normal 60" xfId="425"/>
    <cellStyle name="Normal 61" xfId="426"/>
    <cellStyle name="Normal 62" xfId="427"/>
    <cellStyle name="Normal 63" xfId="428"/>
    <cellStyle name="Normal 64" xfId="429"/>
    <cellStyle name="Normal 65" xfId="430"/>
    <cellStyle name="Normal 66" xfId="431"/>
    <cellStyle name="Normal 67" xfId="432"/>
    <cellStyle name="Normal 68" xfId="433"/>
    <cellStyle name="Normal 69" xfId="434"/>
    <cellStyle name="Normal 7" xfId="435"/>
    <cellStyle name="Normal 7 2" xfId="436"/>
    <cellStyle name="Normal 7 2 2" xfId="437"/>
    <cellStyle name="Normal 70" xfId="438"/>
    <cellStyle name="Normal 71" xfId="439"/>
    <cellStyle name="Normal 72" xfId="440"/>
    <cellStyle name="Normal 73" xfId="441"/>
    <cellStyle name="Normal 74" xfId="442"/>
    <cellStyle name="Normal 75" xfId="443"/>
    <cellStyle name="Normal 76" xfId="444"/>
    <cellStyle name="Normal 77" xfId="445"/>
    <cellStyle name="Normal 78" xfId="446"/>
    <cellStyle name="Normal 79" xfId="447"/>
    <cellStyle name="Normal 8" xfId="448"/>
    <cellStyle name="Normal 8 2" xfId="449"/>
    <cellStyle name="Normal 8 2 2" xfId="450"/>
    <cellStyle name="Normal 80" xfId="451"/>
    <cellStyle name="Normal 81" xfId="452"/>
    <cellStyle name="Normal 82" xfId="453"/>
    <cellStyle name="Normal 83" xfId="454"/>
    <cellStyle name="Normal 84" xfId="455"/>
    <cellStyle name="Normal 84 2" xfId="456"/>
    <cellStyle name="Normal 84 3" xfId="457"/>
    <cellStyle name="Normal 85" xfId="458"/>
    <cellStyle name="Normal 85 2" xfId="459"/>
    <cellStyle name="Normal 85 3" xfId="460"/>
    <cellStyle name="Normal 86" xfId="461"/>
    <cellStyle name="Normal 87" xfId="462"/>
    <cellStyle name="Normal 88" xfId="463"/>
    <cellStyle name="Normal 89" xfId="464"/>
    <cellStyle name="Normal 9" xfId="465"/>
    <cellStyle name="Normal 9 2" xfId="466"/>
    <cellStyle name="Normal 9 2 2" xfId="467"/>
    <cellStyle name="Normal 90" xfId="468"/>
    <cellStyle name="Normal 91" xfId="469"/>
    <cellStyle name="Normal 92" xfId="470"/>
    <cellStyle name="Normal 93" xfId="471"/>
    <cellStyle name="Normal 94" xfId="472"/>
    <cellStyle name="Normal 95" xfId="473"/>
    <cellStyle name="Normal 96" xfId="474"/>
    <cellStyle name="Normal 97" xfId="475"/>
    <cellStyle name="Normal 98" xfId="476"/>
    <cellStyle name="Normal 99" xfId="477"/>
    <cellStyle name="Normal_Depreciation 6-30-10" xfId="2"/>
    <cellStyle name="Note 2" xfId="478"/>
    <cellStyle name="Note 2 2" xfId="479"/>
    <cellStyle name="Note 2 3" xfId="480"/>
    <cellStyle name="Note 3" xfId="481"/>
    <cellStyle name="Note 3 2" xfId="482"/>
    <cellStyle name="Note 3 3" xfId="483"/>
    <cellStyle name="Note 4" xfId="484"/>
    <cellStyle name="Notes" xfId="485"/>
    <cellStyle name="Output 2" xfId="486"/>
    <cellStyle name="Output 2 2" xfId="579"/>
    <cellStyle name="Output 3" xfId="487"/>
    <cellStyle name="Output 3 2" xfId="488"/>
    <cellStyle name="Percent 10" xfId="489"/>
    <cellStyle name="Percent 2" xfId="490"/>
    <cellStyle name="Percent 2 2" xfId="491"/>
    <cellStyle name="Percent 2 2 2" xfId="492"/>
    <cellStyle name="Percent 2 2 3" xfId="493"/>
    <cellStyle name="Percent 2 3" xfId="494"/>
    <cellStyle name="Percent 2 4" xfId="495"/>
    <cellStyle name="Percent 2 6" xfId="496"/>
    <cellStyle name="Percent 3" xfId="497"/>
    <cellStyle name="Percent 3 2" xfId="498"/>
    <cellStyle name="Percent 3 2 2" xfId="499"/>
    <cellStyle name="Percent 4" xfId="500"/>
    <cellStyle name="Percent 4 2" xfId="501"/>
    <cellStyle name="Percent 4 3" xfId="502"/>
    <cellStyle name="Percent 4 4" xfId="503"/>
    <cellStyle name="Percent 5" xfId="504"/>
    <cellStyle name="Percent 5 2" xfId="505"/>
    <cellStyle name="Percent 6" xfId="506"/>
    <cellStyle name="Percent 6 2" xfId="507"/>
    <cellStyle name="Percent 7" xfId="508"/>
    <cellStyle name="Percent 7 2" xfId="509"/>
    <cellStyle name="Percent 7 3" xfId="510"/>
    <cellStyle name="Percent 8" xfId="511"/>
    <cellStyle name="Percent 9" xfId="512"/>
    <cellStyle name="Percent(1)" xfId="513"/>
    <cellStyle name="Percent(2)" xfId="514"/>
    <cellStyle name="PRM" xfId="515"/>
    <cellStyle name="PRM 2" xfId="516"/>
    <cellStyle name="PRM 3" xfId="517"/>
    <cellStyle name="PRM_2011-11" xfId="518"/>
    <cellStyle name="PS_Comma" xfId="519"/>
    <cellStyle name="PSChar" xfId="520"/>
    <cellStyle name="PSDate" xfId="521"/>
    <cellStyle name="PSDec" xfId="522"/>
    <cellStyle name="PSHeading" xfId="523"/>
    <cellStyle name="PSInt" xfId="524"/>
    <cellStyle name="PSSpacer" xfId="525"/>
    <cellStyle name="STYL0 - Style1" xfId="526"/>
    <cellStyle name="STYL1 - Style2" xfId="527"/>
    <cellStyle name="STYL2 - Style3" xfId="528"/>
    <cellStyle name="STYL3 - Style4" xfId="529"/>
    <cellStyle name="STYL4 - Style5" xfId="530"/>
    <cellStyle name="STYL5 - Style6" xfId="531"/>
    <cellStyle name="STYL6 - Style7" xfId="532"/>
    <cellStyle name="STYL7 - Style8" xfId="533"/>
    <cellStyle name="Style 1" xfId="534"/>
    <cellStyle name="Style 1 2" xfId="535"/>
    <cellStyle name="STYLE1" xfId="536"/>
    <cellStyle name="sub heading" xfId="537"/>
    <cellStyle name="Title 2" xfId="538"/>
    <cellStyle name="Title 2 2" xfId="580"/>
    <cellStyle name="Title 3" xfId="539"/>
    <cellStyle name="Title 3 2" xfId="540"/>
    <cellStyle name="Total 2" xfId="541"/>
    <cellStyle name="Total 2 2" xfId="542"/>
    <cellStyle name="Total 2 3" xfId="543"/>
    <cellStyle name="Total 3" xfId="544"/>
    <cellStyle name="Total 3 2" xfId="545"/>
    <cellStyle name="Total 3 3" xfId="546"/>
    <cellStyle name="Total 4" xfId="547"/>
    <cellStyle name="Warning Text 2" xfId="548"/>
    <cellStyle name="Warning Text 3" xfId="549"/>
    <cellStyle name="WM_STANDARD" xfId="55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20%20Empire/General%20Rate%20Filings/Filed%207-22-16,%20Effective%2010-1-16/Empire%20Pro%20forma%20YE%206-30-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20%20Empire/General%20Rate%20Filings/Rate%20Filing%20Effective%203-1-2018/.Empire%20Disposal%20Proforma%204-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20 BS"/>
      <sheetName val="2120 IS"/>
      <sheetName val="Consolidated IS"/>
      <sheetName val="Restating Adj's"/>
      <sheetName val="Pro Forma Adj's"/>
      <sheetName val="Ratios"/>
      <sheetName val="LG"/>
      <sheetName val="LG - Packer,RO"/>
      <sheetName val="LG - Recycle"/>
      <sheetName val="Spokane Reg - Price out"/>
      <sheetName val="Whitman Reg - Price Out"/>
      <sheetName val="Rate Sheet"/>
      <sheetName val="References"/>
      <sheetName val="2120 Depr Summary"/>
      <sheetName val="2120 Depr"/>
      <sheetName val="Disposal"/>
      <sheetName val="40131 Disposal"/>
      <sheetName val="Empire Payroll"/>
      <sheetName val="DivCon-DVP Alloc In"/>
      <sheetName val="Corp-OH"/>
      <sheetName val="Region OH Calc"/>
      <sheetName val="Corp-BS"/>
      <sheetName val="Corp-IS"/>
      <sheetName val="B&amp;O Taxes"/>
      <sheetName val="70095 Detail"/>
      <sheetName val="70195 Detail"/>
      <sheetName val="Empire BS 6-30-15"/>
      <sheetName val="Sheet7"/>
    </sheetNames>
    <sheetDataSet>
      <sheetData sheetId="0"/>
      <sheetData sheetId="1"/>
      <sheetData sheetId="2"/>
      <sheetData sheetId="3"/>
      <sheetData sheetId="4"/>
      <sheetData sheetId="5">
        <row r="17">
          <cell r="C17">
            <v>0.84410883430939443</v>
          </cell>
          <cell r="D17">
            <v>4.7673323736130429E-4</v>
          </cell>
          <cell r="F17">
            <v>0.15541443245324416</v>
          </cell>
        </row>
        <row r="43">
          <cell r="H43">
            <v>0.90605590062111796</v>
          </cell>
        </row>
        <row r="47">
          <cell r="H47">
            <v>0.8651685393258427</v>
          </cell>
        </row>
        <row r="49">
          <cell r="C49">
            <v>0.88754448398576513</v>
          </cell>
          <cell r="D49">
            <v>3.5587188612099642E-3</v>
          </cell>
          <cell r="E49">
            <v>0.10889679715302492</v>
          </cell>
        </row>
        <row r="55">
          <cell r="H55">
            <v>0.81746760824114018</v>
          </cell>
        </row>
        <row r="57">
          <cell r="H57">
            <v>0.89389696839154986</v>
          </cell>
        </row>
        <row r="59">
          <cell r="H59">
            <v>0.66666666666666663</v>
          </cell>
        </row>
        <row r="61">
          <cell r="C61">
            <v>0.82433963683703171</v>
          </cell>
          <cell r="E61">
            <v>0.17566036316296826</v>
          </cell>
        </row>
        <row r="62">
          <cell r="H62">
            <v>0.81908639766898961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2120_IS210"/>
      <sheetName val="Empire Consolidated IS"/>
      <sheetName val="Ratios"/>
      <sheetName val="Spokane Reg - Price out"/>
      <sheetName val="Whitman Reg - Price Out"/>
      <sheetName val="Restating Adj's"/>
      <sheetName val="Pro-forma Adj's"/>
      <sheetName val="Depr Summary"/>
      <sheetName val="LG"/>
      <sheetName val="LG - Packer,RO"/>
      <sheetName val="LG - Recycle"/>
      <sheetName val="Rate Sheet"/>
      <sheetName val="Region OH Calc"/>
      <sheetName val="Corp OH"/>
      <sheetName val="DivCon-DVP Alloc Out"/>
      <sheetName val="70095"/>
      <sheetName val="70195"/>
      <sheetName val="70201"/>
      <sheetName val="70255"/>
    </sheetNames>
    <sheetDataSet>
      <sheetData sheetId="0" refreshError="1"/>
      <sheetData sheetId="1" refreshError="1"/>
      <sheetData sheetId="2" refreshError="1"/>
      <sheetData sheetId="3">
        <row r="48">
          <cell r="H48">
            <v>0.94005449591280654</v>
          </cell>
        </row>
        <row r="49">
          <cell r="H49">
            <v>0.92766448634090037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view="pageBreakPreview" zoomScaleNormal="100" zoomScaleSheetLayoutView="100" workbookViewId="0">
      <selection activeCell="A50" sqref="A50:XFD71"/>
    </sheetView>
  </sheetViews>
  <sheetFormatPr defaultColWidth="11.42578125" defaultRowHeight="12"/>
  <cols>
    <col min="1" max="1" width="28.42578125" style="203" customWidth="1"/>
    <col min="2" max="8" width="10.85546875" style="203" customWidth="1"/>
    <col min="9" max="10" width="1.85546875" style="203" customWidth="1"/>
    <col min="11" max="14" width="11" style="203" customWidth="1"/>
    <col min="15" max="15" width="4.7109375" style="203" bestFit="1" customWidth="1"/>
    <col min="16" max="16" width="1.42578125" style="203" customWidth="1"/>
    <col min="17" max="20" width="11.140625" style="203" customWidth="1"/>
    <col min="21" max="21" width="4.7109375" style="203" bestFit="1" customWidth="1"/>
    <col min="22" max="256" width="11.42578125" style="203"/>
    <col min="257" max="257" width="16.28515625" style="203" customWidth="1"/>
    <col min="258" max="261" width="11.42578125" style="203" customWidth="1"/>
    <col min="262" max="262" width="12" style="203" customWidth="1"/>
    <col min="263" max="264" width="11.42578125" style="203" customWidth="1"/>
    <col min="265" max="265" width="1.85546875" style="203" customWidth="1"/>
    <col min="266" max="266" width="12.140625" style="203" customWidth="1"/>
    <col min="267" max="267" width="12.7109375" style="203" customWidth="1"/>
    <col min="268" max="270" width="11.42578125" style="203" customWidth="1"/>
    <col min="271" max="271" width="1.85546875" style="203" customWidth="1"/>
    <col min="272" max="272" width="13.5703125" style="203" customWidth="1"/>
    <col min="273" max="273" width="11.42578125" style="203" customWidth="1"/>
    <col min="274" max="275" width="12.42578125" style="203" customWidth="1"/>
    <col min="276" max="512" width="11.42578125" style="203"/>
    <col min="513" max="513" width="16.28515625" style="203" customWidth="1"/>
    <col min="514" max="517" width="11.42578125" style="203" customWidth="1"/>
    <col min="518" max="518" width="12" style="203" customWidth="1"/>
    <col min="519" max="520" width="11.42578125" style="203" customWidth="1"/>
    <col min="521" max="521" width="1.85546875" style="203" customWidth="1"/>
    <col min="522" max="522" width="12.140625" style="203" customWidth="1"/>
    <col min="523" max="523" width="12.7109375" style="203" customWidth="1"/>
    <col min="524" max="526" width="11.42578125" style="203" customWidth="1"/>
    <col min="527" max="527" width="1.85546875" style="203" customWidth="1"/>
    <col min="528" max="528" width="13.5703125" style="203" customWidth="1"/>
    <col min="529" max="529" width="11.42578125" style="203" customWidth="1"/>
    <col min="530" max="531" width="12.42578125" style="203" customWidth="1"/>
    <col min="532" max="768" width="11.42578125" style="203"/>
    <col min="769" max="769" width="16.28515625" style="203" customWidth="1"/>
    <col min="770" max="773" width="11.42578125" style="203" customWidth="1"/>
    <col min="774" max="774" width="12" style="203" customWidth="1"/>
    <col min="775" max="776" width="11.42578125" style="203" customWidth="1"/>
    <col min="777" max="777" width="1.85546875" style="203" customWidth="1"/>
    <col min="778" max="778" width="12.140625" style="203" customWidth="1"/>
    <col min="779" max="779" width="12.7109375" style="203" customWidth="1"/>
    <col min="780" max="782" width="11.42578125" style="203" customWidth="1"/>
    <col min="783" max="783" width="1.85546875" style="203" customWidth="1"/>
    <col min="784" max="784" width="13.5703125" style="203" customWidth="1"/>
    <col min="785" max="785" width="11.42578125" style="203" customWidth="1"/>
    <col min="786" max="787" width="12.42578125" style="203" customWidth="1"/>
    <col min="788" max="1024" width="11.42578125" style="203"/>
    <col min="1025" max="1025" width="16.28515625" style="203" customWidth="1"/>
    <col min="1026" max="1029" width="11.42578125" style="203" customWidth="1"/>
    <col min="1030" max="1030" width="12" style="203" customWidth="1"/>
    <col min="1031" max="1032" width="11.42578125" style="203" customWidth="1"/>
    <col min="1033" max="1033" width="1.85546875" style="203" customWidth="1"/>
    <col min="1034" max="1034" width="12.140625" style="203" customWidth="1"/>
    <col min="1035" max="1035" width="12.7109375" style="203" customWidth="1"/>
    <col min="1036" max="1038" width="11.42578125" style="203" customWidth="1"/>
    <col min="1039" max="1039" width="1.85546875" style="203" customWidth="1"/>
    <col min="1040" max="1040" width="13.5703125" style="203" customWidth="1"/>
    <col min="1041" max="1041" width="11.42578125" style="203" customWidth="1"/>
    <col min="1042" max="1043" width="12.42578125" style="203" customWidth="1"/>
    <col min="1044" max="1280" width="11.42578125" style="203"/>
    <col min="1281" max="1281" width="16.28515625" style="203" customWidth="1"/>
    <col min="1282" max="1285" width="11.42578125" style="203" customWidth="1"/>
    <col min="1286" max="1286" width="12" style="203" customWidth="1"/>
    <col min="1287" max="1288" width="11.42578125" style="203" customWidth="1"/>
    <col min="1289" max="1289" width="1.85546875" style="203" customWidth="1"/>
    <col min="1290" max="1290" width="12.140625" style="203" customWidth="1"/>
    <col min="1291" max="1291" width="12.7109375" style="203" customWidth="1"/>
    <col min="1292" max="1294" width="11.42578125" style="203" customWidth="1"/>
    <col min="1295" max="1295" width="1.85546875" style="203" customWidth="1"/>
    <col min="1296" max="1296" width="13.5703125" style="203" customWidth="1"/>
    <col min="1297" max="1297" width="11.42578125" style="203" customWidth="1"/>
    <col min="1298" max="1299" width="12.42578125" style="203" customWidth="1"/>
    <col min="1300" max="1536" width="11.42578125" style="203"/>
    <col min="1537" max="1537" width="16.28515625" style="203" customWidth="1"/>
    <col min="1538" max="1541" width="11.42578125" style="203" customWidth="1"/>
    <col min="1542" max="1542" width="12" style="203" customWidth="1"/>
    <col min="1543" max="1544" width="11.42578125" style="203" customWidth="1"/>
    <col min="1545" max="1545" width="1.85546875" style="203" customWidth="1"/>
    <col min="1546" max="1546" width="12.140625" style="203" customWidth="1"/>
    <col min="1547" max="1547" width="12.7109375" style="203" customWidth="1"/>
    <col min="1548" max="1550" width="11.42578125" style="203" customWidth="1"/>
    <col min="1551" max="1551" width="1.85546875" style="203" customWidth="1"/>
    <col min="1552" max="1552" width="13.5703125" style="203" customWidth="1"/>
    <col min="1553" max="1553" width="11.42578125" style="203" customWidth="1"/>
    <col min="1554" max="1555" width="12.42578125" style="203" customWidth="1"/>
    <col min="1556" max="1792" width="11.42578125" style="203"/>
    <col min="1793" max="1793" width="16.28515625" style="203" customWidth="1"/>
    <col min="1794" max="1797" width="11.42578125" style="203" customWidth="1"/>
    <col min="1798" max="1798" width="12" style="203" customWidth="1"/>
    <col min="1799" max="1800" width="11.42578125" style="203" customWidth="1"/>
    <col min="1801" max="1801" width="1.85546875" style="203" customWidth="1"/>
    <col min="1802" max="1802" width="12.140625" style="203" customWidth="1"/>
    <col min="1803" max="1803" width="12.7109375" style="203" customWidth="1"/>
    <col min="1804" max="1806" width="11.42578125" style="203" customWidth="1"/>
    <col min="1807" max="1807" width="1.85546875" style="203" customWidth="1"/>
    <col min="1808" max="1808" width="13.5703125" style="203" customWidth="1"/>
    <col min="1809" max="1809" width="11.42578125" style="203" customWidth="1"/>
    <col min="1810" max="1811" width="12.42578125" style="203" customWidth="1"/>
    <col min="1812" max="2048" width="11.42578125" style="203"/>
    <col min="2049" max="2049" width="16.28515625" style="203" customWidth="1"/>
    <col min="2050" max="2053" width="11.42578125" style="203" customWidth="1"/>
    <col min="2054" max="2054" width="12" style="203" customWidth="1"/>
    <col min="2055" max="2056" width="11.42578125" style="203" customWidth="1"/>
    <col min="2057" max="2057" width="1.85546875" style="203" customWidth="1"/>
    <col min="2058" max="2058" width="12.140625" style="203" customWidth="1"/>
    <col min="2059" max="2059" width="12.7109375" style="203" customWidth="1"/>
    <col min="2060" max="2062" width="11.42578125" style="203" customWidth="1"/>
    <col min="2063" max="2063" width="1.85546875" style="203" customWidth="1"/>
    <col min="2064" max="2064" width="13.5703125" style="203" customWidth="1"/>
    <col min="2065" max="2065" width="11.42578125" style="203" customWidth="1"/>
    <col min="2066" max="2067" width="12.42578125" style="203" customWidth="1"/>
    <col min="2068" max="2304" width="11.42578125" style="203"/>
    <col min="2305" max="2305" width="16.28515625" style="203" customWidth="1"/>
    <col min="2306" max="2309" width="11.42578125" style="203" customWidth="1"/>
    <col min="2310" max="2310" width="12" style="203" customWidth="1"/>
    <col min="2311" max="2312" width="11.42578125" style="203" customWidth="1"/>
    <col min="2313" max="2313" width="1.85546875" style="203" customWidth="1"/>
    <col min="2314" max="2314" width="12.140625" style="203" customWidth="1"/>
    <col min="2315" max="2315" width="12.7109375" style="203" customWidth="1"/>
    <col min="2316" max="2318" width="11.42578125" style="203" customWidth="1"/>
    <col min="2319" max="2319" width="1.85546875" style="203" customWidth="1"/>
    <col min="2320" max="2320" width="13.5703125" style="203" customWidth="1"/>
    <col min="2321" max="2321" width="11.42578125" style="203" customWidth="1"/>
    <col min="2322" max="2323" width="12.42578125" style="203" customWidth="1"/>
    <col min="2324" max="2560" width="11.42578125" style="203"/>
    <col min="2561" max="2561" width="16.28515625" style="203" customWidth="1"/>
    <col min="2562" max="2565" width="11.42578125" style="203" customWidth="1"/>
    <col min="2566" max="2566" width="12" style="203" customWidth="1"/>
    <col min="2567" max="2568" width="11.42578125" style="203" customWidth="1"/>
    <col min="2569" max="2569" width="1.85546875" style="203" customWidth="1"/>
    <col min="2570" max="2570" width="12.140625" style="203" customWidth="1"/>
    <col min="2571" max="2571" width="12.7109375" style="203" customWidth="1"/>
    <col min="2572" max="2574" width="11.42578125" style="203" customWidth="1"/>
    <col min="2575" max="2575" width="1.85546875" style="203" customWidth="1"/>
    <col min="2576" max="2576" width="13.5703125" style="203" customWidth="1"/>
    <col min="2577" max="2577" width="11.42578125" style="203" customWidth="1"/>
    <col min="2578" max="2579" width="12.42578125" style="203" customWidth="1"/>
    <col min="2580" max="2816" width="11.42578125" style="203"/>
    <col min="2817" max="2817" width="16.28515625" style="203" customWidth="1"/>
    <col min="2818" max="2821" width="11.42578125" style="203" customWidth="1"/>
    <col min="2822" max="2822" width="12" style="203" customWidth="1"/>
    <col min="2823" max="2824" width="11.42578125" style="203" customWidth="1"/>
    <col min="2825" max="2825" width="1.85546875" style="203" customWidth="1"/>
    <col min="2826" max="2826" width="12.140625" style="203" customWidth="1"/>
    <col min="2827" max="2827" width="12.7109375" style="203" customWidth="1"/>
    <col min="2828" max="2830" width="11.42578125" style="203" customWidth="1"/>
    <col min="2831" max="2831" width="1.85546875" style="203" customWidth="1"/>
    <col min="2832" max="2832" width="13.5703125" style="203" customWidth="1"/>
    <col min="2833" max="2833" width="11.42578125" style="203" customWidth="1"/>
    <col min="2834" max="2835" width="12.42578125" style="203" customWidth="1"/>
    <col min="2836" max="3072" width="11.42578125" style="203"/>
    <col min="3073" max="3073" width="16.28515625" style="203" customWidth="1"/>
    <col min="3074" max="3077" width="11.42578125" style="203" customWidth="1"/>
    <col min="3078" max="3078" width="12" style="203" customWidth="1"/>
    <col min="3079" max="3080" width="11.42578125" style="203" customWidth="1"/>
    <col min="3081" max="3081" width="1.85546875" style="203" customWidth="1"/>
    <col min="3082" max="3082" width="12.140625" style="203" customWidth="1"/>
    <col min="3083" max="3083" width="12.7109375" style="203" customWidth="1"/>
    <col min="3084" max="3086" width="11.42578125" style="203" customWidth="1"/>
    <col min="3087" max="3087" width="1.85546875" style="203" customWidth="1"/>
    <col min="3088" max="3088" width="13.5703125" style="203" customWidth="1"/>
    <col min="3089" max="3089" width="11.42578125" style="203" customWidth="1"/>
    <col min="3090" max="3091" width="12.42578125" style="203" customWidth="1"/>
    <col min="3092" max="3328" width="11.42578125" style="203"/>
    <col min="3329" max="3329" width="16.28515625" style="203" customWidth="1"/>
    <col min="3330" max="3333" width="11.42578125" style="203" customWidth="1"/>
    <col min="3334" max="3334" width="12" style="203" customWidth="1"/>
    <col min="3335" max="3336" width="11.42578125" style="203" customWidth="1"/>
    <col min="3337" max="3337" width="1.85546875" style="203" customWidth="1"/>
    <col min="3338" max="3338" width="12.140625" style="203" customWidth="1"/>
    <col min="3339" max="3339" width="12.7109375" style="203" customWidth="1"/>
    <col min="3340" max="3342" width="11.42578125" style="203" customWidth="1"/>
    <col min="3343" max="3343" width="1.85546875" style="203" customWidth="1"/>
    <col min="3344" max="3344" width="13.5703125" style="203" customWidth="1"/>
    <col min="3345" max="3345" width="11.42578125" style="203" customWidth="1"/>
    <col min="3346" max="3347" width="12.42578125" style="203" customWidth="1"/>
    <col min="3348" max="3584" width="11.42578125" style="203"/>
    <col min="3585" max="3585" width="16.28515625" style="203" customWidth="1"/>
    <col min="3586" max="3589" width="11.42578125" style="203" customWidth="1"/>
    <col min="3590" max="3590" width="12" style="203" customWidth="1"/>
    <col min="3591" max="3592" width="11.42578125" style="203" customWidth="1"/>
    <col min="3593" max="3593" width="1.85546875" style="203" customWidth="1"/>
    <col min="3594" max="3594" width="12.140625" style="203" customWidth="1"/>
    <col min="3595" max="3595" width="12.7109375" style="203" customWidth="1"/>
    <col min="3596" max="3598" width="11.42578125" style="203" customWidth="1"/>
    <col min="3599" max="3599" width="1.85546875" style="203" customWidth="1"/>
    <col min="3600" max="3600" width="13.5703125" style="203" customWidth="1"/>
    <col min="3601" max="3601" width="11.42578125" style="203" customWidth="1"/>
    <col min="3602" max="3603" width="12.42578125" style="203" customWidth="1"/>
    <col min="3604" max="3840" width="11.42578125" style="203"/>
    <col min="3841" max="3841" width="16.28515625" style="203" customWidth="1"/>
    <col min="3842" max="3845" width="11.42578125" style="203" customWidth="1"/>
    <col min="3846" max="3846" width="12" style="203" customWidth="1"/>
    <col min="3847" max="3848" width="11.42578125" style="203" customWidth="1"/>
    <col min="3849" max="3849" width="1.85546875" style="203" customWidth="1"/>
    <col min="3850" max="3850" width="12.140625" style="203" customWidth="1"/>
    <col min="3851" max="3851" width="12.7109375" style="203" customWidth="1"/>
    <col min="3852" max="3854" width="11.42578125" style="203" customWidth="1"/>
    <col min="3855" max="3855" width="1.85546875" style="203" customWidth="1"/>
    <col min="3856" max="3856" width="13.5703125" style="203" customWidth="1"/>
    <col min="3857" max="3857" width="11.42578125" style="203" customWidth="1"/>
    <col min="3858" max="3859" width="12.42578125" style="203" customWidth="1"/>
    <col min="3860" max="4096" width="11.42578125" style="203"/>
    <col min="4097" max="4097" width="16.28515625" style="203" customWidth="1"/>
    <col min="4098" max="4101" width="11.42578125" style="203" customWidth="1"/>
    <col min="4102" max="4102" width="12" style="203" customWidth="1"/>
    <col min="4103" max="4104" width="11.42578125" style="203" customWidth="1"/>
    <col min="4105" max="4105" width="1.85546875" style="203" customWidth="1"/>
    <col min="4106" max="4106" width="12.140625" style="203" customWidth="1"/>
    <col min="4107" max="4107" width="12.7109375" style="203" customWidth="1"/>
    <col min="4108" max="4110" width="11.42578125" style="203" customWidth="1"/>
    <col min="4111" max="4111" width="1.85546875" style="203" customWidth="1"/>
    <col min="4112" max="4112" width="13.5703125" style="203" customWidth="1"/>
    <col min="4113" max="4113" width="11.42578125" style="203" customWidth="1"/>
    <col min="4114" max="4115" width="12.42578125" style="203" customWidth="1"/>
    <col min="4116" max="4352" width="11.42578125" style="203"/>
    <col min="4353" max="4353" width="16.28515625" style="203" customWidth="1"/>
    <col min="4354" max="4357" width="11.42578125" style="203" customWidth="1"/>
    <col min="4358" max="4358" width="12" style="203" customWidth="1"/>
    <col min="4359" max="4360" width="11.42578125" style="203" customWidth="1"/>
    <col min="4361" max="4361" width="1.85546875" style="203" customWidth="1"/>
    <col min="4362" max="4362" width="12.140625" style="203" customWidth="1"/>
    <col min="4363" max="4363" width="12.7109375" style="203" customWidth="1"/>
    <col min="4364" max="4366" width="11.42578125" style="203" customWidth="1"/>
    <col min="4367" max="4367" width="1.85546875" style="203" customWidth="1"/>
    <col min="4368" max="4368" width="13.5703125" style="203" customWidth="1"/>
    <col min="4369" max="4369" width="11.42578125" style="203" customWidth="1"/>
    <col min="4370" max="4371" width="12.42578125" style="203" customWidth="1"/>
    <col min="4372" max="4608" width="11.42578125" style="203"/>
    <col min="4609" max="4609" width="16.28515625" style="203" customWidth="1"/>
    <col min="4610" max="4613" width="11.42578125" style="203" customWidth="1"/>
    <col min="4614" max="4614" width="12" style="203" customWidth="1"/>
    <col min="4615" max="4616" width="11.42578125" style="203" customWidth="1"/>
    <col min="4617" max="4617" width="1.85546875" style="203" customWidth="1"/>
    <col min="4618" max="4618" width="12.140625" style="203" customWidth="1"/>
    <col min="4619" max="4619" width="12.7109375" style="203" customWidth="1"/>
    <col min="4620" max="4622" width="11.42578125" style="203" customWidth="1"/>
    <col min="4623" max="4623" width="1.85546875" style="203" customWidth="1"/>
    <col min="4624" max="4624" width="13.5703125" style="203" customWidth="1"/>
    <col min="4625" max="4625" width="11.42578125" style="203" customWidth="1"/>
    <col min="4626" max="4627" width="12.42578125" style="203" customWidth="1"/>
    <col min="4628" max="4864" width="11.42578125" style="203"/>
    <col min="4865" max="4865" width="16.28515625" style="203" customWidth="1"/>
    <col min="4866" max="4869" width="11.42578125" style="203" customWidth="1"/>
    <col min="4870" max="4870" width="12" style="203" customWidth="1"/>
    <col min="4871" max="4872" width="11.42578125" style="203" customWidth="1"/>
    <col min="4873" max="4873" width="1.85546875" style="203" customWidth="1"/>
    <col min="4874" max="4874" width="12.140625" style="203" customWidth="1"/>
    <col min="4875" max="4875" width="12.7109375" style="203" customWidth="1"/>
    <col min="4876" max="4878" width="11.42578125" style="203" customWidth="1"/>
    <col min="4879" max="4879" width="1.85546875" style="203" customWidth="1"/>
    <col min="4880" max="4880" width="13.5703125" style="203" customWidth="1"/>
    <col min="4881" max="4881" width="11.42578125" style="203" customWidth="1"/>
    <col min="4882" max="4883" width="12.42578125" style="203" customWidth="1"/>
    <col min="4884" max="5120" width="11.42578125" style="203"/>
    <col min="5121" max="5121" width="16.28515625" style="203" customWidth="1"/>
    <col min="5122" max="5125" width="11.42578125" style="203" customWidth="1"/>
    <col min="5126" max="5126" width="12" style="203" customWidth="1"/>
    <col min="5127" max="5128" width="11.42578125" style="203" customWidth="1"/>
    <col min="5129" max="5129" width="1.85546875" style="203" customWidth="1"/>
    <col min="5130" max="5130" width="12.140625" style="203" customWidth="1"/>
    <col min="5131" max="5131" width="12.7109375" style="203" customWidth="1"/>
    <col min="5132" max="5134" width="11.42578125" style="203" customWidth="1"/>
    <col min="5135" max="5135" width="1.85546875" style="203" customWidth="1"/>
    <col min="5136" max="5136" width="13.5703125" style="203" customWidth="1"/>
    <col min="5137" max="5137" width="11.42578125" style="203" customWidth="1"/>
    <col min="5138" max="5139" width="12.42578125" style="203" customWidth="1"/>
    <col min="5140" max="5376" width="11.42578125" style="203"/>
    <col min="5377" max="5377" width="16.28515625" style="203" customWidth="1"/>
    <col min="5378" max="5381" width="11.42578125" style="203" customWidth="1"/>
    <col min="5382" max="5382" width="12" style="203" customWidth="1"/>
    <col min="5383" max="5384" width="11.42578125" style="203" customWidth="1"/>
    <col min="5385" max="5385" width="1.85546875" style="203" customWidth="1"/>
    <col min="5386" max="5386" width="12.140625" style="203" customWidth="1"/>
    <col min="5387" max="5387" width="12.7109375" style="203" customWidth="1"/>
    <col min="5388" max="5390" width="11.42578125" style="203" customWidth="1"/>
    <col min="5391" max="5391" width="1.85546875" style="203" customWidth="1"/>
    <col min="5392" max="5392" width="13.5703125" style="203" customWidth="1"/>
    <col min="5393" max="5393" width="11.42578125" style="203" customWidth="1"/>
    <col min="5394" max="5395" width="12.42578125" style="203" customWidth="1"/>
    <col min="5396" max="5632" width="11.42578125" style="203"/>
    <col min="5633" max="5633" width="16.28515625" style="203" customWidth="1"/>
    <col min="5634" max="5637" width="11.42578125" style="203" customWidth="1"/>
    <col min="5638" max="5638" width="12" style="203" customWidth="1"/>
    <col min="5639" max="5640" width="11.42578125" style="203" customWidth="1"/>
    <col min="5641" max="5641" width="1.85546875" style="203" customWidth="1"/>
    <col min="5642" max="5642" width="12.140625" style="203" customWidth="1"/>
    <col min="5643" max="5643" width="12.7109375" style="203" customWidth="1"/>
    <col min="5644" max="5646" width="11.42578125" style="203" customWidth="1"/>
    <col min="5647" max="5647" width="1.85546875" style="203" customWidth="1"/>
    <col min="5648" max="5648" width="13.5703125" style="203" customWidth="1"/>
    <col min="5649" max="5649" width="11.42578125" style="203" customWidth="1"/>
    <col min="5650" max="5651" width="12.42578125" style="203" customWidth="1"/>
    <col min="5652" max="5888" width="11.42578125" style="203"/>
    <col min="5889" max="5889" width="16.28515625" style="203" customWidth="1"/>
    <col min="5890" max="5893" width="11.42578125" style="203" customWidth="1"/>
    <col min="5894" max="5894" width="12" style="203" customWidth="1"/>
    <col min="5895" max="5896" width="11.42578125" style="203" customWidth="1"/>
    <col min="5897" max="5897" width="1.85546875" style="203" customWidth="1"/>
    <col min="5898" max="5898" width="12.140625" style="203" customWidth="1"/>
    <col min="5899" max="5899" width="12.7109375" style="203" customWidth="1"/>
    <col min="5900" max="5902" width="11.42578125" style="203" customWidth="1"/>
    <col min="5903" max="5903" width="1.85546875" style="203" customWidth="1"/>
    <col min="5904" max="5904" width="13.5703125" style="203" customWidth="1"/>
    <col min="5905" max="5905" width="11.42578125" style="203" customWidth="1"/>
    <col min="5906" max="5907" width="12.42578125" style="203" customWidth="1"/>
    <col min="5908" max="6144" width="11.42578125" style="203"/>
    <col min="6145" max="6145" width="16.28515625" style="203" customWidth="1"/>
    <col min="6146" max="6149" width="11.42578125" style="203" customWidth="1"/>
    <col min="6150" max="6150" width="12" style="203" customWidth="1"/>
    <col min="6151" max="6152" width="11.42578125" style="203" customWidth="1"/>
    <col min="6153" max="6153" width="1.85546875" style="203" customWidth="1"/>
    <col min="6154" max="6154" width="12.140625" style="203" customWidth="1"/>
    <col min="6155" max="6155" width="12.7109375" style="203" customWidth="1"/>
    <col min="6156" max="6158" width="11.42578125" style="203" customWidth="1"/>
    <col min="6159" max="6159" width="1.85546875" style="203" customWidth="1"/>
    <col min="6160" max="6160" width="13.5703125" style="203" customWidth="1"/>
    <col min="6161" max="6161" width="11.42578125" style="203" customWidth="1"/>
    <col min="6162" max="6163" width="12.42578125" style="203" customWidth="1"/>
    <col min="6164" max="6400" width="11.42578125" style="203"/>
    <col min="6401" max="6401" width="16.28515625" style="203" customWidth="1"/>
    <col min="6402" max="6405" width="11.42578125" style="203" customWidth="1"/>
    <col min="6406" max="6406" width="12" style="203" customWidth="1"/>
    <col min="6407" max="6408" width="11.42578125" style="203" customWidth="1"/>
    <col min="6409" max="6409" width="1.85546875" style="203" customWidth="1"/>
    <col min="6410" max="6410" width="12.140625" style="203" customWidth="1"/>
    <col min="6411" max="6411" width="12.7109375" style="203" customWidth="1"/>
    <col min="6412" max="6414" width="11.42578125" style="203" customWidth="1"/>
    <col min="6415" max="6415" width="1.85546875" style="203" customWidth="1"/>
    <col min="6416" max="6416" width="13.5703125" style="203" customWidth="1"/>
    <col min="6417" max="6417" width="11.42578125" style="203" customWidth="1"/>
    <col min="6418" max="6419" width="12.42578125" style="203" customWidth="1"/>
    <col min="6420" max="6656" width="11.42578125" style="203"/>
    <col min="6657" max="6657" width="16.28515625" style="203" customWidth="1"/>
    <col min="6658" max="6661" width="11.42578125" style="203" customWidth="1"/>
    <col min="6662" max="6662" width="12" style="203" customWidth="1"/>
    <col min="6663" max="6664" width="11.42578125" style="203" customWidth="1"/>
    <col min="6665" max="6665" width="1.85546875" style="203" customWidth="1"/>
    <col min="6666" max="6666" width="12.140625" style="203" customWidth="1"/>
    <col min="6667" max="6667" width="12.7109375" style="203" customWidth="1"/>
    <col min="6668" max="6670" width="11.42578125" style="203" customWidth="1"/>
    <col min="6671" max="6671" width="1.85546875" style="203" customWidth="1"/>
    <col min="6672" max="6672" width="13.5703125" style="203" customWidth="1"/>
    <col min="6673" max="6673" width="11.42578125" style="203" customWidth="1"/>
    <col min="6674" max="6675" width="12.42578125" style="203" customWidth="1"/>
    <col min="6676" max="6912" width="11.42578125" style="203"/>
    <col min="6913" max="6913" width="16.28515625" style="203" customWidth="1"/>
    <col min="6914" max="6917" width="11.42578125" style="203" customWidth="1"/>
    <col min="6918" max="6918" width="12" style="203" customWidth="1"/>
    <col min="6919" max="6920" width="11.42578125" style="203" customWidth="1"/>
    <col min="6921" max="6921" width="1.85546875" style="203" customWidth="1"/>
    <col min="6922" max="6922" width="12.140625" style="203" customWidth="1"/>
    <col min="6923" max="6923" width="12.7109375" style="203" customWidth="1"/>
    <col min="6924" max="6926" width="11.42578125" style="203" customWidth="1"/>
    <col min="6927" max="6927" width="1.85546875" style="203" customWidth="1"/>
    <col min="6928" max="6928" width="13.5703125" style="203" customWidth="1"/>
    <col min="6929" max="6929" width="11.42578125" style="203" customWidth="1"/>
    <col min="6930" max="6931" width="12.42578125" style="203" customWidth="1"/>
    <col min="6932" max="7168" width="11.42578125" style="203"/>
    <col min="7169" max="7169" width="16.28515625" style="203" customWidth="1"/>
    <col min="7170" max="7173" width="11.42578125" style="203" customWidth="1"/>
    <col min="7174" max="7174" width="12" style="203" customWidth="1"/>
    <col min="7175" max="7176" width="11.42578125" style="203" customWidth="1"/>
    <col min="7177" max="7177" width="1.85546875" style="203" customWidth="1"/>
    <col min="7178" max="7178" width="12.140625" style="203" customWidth="1"/>
    <col min="7179" max="7179" width="12.7109375" style="203" customWidth="1"/>
    <col min="7180" max="7182" width="11.42578125" style="203" customWidth="1"/>
    <col min="7183" max="7183" width="1.85546875" style="203" customWidth="1"/>
    <col min="7184" max="7184" width="13.5703125" style="203" customWidth="1"/>
    <col min="7185" max="7185" width="11.42578125" style="203" customWidth="1"/>
    <col min="7186" max="7187" width="12.42578125" style="203" customWidth="1"/>
    <col min="7188" max="7424" width="11.42578125" style="203"/>
    <col min="7425" max="7425" width="16.28515625" style="203" customWidth="1"/>
    <col min="7426" max="7429" width="11.42578125" style="203" customWidth="1"/>
    <col min="7430" max="7430" width="12" style="203" customWidth="1"/>
    <col min="7431" max="7432" width="11.42578125" style="203" customWidth="1"/>
    <col min="7433" max="7433" width="1.85546875" style="203" customWidth="1"/>
    <col min="7434" max="7434" width="12.140625" style="203" customWidth="1"/>
    <col min="7435" max="7435" width="12.7109375" style="203" customWidth="1"/>
    <col min="7436" max="7438" width="11.42578125" style="203" customWidth="1"/>
    <col min="7439" max="7439" width="1.85546875" style="203" customWidth="1"/>
    <col min="7440" max="7440" width="13.5703125" style="203" customWidth="1"/>
    <col min="7441" max="7441" width="11.42578125" style="203" customWidth="1"/>
    <col min="7442" max="7443" width="12.42578125" style="203" customWidth="1"/>
    <col min="7444" max="7680" width="11.42578125" style="203"/>
    <col min="7681" max="7681" width="16.28515625" style="203" customWidth="1"/>
    <col min="7682" max="7685" width="11.42578125" style="203" customWidth="1"/>
    <col min="7686" max="7686" width="12" style="203" customWidth="1"/>
    <col min="7687" max="7688" width="11.42578125" style="203" customWidth="1"/>
    <col min="7689" max="7689" width="1.85546875" style="203" customWidth="1"/>
    <col min="7690" max="7690" width="12.140625" style="203" customWidth="1"/>
    <col min="7691" max="7691" width="12.7109375" style="203" customWidth="1"/>
    <col min="7692" max="7694" width="11.42578125" style="203" customWidth="1"/>
    <col min="7695" max="7695" width="1.85546875" style="203" customWidth="1"/>
    <col min="7696" max="7696" width="13.5703125" style="203" customWidth="1"/>
    <col min="7697" max="7697" width="11.42578125" style="203" customWidth="1"/>
    <col min="7698" max="7699" width="12.42578125" style="203" customWidth="1"/>
    <col min="7700" max="7936" width="11.42578125" style="203"/>
    <col min="7937" max="7937" width="16.28515625" style="203" customWidth="1"/>
    <col min="7938" max="7941" width="11.42578125" style="203" customWidth="1"/>
    <col min="7942" max="7942" width="12" style="203" customWidth="1"/>
    <col min="7943" max="7944" width="11.42578125" style="203" customWidth="1"/>
    <col min="7945" max="7945" width="1.85546875" style="203" customWidth="1"/>
    <col min="7946" max="7946" width="12.140625" style="203" customWidth="1"/>
    <col min="7947" max="7947" width="12.7109375" style="203" customWidth="1"/>
    <col min="7948" max="7950" width="11.42578125" style="203" customWidth="1"/>
    <col min="7951" max="7951" width="1.85546875" style="203" customWidth="1"/>
    <col min="7952" max="7952" width="13.5703125" style="203" customWidth="1"/>
    <col min="7953" max="7953" width="11.42578125" style="203" customWidth="1"/>
    <col min="7954" max="7955" width="12.42578125" style="203" customWidth="1"/>
    <col min="7956" max="8192" width="11.42578125" style="203"/>
    <col min="8193" max="8193" width="16.28515625" style="203" customWidth="1"/>
    <col min="8194" max="8197" width="11.42578125" style="203" customWidth="1"/>
    <col min="8198" max="8198" width="12" style="203" customWidth="1"/>
    <col min="8199" max="8200" width="11.42578125" style="203" customWidth="1"/>
    <col min="8201" max="8201" width="1.85546875" style="203" customWidth="1"/>
    <col min="8202" max="8202" width="12.140625" style="203" customWidth="1"/>
    <col min="8203" max="8203" width="12.7109375" style="203" customWidth="1"/>
    <col min="8204" max="8206" width="11.42578125" style="203" customWidth="1"/>
    <col min="8207" max="8207" width="1.85546875" style="203" customWidth="1"/>
    <col min="8208" max="8208" width="13.5703125" style="203" customWidth="1"/>
    <col min="8209" max="8209" width="11.42578125" style="203" customWidth="1"/>
    <col min="8210" max="8211" width="12.42578125" style="203" customWidth="1"/>
    <col min="8212" max="8448" width="11.42578125" style="203"/>
    <col min="8449" max="8449" width="16.28515625" style="203" customWidth="1"/>
    <col min="8450" max="8453" width="11.42578125" style="203" customWidth="1"/>
    <col min="8454" max="8454" width="12" style="203" customWidth="1"/>
    <col min="8455" max="8456" width="11.42578125" style="203" customWidth="1"/>
    <col min="8457" max="8457" width="1.85546875" style="203" customWidth="1"/>
    <col min="8458" max="8458" width="12.140625" style="203" customWidth="1"/>
    <col min="8459" max="8459" width="12.7109375" style="203" customWidth="1"/>
    <col min="8460" max="8462" width="11.42578125" style="203" customWidth="1"/>
    <col min="8463" max="8463" width="1.85546875" style="203" customWidth="1"/>
    <col min="8464" max="8464" width="13.5703125" style="203" customWidth="1"/>
    <col min="8465" max="8465" width="11.42578125" style="203" customWidth="1"/>
    <col min="8466" max="8467" width="12.42578125" style="203" customWidth="1"/>
    <col min="8468" max="8704" width="11.42578125" style="203"/>
    <col min="8705" max="8705" width="16.28515625" style="203" customWidth="1"/>
    <col min="8706" max="8709" width="11.42578125" style="203" customWidth="1"/>
    <col min="8710" max="8710" width="12" style="203" customWidth="1"/>
    <col min="8711" max="8712" width="11.42578125" style="203" customWidth="1"/>
    <col min="8713" max="8713" width="1.85546875" style="203" customWidth="1"/>
    <col min="8714" max="8714" width="12.140625" style="203" customWidth="1"/>
    <col min="8715" max="8715" width="12.7109375" style="203" customWidth="1"/>
    <col min="8716" max="8718" width="11.42578125" style="203" customWidth="1"/>
    <col min="8719" max="8719" width="1.85546875" style="203" customWidth="1"/>
    <col min="8720" max="8720" width="13.5703125" style="203" customWidth="1"/>
    <col min="8721" max="8721" width="11.42578125" style="203" customWidth="1"/>
    <col min="8722" max="8723" width="12.42578125" style="203" customWidth="1"/>
    <col min="8724" max="8960" width="11.42578125" style="203"/>
    <col min="8961" max="8961" width="16.28515625" style="203" customWidth="1"/>
    <col min="8962" max="8965" width="11.42578125" style="203" customWidth="1"/>
    <col min="8966" max="8966" width="12" style="203" customWidth="1"/>
    <col min="8967" max="8968" width="11.42578125" style="203" customWidth="1"/>
    <col min="8969" max="8969" width="1.85546875" style="203" customWidth="1"/>
    <col min="8970" max="8970" width="12.140625" style="203" customWidth="1"/>
    <col min="8971" max="8971" width="12.7109375" style="203" customWidth="1"/>
    <col min="8972" max="8974" width="11.42578125" style="203" customWidth="1"/>
    <col min="8975" max="8975" width="1.85546875" style="203" customWidth="1"/>
    <col min="8976" max="8976" width="13.5703125" style="203" customWidth="1"/>
    <col min="8977" max="8977" width="11.42578125" style="203" customWidth="1"/>
    <col min="8978" max="8979" width="12.42578125" style="203" customWidth="1"/>
    <col min="8980" max="9216" width="11.42578125" style="203"/>
    <col min="9217" max="9217" width="16.28515625" style="203" customWidth="1"/>
    <col min="9218" max="9221" width="11.42578125" style="203" customWidth="1"/>
    <col min="9222" max="9222" width="12" style="203" customWidth="1"/>
    <col min="9223" max="9224" width="11.42578125" style="203" customWidth="1"/>
    <col min="9225" max="9225" width="1.85546875" style="203" customWidth="1"/>
    <col min="9226" max="9226" width="12.140625" style="203" customWidth="1"/>
    <col min="9227" max="9227" width="12.7109375" style="203" customWidth="1"/>
    <col min="9228" max="9230" width="11.42578125" style="203" customWidth="1"/>
    <col min="9231" max="9231" width="1.85546875" style="203" customWidth="1"/>
    <col min="9232" max="9232" width="13.5703125" style="203" customWidth="1"/>
    <col min="9233" max="9233" width="11.42578125" style="203" customWidth="1"/>
    <col min="9234" max="9235" width="12.42578125" style="203" customWidth="1"/>
    <col min="9236" max="9472" width="11.42578125" style="203"/>
    <col min="9473" max="9473" width="16.28515625" style="203" customWidth="1"/>
    <col min="9474" max="9477" width="11.42578125" style="203" customWidth="1"/>
    <col min="9478" max="9478" width="12" style="203" customWidth="1"/>
    <col min="9479" max="9480" width="11.42578125" style="203" customWidth="1"/>
    <col min="9481" max="9481" width="1.85546875" style="203" customWidth="1"/>
    <col min="9482" max="9482" width="12.140625" style="203" customWidth="1"/>
    <col min="9483" max="9483" width="12.7109375" style="203" customWidth="1"/>
    <col min="9484" max="9486" width="11.42578125" style="203" customWidth="1"/>
    <col min="9487" max="9487" width="1.85546875" style="203" customWidth="1"/>
    <col min="9488" max="9488" width="13.5703125" style="203" customWidth="1"/>
    <col min="9489" max="9489" width="11.42578125" style="203" customWidth="1"/>
    <col min="9490" max="9491" width="12.42578125" style="203" customWidth="1"/>
    <col min="9492" max="9728" width="11.42578125" style="203"/>
    <col min="9729" max="9729" width="16.28515625" style="203" customWidth="1"/>
    <col min="9730" max="9733" width="11.42578125" style="203" customWidth="1"/>
    <col min="9734" max="9734" width="12" style="203" customWidth="1"/>
    <col min="9735" max="9736" width="11.42578125" style="203" customWidth="1"/>
    <col min="9737" max="9737" width="1.85546875" style="203" customWidth="1"/>
    <col min="9738" max="9738" width="12.140625" style="203" customWidth="1"/>
    <col min="9739" max="9739" width="12.7109375" style="203" customWidth="1"/>
    <col min="9740" max="9742" width="11.42578125" style="203" customWidth="1"/>
    <col min="9743" max="9743" width="1.85546875" style="203" customWidth="1"/>
    <col min="9744" max="9744" width="13.5703125" style="203" customWidth="1"/>
    <col min="9745" max="9745" width="11.42578125" style="203" customWidth="1"/>
    <col min="9746" max="9747" width="12.42578125" style="203" customWidth="1"/>
    <col min="9748" max="9984" width="11.42578125" style="203"/>
    <col min="9985" max="9985" width="16.28515625" style="203" customWidth="1"/>
    <col min="9986" max="9989" width="11.42578125" style="203" customWidth="1"/>
    <col min="9990" max="9990" width="12" style="203" customWidth="1"/>
    <col min="9991" max="9992" width="11.42578125" style="203" customWidth="1"/>
    <col min="9993" max="9993" width="1.85546875" style="203" customWidth="1"/>
    <col min="9994" max="9994" width="12.140625" style="203" customWidth="1"/>
    <col min="9995" max="9995" width="12.7109375" style="203" customWidth="1"/>
    <col min="9996" max="9998" width="11.42578125" style="203" customWidth="1"/>
    <col min="9999" max="9999" width="1.85546875" style="203" customWidth="1"/>
    <col min="10000" max="10000" width="13.5703125" style="203" customWidth="1"/>
    <col min="10001" max="10001" width="11.42578125" style="203" customWidth="1"/>
    <col min="10002" max="10003" width="12.42578125" style="203" customWidth="1"/>
    <col min="10004" max="10240" width="11.42578125" style="203"/>
    <col min="10241" max="10241" width="16.28515625" style="203" customWidth="1"/>
    <col min="10242" max="10245" width="11.42578125" style="203" customWidth="1"/>
    <col min="10246" max="10246" width="12" style="203" customWidth="1"/>
    <col min="10247" max="10248" width="11.42578125" style="203" customWidth="1"/>
    <col min="10249" max="10249" width="1.85546875" style="203" customWidth="1"/>
    <col min="10250" max="10250" width="12.140625" style="203" customWidth="1"/>
    <col min="10251" max="10251" width="12.7109375" style="203" customWidth="1"/>
    <col min="10252" max="10254" width="11.42578125" style="203" customWidth="1"/>
    <col min="10255" max="10255" width="1.85546875" style="203" customWidth="1"/>
    <col min="10256" max="10256" width="13.5703125" style="203" customWidth="1"/>
    <col min="10257" max="10257" width="11.42578125" style="203" customWidth="1"/>
    <col min="10258" max="10259" width="12.42578125" style="203" customWidth="1"/>
    <col min="10260" max="10496" width="11.42578125" style="203"/>
    <col min="10497" max="10497" width="16.28515625" style="203" customWidth="1"/>
    <col min="10498" max="10501" width="11.42578125" style="203" customWidth="1"/>
    <col min="10502" max="10502" width="12" style="203" customWidth="1"/>
    <col min="10503" max="10504" width="11.42578125" style="203" customWidth="1"/>
    <col min="10505" max="10505" width="1.85546875" style="203" customWidth="1"/>
    <col min="10506" max="10506" width="12.140625" style="203" customWidth="1"/>
    <col min="10507" max="10507" width="12.7109375" style="203" customWidth="1"/>
    <col min="10508" max="10510" width="11.42578125" style="203" customWidth="1"/>
    <col min="10511" max="10511" width="1.85546875" style="203" customWidth="1"/>
    <col min="10512" max="10512" width="13.5703125" style="203" customWidth="1"/>
    <col min="10513" max="10513" width="11.42578125" style="203" customWidth="1"/>
    <col min="10514" max="10515" width="12.42578125" style="203" customWidth="1"/>
    <col min="10516" max="10752" width="11.42578125" style="203"/>
    <col min="10753" max="10753" width="16.28515625" style="203" customWidth="1"/>
    <col min="10754" max="10757" width="11.42578125" style="203" customWidth="1"/>
    <col min="10758" max="10758" width="12" style="203" customWidth="1"/>
    <col min="10759" max="10760" width="11.42578125" style="203" customWidth="1"/>
    <col min="10761" max="10761" width="1.85546875" style="203" customWidth="1"/>
    <col min="10762" max="10762" width="12.140625" style="203" customWidth="1"/>
    <col min="10763" max="10763" width="12.7109375" style="203" customWidth="1"/>
    <col min="10764" max="10766" width="11.42578125" style="203" customWidth="1"/>
    <col min="10767" max="10767" width="1.85546875" style="203" customWidth="1"/>
    <col min="10768" max="10768" width="13.5703125" style="203" customWidth="1"/>
    <col min="10769" max="10769" width="11.42578125" style="203" customWidth="1"/>
    <col min="10770" max="10771" width="12.42578125" style="203" customWidth="1"/>
    <col min="10772" max="11008" width="11.42578125" style="203"/>
    <col min="11009" max="11009" width="16.28515625" style="203" customWidth="1"/>
    <col min="11010" max="11013" width="11.42578125" style="203" customWidth="1"/>
    <col min="11014" max="11014" width="12" style="203" customWidth="1"/>
    <col min="11015" max="11016" width="11.42578125" style="203" customWidth="1"/>
    <col min="11017" max="11017" width="1.85546875" style="203" customWidth="1"/>
    <col min="11018" max="11018" width="12.140625" style="203" customWidth="1"/>
    <col min="11019" max="11019" width="12.7109375" style="203" customWidth="1"/>
    <col min="11020" max="11022" width="11.42578125" style="203" customWidth="1"/>
    <col min="11023" max="11023" width="1.85546875" style="203" customWidth="1"/>
    <col min="11024" max="11024" width="13.5703125" style="203" customWidth="1"/>
    <col min="11025" max="11025" width="11.42578125" style="203" customWidth="1"/>
    <col min="11026" max="11027" width="12.42578125" style="203" customWidth="1"/>
    <col min="11028" max="11264" width="11.42578125" style="203"/>
    <col min="11265" max="11265" width="16.28515625" style="203" customWidth="1"/>
    <col min="11266" max="11269" width="11.42578125" style="203" customWidth="1"/>
    <col min="11270" max="11270" width="12" style="203" customWidth="1"/>
    <col min="11271" max="11272" width="11.42578125" style="203" customWidth="1"/>
    <col min="11273" max="11273" width="1.85546875" style="203" customWidth="1"/>
    <col min="11274" max="11274" width="12.140625" style="203" customWidth="1"/>
    <col min="11275" max="11275" width="12.7109375" style="203" customWidth="1"/>
    <col min="11276" max="11278" width="11.42578125" style="203" customWidth="1"/>
    <col min="11279" max="11279" width="1.85546875" style="203" customWidth="1"/>
    <col min="11280" max="11280" width="13.5703125" style="203" customWidth="1"/>
    <col min="11281" max="11281" width="11.42578125" style="203" customWidth="1"/>
    <col min="11282" max="11283" width="12.42578125" style="203" customWidth="1"/>
    <col min="11284" max="11520" width="11.42578125" style="203"/>
    <col min="11521" max="11521" width="16.28515625" style="203" customWidth="1"/>
    <col min="11522" max="11525" width="11.42578125" style="203" customWidth="1"/>
    <col min="11526" max="11526" width="12" style="203" customWidth="1"/>
    <col min="11527" max="11528" width="11.42578125" style="203" customWidth="1"/>
    <col min="11529" max="11529" width="1.85546875" style="203" customWidth="1"/>
    <col min="11530" max="11530" width="12.140625" style="203" customWidth="1"/>
    <col min="11531" max="11531" width="12.7109375" style="203" customWidth="1"/>
    <col min="11532" max="11534" width="11.42578125" style="203" customWidth="1"/>
    <col min="11535" max="11535" width="1.85546875" style="203" customWidth="1"/>
    <col min="11536" max="11536" width="13.5703125" style="203" customWidth="1"/>
    <col min="11537" max="11537" width="11.42578125" style="203" customWidth="1"/>
    <col min="11538" max="11539" width="12.42578125" style="203" customWidth="1"/>
    <col min="11540" max="11776" width="11.42578125" style="203"/>
    <col min="11777" max="11777" width="16.28515625" style="203" customWidth="1"/>
    <col min="11778" max="11781" width="11.42578125" style="203" customWidth="1"/>
    <col min="11782" max="11782" width="12" style="203" customWidth="1"/>
    <col min="11783" max="11784" width="11.42578125" style="203" customWidth="1"/>
    <col min="11785" max="11785" width="1.85546875" style="203" customWidth="1"/>
    <col min="11786" max="11786" width="12.140625" style="203" customWidth="1"/>
    <col min="11787" max="11787" width="12.7109375" style="203" customWidth="1"/>
    <col min="11788" max="11790" width="11.42578125" style="203" customWidth="1"/>
    <col min="11791" max="11791" width="1.85546875" style="203" customWidth="1"/>
    <col min="11792" max="11792" width="13.5703125" style="203" customWidth="1"/>
    <col min="11793" max="11793" width="11.42578125" style="203" customWidth="1"/>
    <col min="11794" max="11795" width="12.42578125" style="203" customWidth="1"/>
    <col min="11796" max="12032" width="11.42578125" style="203"/>
    <col min="12033" max="12033" width="16.28515625" style="203" customWidth="1"/>
    <col min="12034" max="12037" width="11.42578125" style="203" customWidth="1"/>
    <col min="12038" max="12038" width="12" style="203" customWidth="1"/>
    <col min="12039" max="12040" width="11.42578125" style="203" customWidth="1"/>
    <col min="12041" max="12041" width="1.85546875" style="203" customWidth="1"/>
    <col min="12042" max="12042" width="12.140625" style="203" customWidth="1"/>
    <col min="12043" max="12043" width="12.7109375" style="203" customWidth="1"/>
    <col min="12044" max="12046" width="11.42578125" style="203" customWidth="1"/>
    <col min="12047" max="12047" width="1.85546875" style="203" customWidth="1"/>
    <col min="12048" max="12048" width="13.5703125" style="203" customWidth="1"/>
    <col min="12049" max="12049" width="11.42578125" style="203" customWidth="1"/>
    <col min="12050" max="12051" width="12.42578125" style="203" customWidth="1"/>
    <col min="12052" max="12288" width="11.42578125" style="203"/>
    <col min="12289" max="12289" width="16.28515625" style="203" customWidth="1"/>
    <col min="12290" max="12293" width="11.42578125" style="203" customWidth="1"/>
    <col min="12294" max="12294" width="12" style="203" customWidth="1"/>
    <col min="12295" max="12296" width="11.42578125" style="203" customWidth="1"/>
    <col min="12297" max="12297" width="1.85546875" style="203" customWidth="1"/>
    <col min="12298" max="12298" width="12.140625" style="203" customWidth="1"/>
    <col min="12299" max="12299" width="12.7109375" style="203" customWidth="1"/>
    <col min="12300" max="12302" width="11.42578125" style="203" customWidth="1"/>
    <col min="12303" max="12303" width="1.85546875" style="203" customWidth="1"/>
    <col min="12304" max="12304" width="13.5703125" style="203" customWidth="1"/>
    <col min="12305" max="12305" width="11.42578125" style="203" customWidth="1"/>
    <col min="12306" max="12307" width="12.42578125" style="203" customWidth="1"/>
    <col min="12308" max="12544" width="11.42578125" style="203"/>
    <col min="12545" max="12545" width="16.28515625" style="203" customWidth="1"/>
    <col min="12546" max="12549" width="11.42578125" style="203" customWidth="1"/>
    <col min="12550" max="12550" width="12" style="203" customWidth="1"/>
    <col min="12551" max="12552" width="11.42578125" style="203" customWidth="1"/>
    <col min="12553" max="12553" width="1.85546875" style="203" customWidth="1"/>
    <col min="12554" max="12554" width="12.140625" style="203" customWidth="1"/>
    <col min="12555" max="12555" width="12.7109375" style="203" customWidth="1"/>
    <col min="12556" max="12558" width="11.42578125" style="203" customWidth="1"/>
    <col min="12559" max="12559" width="1.85546875" style="203" customWidth="1"/>
    <col min="12560" max="12560" width="13.5703125" style="203" customWidth="1"/>
    <col min="12561" max="12561" width="11.42578125" style="203" customWidth="1"/>
    <col min="12562" max="12563" width="12.42578125" style="203" customWidth="1"/>
    <col min="12564" max="12800" width="11.42578125" style="203"/>
    <col min="12801" max="12801" width="16.28515625" style="203" customWidth="1"/>
    <col min="12802" max="12805" width="11.42578125" style="203" customWidth="1"/>
    <col min="12806" max="12806" width="12" style="203" customWidth="1"/>
    <col min="12807" max="12808" width="11.42578125" style="203" customWidth="1"/>
    <col min="12809" max="12809" width="1.85546875" style="203" customWidth="1"/>
    <col min="12810" max="12810" width="12.140625" style="203" customWidth="1"/>
    <col min="12811" max="12811" width="12.7109375" style="203" customWidth="1"/>
    <col min="12812" max="12814" width="11.42578125" style="203" customWidth="1"/>
    <col min="12815" max="12815" width="1.85546875" style="203" customWidth="1"/>
    <col min="12816" max="12816" width="13.5703125" style="203" customWidth="1"/>
    <col min="12817" max="12817" width="11.42578125" style="203" customWidth="1"/>
    <col min="12818" max="12819" width="12.42578125" style="203" customWidth="1"/>
    <col min="12820" max="13056" width="11.42578125" style="203"/>
    <col min="13057" max="13057" width="16.28515625" style="203" customWidth="1"/>
    <col min="13058" max="13061" width="11.42578125" style="203" customWidth="1"/>
    <col min="13062" max="13062" width="12" style="203" customWidth="1"/>
    <col min="13063" max="13064" width="11.42578125" style="203" customWidth="1"/>
    <col min="13065" max="13065" width="1.85546875" style="203" customWidth="1"/>
    <col min="13066" max="13066" width="12.140625" style="203" customWidth="1"/>
    <col min="13067" max="13067" width="12.7109375" style="203" customWidth="1"/>
    <col min="13068" max="13070" width="11.42578125" style="203" customWidth="1"/>
    <col min="13071" max="13071" width="1.85546875" style="203" customWidth="1"/>
    <col min="13072" max="13072" width="13.5703125" style="203" customWidth="1"/>
    <col min="13073" max="13073" width="11.42578125" style="203" customWidth="1"/>
    <col min="13074" max="13075" width="12.42578125" style="203" customWidth="1"/>
    <col min="13076" max="13312" width="11.42578125" style="203"/>
    <col min="13313" max="13313" width="16.28515625" style="203" customWidth="1"/>
    <col min="13314" max="13317" width="11.42578125" style="203" customWidth="1"/>
    <col min="13318" max="13318" width="12" style="203" customWidth="1"/>
    <col min="13319" max="13320" width="11.42578125" style="203" customWidth="1"/>
    <col min="13321" max="13321" width="1.85546875" style="203" customWidth="1"/>
    <col min="13322" max="13322" width="12.140625" style="203" customWidth="1"/>
    <col min="13323" max="13323" width="12.7109375" style="203" customWidth="1"/>
    <col min="13324" max="13326" width="11.42578125" style="203" customWidth="1"/>
    <col min="13327" max="13327" width="1.85546875" style="203" customWidth="1"/>
    <col min="13328" max="13328" width="13.5703125" style="203" customWidth="1"/>
    <col min="13329" max="13329" width="11.42578125" style="203" customWidth="1"/>
    <col min="13330" max="13331" width="12.42578125" style="203" customWidth="1"/>
    <col min="13332" max="13568" width="11.42578125" style="203"/>
    <col min="13569" max="13569" width="16.28515625" style="203" customWidth="1"/>
    <col min="13570" max="13573" width="11.42578125" style="203" customWidth="1"/>
    <col min="13574" max="13574" width="12" style="203" customWidth="1"/>
    <col min="13575" max="13576" width="11.42578125" style="203" customWidth="1"/>
    <col min="13577" max="13577" width="1.85546875" style="203" customWidth="1"/>
    <col min="13578" max="13578" width="12.140625" style="203" customWidth="1"/>
    <col min="13579" max="13579" width="12.7109375" style="203" customWidth="1"/>
    <col min="13580" max="13582" width="11.42578125" style="203" customWidth="1"/>
    <col min="13583" max="13583" width="1.85546875" style="203" customWidth="1"/>
    <col min="13584" max="13584" width="13.5703125" style="203" customWidth="1"/>
    <col min="13585" max="13585" width="11.42578125" style="203" customWidth="1"/>
    <col min="13586" max="13587" width="12.42578125" style="203" customWidth="1"/>
    <col min="13588" max="13824" width="11.42578125" style="203"/>
    <col min="13825" max="13825" width="16.28515625" style="203" customWidth="1"/>
    <col min="13826" max="13829" width="11.42578125" style="203" customWidth="1"/>
    <col min="13830" max="13830" width="12" style="203" customWidth="1"/>
    <col min="13831" max="13832" width="11.42578125" style="203" customWidth="1"/>
    <col min="13833" max="13833" width="1.85546875" style="203" customWidth="1"/>
    <col min="13834" max="13834" width="12.140625" style="203" customWidth="1"/>
    <col min="13835" max="13835" width="12.7109375" style="203" customWidth="1"/>
    <col min="13836" max="13838" width="11.42578125" style="203" customWidth="1"/>
    <col min="13839" max="13839" width="1.85546875" style="203" customWidth="1"/>
    <col min="13840" max="13840" width="13.5703125" style="203" customWidth="1"/>
    <col min="13841" max="13841" width="11.42578125" style="203" customWidth="1"/>
    <col min="13842" max="13843" width="12.42578125" style="203" customWidth="1"/>
    <col min="13844" max="14080" width="11.42578125" style="203"/>
    <col min="14081" max="14081" width="16.28515625" style="203" customWidth="1"/>
    <col min="14082" max="14085" width="11.42578125" style="203" customWidth="1"/>
    <col min="14086" max="14086" width="12" style="203" customWidth="1"/>
    <col min="14087" max="14088" width="11.42578125" style="203" customWidth="1"/>
    <col min="14089" max="14089" width="1.85546875" style="203" customWidth="1"/>
    <col min="14090" max="14090" width="12.140625" style="203" customWidth="1"/>
    <col min="14091" max="14091" width="12.7109375" style="203" customWidth="1"/>
    <col min="14092" max="14094" width="11.42578125" style="203" customWidth="1"/>
    <col min="14095" max="14095" width="1.85546875" style="203" customWidth="1"/>
    <col min="14096" max="14096" width="13.5703125" style="203" customWidth="1"/>
    <col min="14097" max="14097" width="11.42578125" style="203" customWidth="1"/>
    <col min="14098" max="14099" width="12.42578125" style="203" customWidth="1"/>
    <col min="14100" max="14336" width="11.42578125" style="203"/>
    <col min="14337" max="14337" width="16.28515625" style="203" customWidth="1"/>
    <col min="14338" max="14341" width="11.42578125" style="203" customWidth="1"/>
    <col min="14342" max="14342" width="12" style="203" customWidth="1"/>
    <col min="14343" max="14344" width="11.42578125" style="203" customWidth="1"/>
    <col min="14345" max="14345" width="1.85546875" style="203" customWidth="1"/>
    <col min="14346" max="14346" width="12.140625" style="203" customWidth="1"/>
    <col min="14347" max="14347" width="12.7109375" style="203" customWidth="1"/>
    <col min="14348" max="14350" width="11.42578125" style="203" customWidth="1"/>
    <col min="14351" max="14351" width="1.85546875" style="203" customWidth="1"/>
    <col min="14352" max="14352" width="13.5703125" style="203" customWidth="1"/>
    <col min="14353" max="14353" width="11.42578125" style="203" customWidth="1"/>
    <col min="14354" max="14355" width="12.42578125" style="203" customWidth="1"/>
    <col min="14356" max="14592" width="11.42578125" style="203"/>
    <col min="14593" max="14593" width="16.28515625" style="203" customWidth="1"/>
    <col min="14594" max="14597" width="11.42578125" style="203" customWidth="1"/>
    <col min="14598" max="14598" width="12" style="203" customWidth="1"/>
    <col min="14599" max="14600" width="11.42578125" style="203" customWidth="1"/>
    <col min="14601" max="14601" width="1.85546875" style="203" customWidth="1"/>
    <col min="14602" max="14602" width="12.140625" style="203" customWidth="1"/>
    <col min="14603" max="14603" width="12.7109375" style="203" customWidth="1"/>
    <col min="14604" max="14606" width="11.42578125" style="203" customWidth="1"/>
    <col min="14607" max="14607" width="1.85546875" style="203" customWidth="1"/>
    <col min="14608" max="14608" width="13.5703125" style="203" customWidth="1"/>
    <col min="14609" max="14609" width="11.42578125" style="203" customWidth="1"/>
    <col min="14610" max="14611" width="12.42578125" style="203" customWidth="1"/>
    <col min="14612" max="14848" width="11.42578125" style="203"/>
    <col min="14849" max="14849" width="16.28515625" style="203" customWidth="1"/>
    <col min="14850" max="14853" width="11.42578125" style="203" customWidth="1"/>
    <col min="14854" max="14854" width="12" style="203" customWidth="1"/>
    <col min="14855" max="14856" width="11.42578125" style="203" customWidth="1"/>
    <col min="14857" max="14857" width="1.85546875" style="203" customWidth="1"/>
    <col min="14858" max="14858" width="12.140625" style="203" customWidth="1"/>
    <col min="14859" max="14859" width="12.7109375" style="203" customWidth="1"/>
    <col min="14860" max="14862" width="11.42578125" style="203" customWidth="1"/>
    <col min="14863" max="14863" width="1.85546875" style="203" customWidth="1"/>
    <col min="14864" max="14864" width="13.5703125" style="203" customWidth="1"/>
    <col min="14865" max="14865" width="11.42578125" style="203" customWidth="1"/>
    <col min="14866" max="14867" width="12.42578125" style="203" customWidth="1"/>
    <col min="14868" max="15104" width="11.42578125" style="203"/>
    <col min="15105" max="15105" width="16.28515625" style="203" customWidth="1"/>
    <col min="15106" max="15109" width="11.42578125" style="203" customWidth="1"/>
    <col min="15110" max="15110" width="12" style="203" customWidth="1"/>
    <col min="15111" max="15112" width="11.42578125" style="203" customWidth="1"/>
    <col min="15113" max="15113" width="1.85546875" style="203" customWidth="1"/>
    <col min="15114" max="15114" width="12.140625" style="203" customWidth="1"/>
    <col min="15115" max="15115" width="12.7109375" style="203" customWidth="1"/>
    <col min="15116" max="15118" width="11.42578125" style="203" customWidth="1"/>
    <col min="15119" max="15119" width="1.85546875" style="203" customWidth="1"/>
    <col min="15120" max="15120" width="13.5703125" style="203" customWidth="1"/>
    <col min="15121" max="15121" width="11.42578125" style="203" customWidth="1"/>
    <col min="15122" max="15123" width="12.42578125" style="203" customWidth="1"/>
    <col min="15124" max="15360" width="11.42578125" style="203"/>
    <col min="15361" max="15361" width="16.28515625" style="203" customWidth="1"/>
    <col min="15362" max="15365" width="11.42578125" style="203" customWidth="1"/>
    <col min="15366" max="15366" width="12" style="203" customWidth="1"/>
    <col min="15367" max="15368" width="11.42578125" style="203" customWidth="1"/>
    <col min="15369" max="15369" width="1.85546875" style="203" customWidth="1"/>
    <col min="15370" max="15370" width="12.140625" style="203" customWidth="1"/>
    <col min="15371" max="15371" width="12.7109375" style="203" customWidth="1"/>
    <col min="15372" max="15374" width="11.42578125" style="203" customWidth="1"/>
    <col min="15375" max="15375" width="1.85546875" style="203" customWidth="1"/>
    <col min="15376" max="15376" width="13.5703125" style="203" customWidth="1"/>
    <col min="15377" max="15377" width="11.42578125" style="203" customWidth="1"/>
    <col min="15378" max="15379" width="12.42578125" style="203" customWidth="1"/>
    <col min="15380" max="15616" width="11.42578125" style="203"/>
    <col min="15617" max="15617" width="16.28515625" style="203" customWidth="1"/>
    <col min="15618" max="15621" width="11.42578125" style="203" customWidth="1"/>
    <col min="15622" max="15622" width="12" style="203" customWidth="1"/>
    <col min="15623" max="15624" width="11.42578125" style="203" customWidth="1"/>
    <col min="15625" max="15625" width="1.85546875" style="203" customWidth="1"/>
    <col min="15626" max="15626" width="12.140625" style="203" customWidth="1"/>
    <col min="15627" max="15627" width="12.7109375" style="203" customWidth="1"/>
    <col min="15628" max="15630" width="11.42578125" style="203" customWidth="1"/>
    <col min="15631" max="15631" width="1.85546875" style="203" customWidth="1"/>
    <col min="15632" max="15632" width="13.5703125" style="203" customWidth="1"/>
    <col min="15633" max="15633" width="11.42578125" style="203" customWidth="1"/>
    <col min="15634" max="15635" width="12.42578125" style="203" customWidth="1"/>
    <col min="15636" max="15872" width="11.42578125" style="203"/>
    <col min="15873" max="15873" width="16.28515625" style="203" customWidth="1"/>
    <col min="15874" max="15877" width="11.42578125" style="203" customWidth="1"/>
    <col min="15878" max="15878" width="12" style="203" customWidth="1"/>
    <col min="15879" max="15880" width="11.42578125" style="203" customWidth="1"/>
    <col min="15881" max="15881" width="1.85546875" style="203" customWidth="1"/>
    <col min="15882" max="15882" width="12.140625" style="203" customWidth="1"/>
    <col min="15883" max="15883" width="12.7109375" style="203" customWidth="1"/>
    <col min="15884" max="15886" width="11.42578125" style="203" customWidth="1"/>
    <col min="15887" max="15887" width="1.85546875" style="203" customWidth="1"/>
    <col min="15888" max="15888" width="13.5703125" style="203" customWidth="1"/>
    <col min="15889" max="15889" width="11.42578125" style="203" customWidth="1"/>
    <col min="15890" max="15891" width="12.42578125" style="203" customWidth="1"/>
    <col min="15892" max="16128" width="11.42578125" style="203"/>
    <col min="16129" max="16129" width="16.28515625" style="203" customWidth="1"/>
    <col min="16130" max="16133" width="11.42578125" style="203" customWidth="1"/>
    <col min="16134" max="16134" width="12" style="203" customWidth="1"/>
    <col min="16135" max="16136" width="11.42578125" style="203" customWidth="1"/>
    <col min="16137" max="16137" width="1.85546875" style="203" customWidth="1"/>
    <col min="16138" max="16138" width="12.140625" style="203" customWidth="1"/>
    <col min="16139" max="16139" width="12.7109375" style="203" customWidth="1"/>
    <col min="16140" max="16142" width="11.42578125" style="203" customWidth="1"/>
    <col min="16143" max="16143" width="1.85546875" style="203" customWidth="1"/>
    <col min="16144" max="16144" width="13.5703125" style="203" customWidth="1"/>
    <col min="16145" max="16145" width="11.42578125" style="203" customWidth="1"/>
    <col min="16146" max="16147" width="12.42578125" style="203" customWidth="1"/>
    <col min="16148" max="16384" width="11.42578125" style="203"/>
  </cols>
  <sheetData>
    <row r="1" spans="1:21">
      <c r="A1" s="219" t="s">
        <v>0</v>
      </c>
    </row>
    <row r="2" spans="1:21">
      <c r="A2" s="219" t="s">
        <v>1</v>
      </c>
      <c r="C2" s="205"/>
    </row>
    <row r="3" spans="1:21">
      <c r="F3" s="204" t="s">
        <v>2</v>
      </c>
      <c r="G3" s="204" t="s">
        <v>3</v>
      </c>
      <c r="H3" s="204" t="s">
        <v>4</v>
      </c>
      <c r="I3" s="204"/>
      <c r="J3" s="204"/>
      <c r="Q3" s="205"/>
    </row>
    <row r="4" spans="1:21">
      <c r="A4" s="222" t="s">
        <v>5</v>
      </c>
      <c r="B4" s="204" t="s">
        <v>6</v>
      </c>
      <c r="C4" s="204" t="s">
        <v>7</v>
      </c>
      <c r="D4" s="204" t="s">
        <v>8</v>
      </c>
      <c r="E4" s="204" t="s">
        <v>9</v>
      </c>
      <c r="F4" s="204" t="s">
        <v>10</v>
      </c>
      <c r="G4" s="204" t="s">
        <v>10</v>
      </c>
      <c r="H4" s="204" t="s">
        <v>11</v>
      </c>
      <c r="I4" s="204"/>
      <c r="J4" s="204"/>
      <c r="K4" s="253" t="s">
        <v>12</v>
      </c>
      <c r="L4" s="253"/>
      <c r="M4" s="253"/>
      <c r="Q4" s="253" t="s">
        <v>13</v>
      </c>
      <c r="R4" s="253"/>
      <c r="S4" s="253"/>
    </row>
    <row r="5" spans="1:21">
      <c r="A5" s="204"/>
      <c r="B5" s="204"/>
      <c r="C5" s="204"/>
      <c r="D5" s="204" t="s">
        <v>6</v>
      </c>
      <c r="E5" s="204" t="s">
        <v>8</v>
      </c>
      <c r="F5" s="206">
        <v>42736</v>
      </c>
      <c r="G5" s="206">
        <v>43100</v>
      </c>
      <c r="H5" s="206">
        <f>G5</f>
        <v>43100</v>
      </c>
      <c r="I5" s="207"/>
      <c r="J5" s="208"/>
      <c r="K5" s="209" t="s">
        <v>14</v>
      </c>
      <c r="L5" s="209" t="s">
        <v>15</v>
      </c>
      <c r="M5" s="209" t="s">
        <v>16</v>
      </c>
      <c r="N5" s="209" t="s">
        <v>17</v>
      </c>
      <c r="P5" s="208"/>
      <c r="Q5" s="209" t="s">
        <v>14</v>
      </c>
      <c r="R5" s="209" t="s">
        <v>15</v>
      </c>
      <c r="S5" s="209" t="s">
        <v>16</v>
      </c>
      <c r="T5" s="209" t="s">
        <v>17</v>
      </c>
    </row>
    <row r="6" spans="1:21">
      <c r="A6" s="219" t="s">
        <v>18</v>
      </c>
      <c r="B6" s="205"/>
      <c r="J6" s="208"/>
      <c r="K6" s="208"/>
      <c r="L6" s="208"/>
      <c r="M6" s="208"/>
      <c r="P6" s="208"/>
      <c r="Q6" s="208"/>
      <c r="R6" s="208"/>
      <c r="S6" s="208"/>
    </row>
    <row r="7" spans="1:21">
      <c r="A7" s="203" t="s">
        <v>19</v>
      </c>
      <c r="B7" s="210">
        <f>+'Truck Depr - w Salvage '!L38</f>
        <v>1791963.34</v>
      </c>
      <c r="C7" s="210">
        <f>B7-D7</f>
        <v>0</v>
      </c>
      <c r="D7" s="210">
        <f>+'Truck Depr - w Salvage '!N38</f>
        <v>1791963.34</v>
      </c>
      <c r="E7" s="210">
        <f>+'Truck Depr - w Salvage '!Q38</f>
        <v>200001.19499047616</v>
      </c>
      <c r="F7" s="210">
        <f>+'Truck Depr - w Salvage '!S38</f>
        <v>692216.98742857145</v>
      </c>
      <c r="G7" s="210">
        <f>+'Truck Depr - w Salvage '!T38</f>
        <v>892218.18241904769</v>
      </c>
      <c r="H7" s="210">
        <f>+'Truck Depr - w Salvage '!U38</f>
        <v>856853.74840952386</v>
      </c>
      <c r="J7" s="208"/>
      <c r="K7" s="211">
        <f>E7*[16]Ratios!$H$43</f>
        <v>181212.26285239571</v>
      </c>
      <c r="L7" s="211"/>
      <c r="M7" s="211">
        <f>E7-K7</f>
        <v>18788.932138080447</v>
      </c>
      <c r="N7" s="203" t="s">
        <v>20</v>
      </c>
      <c r="O7" s="212">
        <f>E7-K7-M7-L7</f>
        <v>0</v>
      </c>
      <c r="P7" s="208"/>
      <c r="Q7" s="211">
        <f>$H7*[16]Ratios!$H$43</f>
        <v>776357.39471577201</v>
      </c>
      <c r="R7" s="211"/>
      <c r="S7" s="211">
        <f>$H7-Q7</f>
        <v>80496.353693751851</v>
      </c>
      <c r="T7" s="203" t="s">
        <v>20</v>
      </c>
      <c r="U7" s="212">
        <f>H7-Q7-S7</f>
        <v>0</v>
      </c>
    </row>
    <row r="8" spans="1:21">
      <c r="A8" s="219"/>
      <c r="B8" s="205"/>
      <c r="J8" s="208"/>
      <c r="K8" s="211"/>
      <c r="L8" s="211"/>
      <c r="M8" s="211"/>
      <c r="O8" s="212">
        <f t="shared" ref="O8:O15" si="0">E8-K8-M8-L8</f>
        <v>0</v>
      </c>
      <c r="P8" s="208"/>
      <c r="Q8" s="211"/>
      <c r="R8" s="211"/>
      <c r="S8" s="211"/>
    </row>
    <row r="9" spans="1:21">
      <c r="A9" s="203" t="s">
        <v>21</v>
      </c>
      <c r="B9" s="210">
        <f>+'Truck Depr - w Salvage '!L55</f>
        <v>564059.43999999994</v>
      </c>
      <c r="C9" s="210">
        <f>B9-D9</f>
        <v>0</v>
      </c>
      <c r="D9" s="210">
        <f>+'Truck Depr - w Salvage '!N55</f>
        <v>564059.43999999994</v>
      </c>
      <c r="E9" s="210">
        <f>+'Truck Depr - w Salvage '!Q55</f>
        <v>49844.171433333337</v>
      </c>
      <c r="F9" s="210">
        <f>+'Truck Depr - w Salvage '!S55</f>
        <v>126625.70436666667</v>
      </c>
      <c r="G9" s="210">
        <f>+'Truck Depr - w Salvage '!T55</f>
        <v>176469.87580000001</v>
      </c>
      <c r="H9" s="210">
        <f>+'Truck Depr - w Salvage '!U55</f>
        <v>397660.00799999997</v>
      </c>
      <c r="I9" s="205"/>
      <c r="J9" s="205"/>
      <c r="K9" s="211">
        <f>E9*[16]Ratios!$H$47</f>
        <v>43123.608992883899</v>
      </c>
      <c r="L9" s="213"/>
      <c r="M9" s="211">
        <f>E9-K9</f>
        <v>6720.5624404494374</v>
      </c>
      <c r="N9" s="203" t="s">
        <v>20</v>
      </c>
      <c r="O9" s="212">
        <f t="shared" si="0"/>
        <v>0</v>
      </c>
      <c r="P9" s="205"/>
      <c r="Q9" s="211">
        <f>$H9*[16]Ratios!$H$47</f>
        <v>344042.92826966289</v>
      </c>
      <c r="R9" s="211"/>
      <c r="S9" s="211">
        <f>$H9-Q9</f>
        <v>53617.079730337078</v>
      </c>
      <c r="T9" s="203" t="s">
        <v>20</v>
      </c>
      <c r="U9" s="212">
        <f>H9-Q9-S9</f>
        <v>0</v>
      </c>
    </row>
    <row r="10" spans="1:21">
      <c r="B10" s="210"/>
      <c r="C10" s="210"/>
      <c r="D10" s="210"/>
      <c r="E10" s="210"/>
      <c r="F10" s="210"/>
      <c r="G10" s="210"/>
      <c r="H10" s="210"/>
      <c r="I10" s="205"/>
      <c r="J10" s="208"/>
      <c r="K10" s="213"/>
      <c r="L10" s="213"/>
      <c r="M10" s="213"/>
      <c r="O10" s="212">
        <f t="shared" si="0"/>
        <v>0</v>
      </c>
      <c r="P10" s="205"/>
      <c r="Q10" s="213"/>
      <c r="R10" s="213"/>
      <c r="S10" s="213"/>
    </row>
    <row r="11" spans="1:21">
      <c r="A11" s="203" t="s">
        <v>327</v>
      </c>
      <c r="B11" s="210">
        <f>+'Truck Depr - w Salvage '!L62</f>
        <v>127259.98999999999</v>
      </c>
      <c r="C11" s="210">
        <f>B11-D11</f>
        <v>0</v>
      </c>
      <c r="D11" s="210">
        <f>+'Truck Depr - w Salvage '!N62</f>
        <v>127259.98999999999</v>
      </c>
      <c r="E11" s="210">
        <f>+'Truck Depr - w Salvage '!Q62</f>
        <v>19391.998476190471</v>
      </c>
      <c r="F11" s="210">
        <f>+'Truck Depr - w Salvage '!S62</f>
        <v>87263.993142857129</v>
      </c>
      <c r="G11" s="210">
        <f>+'Truck Depr - w Salvage '!T62</f>
        <v>106655.99161904759</v>
      </c>
      <c r="H11" s="210">
        <f>+'Truck Depr - w Salvage '!U62</f>
        <v>30299.997619047626</v>
      </c>
      <c r="I11" s="205"/>
      <c r="J11" s="205"/>
      <c r="K11" s="211">
        <f>E11*[17]Ratios!$H$48</f>
        <v>18229.535352277144</v>
      </c>
      <c r="L11" s="213"/>
      <c r="M11" s="211">
        <f>E11-K11</f>
        <v>1162.4631239133269</v>
      </c>
      <c r="N11" s="203" t="s">
        <v>20</v>
      </c>
      <c r="O11" s="212">
        <f t="shared" si="0"/>
        <v>0</v>
      </c>
      <c r="P11" s="205"/>
      <c r="Q11" s="211">
        <f>H11*[17]Ratios!$H$48</f>
        <v>28483.648987933055</v>
      </c>
      <c r="R11" s="213"/>
      <c r="S11" s="211">
        <f>H11-Q11</f>
        <v>1816.3486311145716</v>
      </c>
      <c r="T11" s="203" t="s">
        <v>20</v>
      </c>
      <c r="U11" s="212">
        <f>H11-Q11-S11</f>
        <v>0</v>
      </c>
    </row>
    <row r="12" spans="1:21">
      <c r="B12" s="210"/>
      <c r="C12" s="210"/>
      <c r="D12" s="210"/>
      <c r="E12" s="210"/>
      <c r="F12" s="210"/>
      <c r="G12" s="210"/>
      <c r="H12" s="210"/>
      <c r="I12" s="205"/>
      <c r="J12" s="205"/>
      <c r="K12" s="211"/>
      <c r="L12" s="213"/>
      <c r="M12" s="211"/>
      <c r="O12" s="212">
        <f t="shared" si="0"/>
        <v>0</v>
      </c>
      <c r="P12" s="205"/>
      <c r="Q12" s="211"/>
      <c r="R12" s="213"/>
      <c r="S12" s="211"/>
      <c r="U12" s="212"/>
    </row>
    <row r="13" spans="1:21">
      <c r="A13" s="203" t="s">
        <v>350</v>
      </c>
      <c r="B13" s="210">
        <f>'Truck Depr - w Salvage '!L69</f>
        <v>223251</v>
      </c>
      <c r="C13" s="210">
        <f>B13-D13</f>
        <v>0</v>
      </c>
      <c r="D13" s="210">
        <f>'Truck Depr - w Salvage '!N69</f>
        <v>223251</v>
      </c>
      <c r="E13" s="210">
        <f>'Truck Depr - w Salvage '!Q69</f>
        <v>34444.44</v>
      </c>
      <c r="F13" s="210">
        <f>'Truck Depr - w Salvage '!S69</f>
        <v>51028.799999999996</v>
      </c>
      <c r="G13" s="210">
        <f>'Truck Depr - w Salvage '!T69</f>
        <v>85473.24</v>
      </c>
      <c r="H13" s="210">
        <f>'Truck Depr - w Salvage '!U69</f>
        <v>154999.97999999998</v>
      </c>
      <c r="I13" s="205"/>
      <c r="J13" s="205"/>
      <c r="K13" s="211">
        <f>E13*[17]Ratios!$H$49</f>
        <v>31952.883739899964</v>
      </c>
      <c r="L13" s="213"/>
      <c r="M13" s="211">
        <f>E13-K13</f>
        <v>2491.5562601000383</v>
      </c>
      <c r="N13" s="203" t="s">
        <v>20</v>
      </c>
      <c r="O13" s="212">
        <f t="shared" si="0"/>
        <v>0</v>
      </c>
      <c r="P13" s="205"/>
      <c r="Q13" s="211">
        <f>H13*[17]Ratios!$H$49</f>
        <v>143787.97682954982</v>
      </c>
      <c r="R13" s="213"/>
      <c r="S13" s="211">
        <f>H13-Q13</f>
        <v>11212.00317045016</v>
      </c>
      <c r="T13" s="203" t="s">
        <v>20</v>
      </c>
      <c r="U13" s="212">
        <f>H13-Q13-S13</f>
        <v>0</v>
      </c>
    </row>
    <row r="14" spans="1:21">
      <c r="B14" s="210"/>
      <c r="C14" s="210"/>
      <c r="D14" s="210"/>
      <c r="E14" s="210"/>
      <c r="F14" s="210"/>
      <c r="G14" s="210"/>
      <c r="H14" s="210"/>
      <c r="I14" s="205"/>
      <c r="J14" s="208"/>
      <c r="K14" s="213"/>
      <c r="L14" s="213"/>
      <c r="M14" s="213"/>
      <c r="O14" s="212">
        <f t="shared" si="0"/>
        <v>0</v>
      </c>
      <c r="P14" s="205"/>
      <c r="Q14" s="213"/>
      <c r="R14" s="213"/>
      <c r="S14" s="213"/>
    </row>
    <row r="15" spans="1:21">
      <c r="A15" s="203" t="s">
        <v>22</v>
      </c>
      <c r="B15" s="210">
        <f>+'Truck Depr - w Salvage '!L75</f>
        <v>42000</v>
      </c>
      <c r="C15" s="210">
        <f>B15-D15</f>
        <v>0</v>
      </c>
      <c r="D15" s="210">
        <f>+'Truck Depr - w Salvage '!N75</f>
        <v>42000</v>
      </c>
      <c r="E15" s="210">
        <f>+'Truck Depr - w Salvage '!Q75</f>
        <v>2800</v>
      </c>
      <c r="F15" s="210">
        <f>+'Truck Depr - w Salvage '!S75</f>
        <v>33600</v>
      </c>
      <c r="G15" s="210">
        <f>+'Truck Depr - w Salvage '!T75</f>
        <v>36400</v>
      </c>
      <c r="H15" s="210">
        <f>+'Truck Depr - w Salvage '!U75</f>
        <v>0</v>
      </c>
      <c r="I15" s="205"/>
      <c r="J15" s="205"/>
      <c r="K15" s="213"/>
      <c r="L15" s="213">
        <f>E15</f>
        <v>2800</v>
      </c>
      <c r="M15" s="213"/>
      <c r="N15" s="205" t="s">
        <v>23</v>
      </c>
      <c r="O15" s="212">
        <f t="shared" si="0"/>
        <v>0</v>
      </c>
      <c r="P15" s="205"/>
      <c r="Q15" s="213"/>
      <c r="R15" s="213">
        <f>H15</f>
        <v>0</v>
      </c>
      <c r="S15" s="213"/>
      <c r="T15" s="205" t="s">
        <v>23</v>
      </c>
      <c r="U15" s="212">
        <f>H15-Q15-S15-R15</f>
        <v>0</v>
      </c>
    </row>
    <row r="16" spans="1:21">
      <c r="B16" s="210"/>
      <c r="C16" s="210"/>
      <c r="D16" s="210"/>
      <c r="E16" s="210"/>
      <c r="F16" s="210"/>
      <c r="G16" s="210"/>
      <c r="H16" s="210"/>
      <c r="I16" s="205"/>
      <c r="K16" s="211"/>
      <c r="L16" s="213"/>
      <c r="M16" s="213"/>
      <c r="P16" s="205"/>
      <c r="Q16" s="211"/>
      <c r="R16" s="213"/>
      <c r="S16" s="213"/>
    </row>
    <row r="17" spans="1:22">
      <c r="A17" s="223" t="s">
        <v>24</v>
      </c>
      <c r="B17" s="214">
        <f>SUM(B7:B16)</f>
        <v>2748533.7700000005</v>
      </c>
      <c r="C17" s="214">
        <f t="shared" ref="C17:H17" si="1">SUM(C7:C16)</f>
        <v>0</v>
      </c>
      <c r="D17" s="214">
        <f t="shared" si="1"/>
        <v>2748533.7700000005</v>
      </c>
      <c r="E17" s="214">
        <f t="shared" si="1"/>
        <v>306481.80489999999</v>
      </c>
      <c r="F17" s="214">
        <f t="shared" si="1"/>
        <v>990735.48493809521</v>
      </c>
      <c r="G17" s="214">
        <f t="shared" si="1"/>
        <v>1297217.2898380954</v>
      </c>
      <c r="H17" s="214">
        <f t="shared" si="1"/>
        <v>1439813.7340285713</v>
      </c>
      <c r="I17" s="205"/>
      <c r="K17" s="214">
        <f>SUM(K7:K16)</f>
        <v>274518.29093745671</v>
      </c>
      <c r="L17" s="214">
        <f>SUM(L7:L16)</f>
        <v>2800</v>
      </c>
      <c r="M17" s="214">
        <f>SUM(M7:M16)</f>
        <v>29163.513962543249</v>
      </c>
      <c r="N17" s="203" t="s">
        <v>23</v>
      </c>
      <c r="O17" s="252">
        <f>E17-K17-L17-M17</f>
        <v>2.9103830456733704E-11</v>
      </c>
      <c r="P17" s="205"/>
      <c r="Q17" s="214">
        <f>SUM(Q7:Q16)</f>
        <v>1292671.9488029177</v>
      </c>
      <c r="R17" s="214">
        <f>SUM(R7:R16)</f>
        <v>0</v>
      </c>
      <c r="S17" s="214">
        <f>SUM(S7:S16)</f>
        <v>147141.78522565367</v>
      </c>
      <c r="T17" s="203" t="s">
        <v>23</v>
      </c>
      <c r="U17" s="252">
        <f>H17-Q17-S17-R17</f>
        <v>-1.1641532182693481E-10</v>
      </c>
    </row>
    <row r="18" spans="1:22">
      <c r="B18" s="210" t="s">
        <v>25</v>
      </c>
      <c r="C18" s="210"/>
      <c r="D18" s="210"/>
      <c r="E18" s="210"/>
      <c r="F18" s="210"/>
      <c r="G18" s="210"/>
      <c r="H18" s="210"/>
      <c r="I18" s="205"/>
      <c r="K18" s="213"/>
      <c r="L18" s="213"/>
      <c r="M18" s="213"/>
      <c r="P18" s="205"/>
      <c r="Q18" s="213"/>
      <c r="R18" s="213"/>
      <c r="S18" s="213"/>
    </row>
    <row r="19" spans="1:22">
      <c r="A19" s="219" t="s">
        <v>26</v>
      </c>
      <c r="B19" s="210"/>
      <c r="C19" s="210"/>
      <c r="D19" s="210"/>
      <c r="E19" s="210"/>
      <c r="F19" s="210"/>
      <c r="G19" s="210"/>
      <c r="H19" s="210"/>
      <c r="I19" s="215"/>
      <c r="J19" s="215"/>
      <c r="K19" s="213"/>
      <c r="L19" s="213"/>
      <c r="M19" s="213"/>
      <c r="N19" s="215"/>
      <c r="O19" s="212"/>
      <c r="P19" s="215"/>
      <c r="Q19" s="213"/>
      <c r="R19" s="213"/>
      <c r="S19" s="213"/>
      <c r="T19" s="215"/>
      <c r="U19" s="212"/>
      <c r="V19" s="215"/>
    </row>
    <row r="20" spans="1:22">
      <c r="A20" s="203" t="s">
        <v>27</v>
      </c>
      <c r="B20" s="210">
        <f>+'Depr - Cont, Shop, Serv, Office'!N156</f>
        <v>405680.15500000003</v>
      </c>
      <c r="C20" s="210"/>
      <c r="D20" s="210">
        <f>+'Depr - Cont, Shop, Serv, Office'!P156</f>
        <v>405680.15500000003</v>
      </c>
      <c r="E20" s="210">
        <f>+'Depr - Cont, Shop, Serv, Office'!V156</f>
        <v>9794.1756388891026</v>
      </c>
      <c r="F20" s="210">
        <f>+'Depr - Cont, Shop, Serv, Office'!AA156</f>
        <v>314844.85145833349</v>
      </c>
      <c r="G20" s="210">
        <f>+'Depr - Cont, Shop, Serv, Office'!AB156</f>
        <v>327779.96209722385</v>
      </c>
      <c r="H20" s="210">
        <f>+'Depr - Cont, Shop, Serv, Office'!AC156</f>
        <v>118704.76822222144</v>
      </c>
      <c r="I20" s="205"/>
      <c r="K20" s="213">
        <f>E20*[16]Ratios!$H$57</f>
        <v>8754.9839114973402</v>
      </c>
      <c r="L20" s="213"/>
      <c r="M20" s="213">
        <f>E20-K20</f>
        <v>1039.1917273917625</v>
      </c>
      <c r="N20" s="205" t="s">
        <v>28</v>
      </c>
      <c r="O20" s="212">
        <f>E20-K20-L20-M20</f>
        <v>0</v>
      </c>
      <c r="P20" s="205"/>
      <c r="Q20" s="213">
        <f>H20*[16]Ratios!$H$57</f>
        <v>106109.83244746532</v>
      </c>
      <c r="R20" s="213"/>
      <c r="S20" s="213">
        <f>H20-Q20</f>
        <v>12594.935774756115</v>
      </c>
      <c r="T20" s="205" t="s">
        <v>28</v>
      </c>
      <c r="U20" s="212">
        <f>H20-Q20-R20-S20</f>
        <v>0</v>
      </c>
    </row>
    <row r="21" spans="1:22">
      <c r="B21" s="210"/>
      <c r="C21" s="210"/>
      <c r="D21" s="210"/>
      <c r="E21" s="210"/>
      <c r="F21" s="210"/>
      <c r="G21" s="210"/>
      <c r="H21" s="210"/>
      <c r="I21" s="205"/>
      <c r="K21" s="213"/>
      <c r="L21" s="213"/>
      <c r="M21" s="213"/>
      <c r="P21" s="205"/>
      <c r="Q21" s="213"/>
      <c r="R21" s="213"/>
      <c r="S21" s="213"/>
    </row>
    <row r="22" spans="1:22">
      <c r="A22" s="203" t="s">
        <v>29</v>
      </c>
      <c r="B22" s="210">
        <f>+'Depr - Cont, Shop, Serv, Office'!N174</f>
        <v>159627.87</v>
      </c>
      <c r="C22" s="210"/>
      <c r="D22" s="210">
        <f>+'Depr - Cont, Shop, Serv, Office'!P174</f>
        <v>159627.87</v>
      </c>
      <c r="E22" s="210">
        <f>+'Depr - Cont, Shop, Serv, Office'!V174</f>
        <v>10844.113666666801</v>
      </c>
      <c r="F22" s="210">
        <f>+'Depr - Cont, Shop, Serv, Office'!AA174</f>
        <v>96116.693142857024</v>
      </c>
      <c r="G22" s="210">
        <f>+'Depr - Cont, Shop, Serv, Office'!AB174</f>
        <v>106960.80680952383</v>
      </c>
      <c r="H22" s="210">
        <f>+'Depr - Cont, Shop, Serv, Office'!AC174</f>
        <v>49436.05002380957</v>
      </c>
      <c r="I22" s="205"/>
      <c r="J22" s="205"/>
      <c r="K22" s="213">
        <f>E22*[16]Ratios!$H$55</f>
        <v>8864.7116625851704</v>
      </c>
      <c r="L22" s="213"/>
      <c r="M22" s="213">
        <f>E22-K22</f>
        <v>1979.4020040816304</v>
      </c>
      <c r="N22" s="205" t="s">
        <v>28</v>
      </c>
      <c r="O22" s="212">
        <f>E22-K22-L22-M22</f>
        <v>0</v>
      </c>
      <c r="P22" s="205"/>
      <c r="Q22" s="213">
        <f>H22*[16]Ratios!$H$55</f>
        <v>40412.369573852971</v>
      </c>
      <c r="R22" s="213"/>
      <c r="S22" s="213">
        <f>H22-Q22</f>
        <v>9023.6804499565987</v>
      </c>
      <c r="T22" s="205" t="s">
        <v>28</v>
      </c>
      <c r="U22" s="212">
        <f>H22-Q22-R22-S22</f>
        <v>0</v>
      </c>
    </row>
    <row r="23" spans="1:22">
      <c r="B23" s="210"/>
      <c r="C23" s="210"/>
      <c r="D23" s="210"/>
      <c r="E23" s="210"/>
      <c r="F23" s="210"/>
      <c r="G23" s="210"/>
      <c r="H23" s="210"/>
      <c r="I23" s="205"/>
      <c r="J23" s="205"/>
      <c r="K23" s="213"/>
      <c r="L23" s="213"/>
      <c r="M23" s="213"/>
      <c r="N23" s="205"/>
      <c r="P23" s="205"/>
      <c r="Q23" s="213"/>
      <c r="R23" s="213"/>
      <c r="S23" s="213"/>
      <c r="T23" s="205"/>
    </row>
    <row r="24" spans="1:22">
      <c r="A24" s="203" t="s">
        <v>30</v>
      </c>
      <c r="B24" s="210">
        <f>+'Depr - Cont, Shop, Serv, Office'!N186</f>
        <v>75075</v>
      </c>
      <c r="C24" s="210"/>
      <c r="D24" s="210">
        <f>+'Depr - Cont, Shop, Serv, Office'!P186</f>
        <v>75075</v>
      </c>
      <c r="E24" s="210">
        <f>+'Depr - Cont, Shop, Serv, Office'!V186</f>
        <v>5967.8321071429245</v>
      </c>
      <c r="F24" s="210">
        <f>+'Depr - Cont, Shop, Serv, Office'!AA186</f>
        <v>44233.76046428574</v>
      </c>
      <c r="G24" s="210">
        <f>+'Depr - Cont, Shop, Serv, Office'!AB186</f>
        <v>50201.592571428664</v>
      </c>
      <c r="H24" s="210">
        <f>+'Depr - Cont, Shop, Serv, Office'!AC186</f>
        <v>27857.323482142798</v>
      </c>
      <c r="I24" s="205"/>
      <c r="J24" s="205"/>
      <c r="K24" s="213">
        <f>E26*[16]Ratios!$H$62</f>
        <v>5167.623181642567</v>
      </c>
      <c r="L24" s="213"/>
      <c r="M24" s="213">
        <f>E24-K24</f>
        <v>800.20892550035751</v>
      </c>
      <c r="N24" s="205" t="s">
        <v>28</v>
      </c>
      <c r="O24" s="212">
        <f>E24-K24-L24-M24</f>
        <v>0</v>
      </c>
      <c r="P24" s="205"/>
      <c r="Q24" s="213">
        <f>H24*[16]Ratios!$H$62</f>
        <v>22817.554739688097</v>
      </c>
      <c r="R24" s="213"/>
      <c r="S24" s="213">
        <f>H24-Q24</f>
        <v>5039.7687424547003</v>
      </c>
      <c r="T24" s="205" t="s">
        <v>28</v>
      </c>
      <c r="U24" s="212">
        <f>H24-Q24-R24-S24</f>
        <v>0</v>
      </c>
    </row>
    <row r="25" spans="1:22">
      <c r="I25" s="205"/>
      <c r="J25" s="208"/>
      <c r="K25" s="213"/>
      <c r="L25" s="213"/>
      <c r="M25" s="213"/>
      <c r="N25" s="205"/>
      <c r="P25" s="205"/>
      <c r="Q25" s="213"/>
      <c r="R25" s="213"/>
      <c r="S25" s="213"/>
      <c r="T25" s="205"/>
    </row>
    <row r="26" spans="1:22">
      <c r="A26" s="203" t="s">
        <v>31</v>
      </c>
      <c r="B26" s="210">
        <f>+'Depr - Cont, Shop, Serv, Office'!N208</f>
        <v>160510.9</v>
      </c>
      <c r="C26" s="210">
        <f>B26-D26</f>
        <v>0</v>
      </c>
      <c r="D26" s="210">
        <f>+'Depr - Cont, Shop, Serv, Office'!P208</f>
        <v>160510.9</v>
      </c>
      <c r="E26" s="210">
        <f>+'Depr - Cont, Shop, Serv, Office'!V208</f>
        <v>6309.0086666668276</v>
      </c>
      <c r="F26" s="210">
        <f>+'Depr - Cont, Shop, Serv, Office'!AA208</f>
        <v>90693.954444444156</v>
      </c>
      <c r="G26" s="210">
        <f>+'Depr - Cont, Shop, Serv, Office'!AB208</f>
        <v>97002.963111110977</v>
      </c>
      <c r="H26" s="210">
        <f>+'Depr - Cont, Shop, Serv, Office'!AC208</f>
        <v>55019.441222222435</v>
      </c>
      <c r="I26" s="205"/>
      <c r="J26" s="205"/>
      <c r="K26" s="212">
        <f>E26*[16]Ratios!$H$59</f>
        <v>4206.0057777778848</v>
      </c>
      <c r="M26" s="213">
        <f>E26-K26</f>
        <v>2103.0028888889428</v>
      </c>
      <c r="N26" s="205" t="s">
        <v>28</v>
      </c>
      <c r="O26" s="212">
        <f>E26-K26-L26-M26</f>
        <v>0</v>
      </c>
      <c r="P26" s="205"/>
      <c r="Q26" s="212">
        <f>H26*[16]Ratios!$H$59</f>
        <v>36679.627481481621</v>
      </c>
      <c r="S26" s="213">
        <f>H26-Q26</f>
        <v>18339.813740740814</v>
      </c>
      <c r="T26" s="205" t="s">
        <v>28</v>
      </c>
      <c r="U26" s="212">
        <f>H26-Q26-R26-S26</f>
        <v>0</v>
      </c>
    </row>
    <row r="27" spans="1:22">
      <c r="B27" s="210"/>
      <c r="C27" s="210"/>
      <c r="D27" s="210"/>
      <c r="E27" s="210"/>
      <c r="F27" s="210"/>
      <c r="G27" s="210"/>
      <c r="H27" s="210"/>
      <c r="I27" s="205"/>
      <c r="J27" s="205"/>
      <c r="N27" s="205"/>
      <c r="P27" s="205"/>
      <c r="T27" s="205"/>
    </row>
    <row r="28" spans="1:22">
      <c r="A28" s="223" t="s">
        <v>32</v>
      </c>
      <c r="B28" s="214">
        <f>SUM(B20:B27)</f>
        <v>800893.92500000005</v>
      </c>
      <c r="C28" s="214">
        <f t="shared" ref="C28:H28" si="2">SUM(C20:C27)</f>
        <v>0</v>
      </c>
      <c r="D28" s="214">
        <f t="shared" si="2"/>
        <v>800893.92500000005</v>
      </c>
      <c r="E28" s="214">
        <f t="shared" si="2"/>
        <v>32915.130079365656</v>
      </c>
      <c r="F28" s="214">
        <f t="shared" si="2"/>
        <v>545889.25950992038</v>
      </c>
      <c r="G28" s="214">
        <f t="shared" si="2"/>
        <v>581945.3245892874</v>
      </c>
      <c r="H28" s="214">
        <f t="shared" si="2"/>
        <v>251017.58295039623</v>
      </c>
      <c r="I28" s="215"/>
      <c r="J28" s="215"/>
      <c r="K28" s="214">
        <f>SUM(K20:K27)</f>
        <v>26993.324533502964</v>
      </c>
      <c r="L28" s="214">
        <f>SUM(L20:L27)</f>
        <v>0</v>
      </c>
      <c r="M28" s="214">
        <f>SUM(M20:M27)</f>
        <v>5921.8055458626932</v>
      </c>
      <c r="N28" s="215"/>
      <c r="O28" s="212">
        <f>E28-K28-L28-M28</f>
        <v>0</v>
      </c>
      <c r="P28" s="215"/>
      <c r="Q28" s="214">
        <f>SUM(Q20:Q27)</f>
        <v>206019.38424248798</v>
      </c>
      <c r="R28" s="214">
        <f>SUM(R20:R27)</f>
        <v>0</v>
      </c>
      <c r="S28" s="214">
        <f>SUM(S20:S27)</f>
        <v>44998.198707908232</v>
      </c>
      <c r="T28" s="215"/>
      <c r="U28" s="212">
        <f>H28-Q28-R28-S28</f>
        <v>0</v>
      </c>
    </row>
    <row r="29" spans="1:22">
      <c r="B29" s="210"/>
      <c r="C29" s="210"/>
      <c r="D29" s="210"/>
      <c r="E29" s="210"/>
      <c r="F29" s="210"/>
      <c r="G29" s="210"/>
      <c r="H29" s="210"/>
      <c r="I29" s="205"/>
      <c r="J29" s="208"/>
      <c r="K29" s="211"/>
      <c r="L29" s="213"/>
      <c r="M29" s="213"/>
      <c r="N29" s="205"/>
      <c r="P29" s="208"/>
      <c r="Q29" s="211"/>
      <c r="R29" s="213"/>
      <c r="S29" s="213"/>
      <c r="T29" s="205"/>
    </row>
    <row r="30" spans="1:22">
      <c r="A30" s="203" t="s">
        <v>33</v>
      </c>
      <c r="B30" s="210">
        <f>+'Depr - Cont, Shop, Serv, Office'!N216</f>
        <v>73117.08</v>
      </c>
      <c r="C30" s="210">
        <f>B30-D30</f>
        <v>0</v>
      </c>
      <c r="D30" s="210">
        <f>+'Depr - Cont, Shop, Serv, Office'!P216</f>
        <v>73117.08</v>
      </c>
      <c r="E30" s="210">
        <f>+'Depr - Cont, Shop, Serv, Office'!V216</f>
        <v>2915.617999999406</v>
      </c>
      <c r="F30" s="210">
        <f>+'Depr - Cont, Shop, Serv, Office'!AA216</f>
        <v>27152</v>
      </c>
      <c r="G30" s="210">
        <f>+'Depr - Cont, Shop, Serv, Office'!AB216</f>
        <v>30067.617999999406</v>
      </c>
      <c r="H30" s="210">
        <f>+'Depr - Cont, Shop, Serv, Office'!AC216</f>
        <v>19262.06433333363</v>
      </c>
      <c r="I30" s="205"/>
      <c r="J30" s="205"/>
      <c r="K30" s="213">
        <f>$E30*[16]Ratios!$C$49</f>
        <v>2587.7406733090816</v>
      </c>
      <c r="L30" s="213">
        <f>$E30*[16]Ratios!$D$49</f>
        <v>10.37586476868116</v>
      </c>
      <c r="M30" s="213">
        <f>$E30*[16]Ratios!$E$49</f>
        <v>317.50146192164351</v>
      </c>
      <c r="N30" s="203" t="s">
        <v>20</v>
      </c>
      <c r="O30" s="212">
        <f>E30-K30-L30-M30</f>
        <v>0</v>
      </c>
      <c r="P30" s="205"/>
      <c r="Q30" s="213">
        <f>$H30*[16]Ratios!$C$49</f>
        <v>17095.938949229207</v>
      </c>
      <c r="R30" s="213">
        <f>$H30*[16]Ratios!$D$49</f>
        <v>68.54827164887412</v>
      </c>
      <c r="S30" s="213">
        <f>$H30*[16]Ratios!$E$49</f>
        <v>2097.5771124555486</v>
      </c>
      <c r="T30" s="203" t="s">
        <v>20</v>
      </c>
      <c r="U30" s="212">
        <f>H30-Q30-R30-S30</f>
        <v>0</v>
      </c>
    </row>
    <row r="31" spans="1:22">
      <c r="B31" s="210"/>
      <c r="C31" s="210"/>
      <c r="D31" s="210"/>
      <c r="E31" s="210"/>
      <c r="F31" s="210"/>
      <c r="G31" s="210"/>
      <c r="H31" s="210"/>
      <c r="I31" s="205"/>
      <c r="J31" s="208"/>
      <c r="K31" s="211"/>
      <c r="L31" s="211"/>
      <c r="M31" s="211"/>
      <c r="N31" s="205"/>
      <c r="P31" s="208"/>
      <c r="Q31" s="211"/>
      <c r="R31" s="211"/>
      <c r="S31" s="211"/>
      <c r="T31" s="205"/>
    </row>
    <row r="32" spans="1:22">
      <c r="A32" s="203" t="s">
        <v>34</v>
      </c>
      <c r="B32" s="210">
        <f>+'Depr - Cont, Shop, Serv, Office'!N240</f>
        <v>103144.4</v>
      </c>
      <c r="C32" s="210">
        <f>B32-D32</f>
        <v>240</v>
      </c>
      <c r="D32" s="210">
        <f>+'Depr - Cont, Shop, Serv, Office'!P240</f>
        <v>102904.4</v>
      </c>
      <c r="E32" s="210">
        <f>+'Depr - Cont, Shop, Serv, Office'!V240</f>
        <v>8079.0643333333646</v>
      </c>
      <c r="F32" s="210">
        <f>+'Depr - Cont, Shop, Serv, Office'!AA240</f>
        <v>77252.812583333172</v>
      </c>
      <c r="G32" s="210">
        <f>+'Depr - Cont, Shop, Serv, Office'!AB240</f>
        <v>85331.876916666544</v>
      </c>
      <c r="H32" s="210">
        <f>+'Depr - Cont, Shop, Serv, Office'!AC240</f>
        <v>11172.388583333483</v>
      </c>
      <c r="I32" s="205"/>
      <c r="J32" s="205"/>
      <c r="K32" s="213">
        <f>$E32*[16]Ratios!$C$49</f>
        <v>7170.528984816161</v>
      </c>
      <c r="L32" s="213">
        <f>$E32*[16]Ratios!$D$49</f>
        <v>28.751118623962149</v>
      </c>
      <c r="M32" s="213">
        <f>$E32*[16]Ratios!$E$49</f>
        <v>879.7842298932419</v>
      </c>
      <c r="N32" s="203" t="s">
        <v>20</v>
      </c>
      <c r="O32" s="212">
        <f>E32-K32-L32-M32</f>
        <v>0</v>
      </c>
      <c r="P32" s="205"/>
      <c r="Q32" s="213">
        <f>$H32*[16]Ratios!$C$49</f>
        <v>9915.9918600831697</v>
      </c>
      <c r="R32" s="213">
        <f>$H32*[16]Ratios!$D$49</f>
        <v>39.759389976275735</v>
      </c>
      <c r="S32" s="213">
        <f>$H32*[16]Ratios!$E$49</f>
        <v>1216.6373332740377</v>
      </c>
      <c r="T32" s="203" t="s">
        <v>20</v>
      </c>
      <c r="U32" s="212">
        <f>H32-Q32-R32-S32</f>
        <v>0</v>
      </c>
    </row>
    <row r="33" spans="1:21">
      <c r="B33" s="210"/>
      <c r="C33" s="210"/>
      <c r="D33" s="210"/>
      <c r="E33" s="210"/>
      <c r="F33" s="210"/>
      <c r="G33" s="210"/>
      <c r="H33" s="210"/>
      <c r="I33" s="205"/>
      <c r="J33" s="216"/>
      <c r="K33" s="211"/>
      <c r="L33" s="211"/>
      <c r="M33" s="211"/>
      <c r="N33" s="205"/>
      <c r="P33" s="216"/>
      <c r="Q33" s="211"/>
      <c r="R33" s="211"/>
      <c r="S33" s="211"/>
      <c r="T33" s="205"/>
    </row>
    <row r="34" spans="1:21">
      <c r="A34" s="203" t="s">
        <v>35</v>
      </c>
      <c r="B34" s="210">
        <f>+'Depr - Cont, Shop, Serv, Office'!N255</f>
        <v>22196.31</v>
      </c>
      <c r="C34" s="210">
        <f>B34-D34</f>
        <v>0</v>
      </c>
      <c r="D34" s="210">
        <f>+'Depr - Cont, Shop, Serv, Office'!P255</f>
        <v>22196.31</v>
      </c>
      <c r="E34" s="210">
        <f>+'Depr - Cont, Shop, Serv, Office'!V255</f>
        <v>1837.4678333333475</v>
      </c>
      <c r="F34" s="210">
        <f>+'Depr - Cont, Shop, Serv, Office'!AA255</f>
        <v>17100.838999999989</v>
      </c>
      <c r="G34" s="210">
        <f>+'Depr - Cont, Shop, Serv, Office'!AB255</f>
        <v>18938.306833333339</v>
      </c>
      <c r="H34" s="210">
        <f>+'Depr - Cont, Shop, Serv, Office'!AC255</f>
        <v>3708.0120833333358</v>
      </c>
      <c r="I34" s="205"/>
      <c r="J34" s="205"/>
      <c r="K34" s="213">
        <f>$E34*[16]Ratios!$C$17</f>
        <v>1551.0228308760206</v>
      </c>
      <c r="L34" s="213">
        <f>$E34*[16]Ratios!$D$17</f>
        <v>0.87598198873226829</v>
      </c>
      <c r="M34" s="213">
        <f>$E34*[16]Ratios!$F$17</f>
        <v>285.56902046859443</v>
      </c>
      <c r="N34" s="205" t="s">
        <v>36</v>
      </c>
      <c r="O34" s="212">
        <f>E34-K34-L34-M34</f>
        <v>0</v>
      </c>
      <c r="P34" s="205"/>
      <c r="Q34" s="213">
        <f>$H34*[16]Ratios!$C$17</f>
        <v>3129.965757267651</v>
      </c>
      <c r="R34" s="213">
        <f>$H34*[16]Ratios!$D$17</f>
        <v>1.7677326046623356</v>
      </c>
      <c r="S34" s="213">
        <f>$H34*[16]Ratios!$F$17</f>
        <v>576.27859346102184</v>
      </c>
      <c r="T34" s="205" t="s">
        <v>36</v>
      </c>
      <c r="U34" s="212">
        <f>H34-Q34-R34-S34</f>
        <v>0</v>
      </c>
    </row>
    <row r="35" spans="1:21">
      <c r="B35" s="210"/>
      <c r="C35" s="210"/>
      <c r="D35" s="210"/>
      <c r="E35" s="210"/>
      <c r="F35" s="210"/>
      <c r="G35" s="210"/>
      <c r="H35" s="210"/>
      <c r="I35" s="205"/>
      <c r="J35" s="205"/>
      <c r="K35" s="213"/>
      <c r="L35" s="213"/>
      <c r="M35" s="213"/>
      <c r="N35" s="205"/>
      <c r="P35" s="205"/>
      <c r="Q35" s="213"/>
      <c r="R35" s="213"/>
      <c r="S35" s="213"/>
      <c r="T35" s="205"/>
    </row>
    <row r="36" spans="1:21">
      <c r="A36" s="223" t="s">
        <v>37</v>
      </c>
      <c r="B36" s="214">
        <f>SUM(B30:B35)</f>
        <v>198457.78999999998</v>
      </c>
      <c r="C36" s="214">
        <f t="shared" ref="C36:H36" si="3">SUM(C30:C35)</f>
        <v>240</v>
      </c>
      <c r="D36" s="214">
        <f t="shared" si="3"/>
        <v>198217.78999999998</v>
      </c>
      <c r="E36" s="214">
        <f t="shared" si="3"/>
        <v>12832.150166666117</v>
      </c>
      <c r="F36" s="214">
        <f t="shared" si="3"/>
        <v>121505.65158333317</v>
      </c>
      <c r="G36" s="214">
        <f t="shared" si="3"/>
        <v>134337.80174999929</v>
      </c>
      <c r="H36" s="214">
        <f t="shared" si="3"/>
        <v>34142.465000000448</v>
      </c>
      <c r="I36" s="215"/>
      <c r="J36" s="215"/>
      <c r="K36" s="214">
        <f>SUM(K30:K35)</f>
        <v>11309.292489001262</v>
      </c>
      <c r="L36" s="214">
        <f>SUM(L30:L35)</f>
        <v>40.002965381375581</v>
      </c>
      <c r="M36" s="214">
        <f>SUM(M30:M35)</f>
        <v>1482.8547122834798</v>
      </c>
      <c r="N36" s="215"/>
      <c r="O36" s="212">
        <f>E36-K36-L36-M36</f>
        <v>0</v>
      </c>
      <c r="P36" s="215"/>
      <c r="Q36" s="214">
        <f>SUM(Q30:Q35)</f>
        <v>30141.896566580028</v>
      </c>
      <c r="R36" s="214">
        <f>SUM(R30:R35)</f>
        <v>110.07539422981219</v>
      </c>
      <c r="S36" s="214">
        <f>SUM(S30:S35)</f>
        <v>3890.4930391906082</v>
      </c>
      <c r="T36" s="215"/>
      <c r="U36" s="212">
        <f>H36-Q36-R36-S36</f>
        <v>0</v>
      </c>
    </row>
    <row r="37" spans="1:21">
      <c r="B37" s="210"/>
      <c r="C37" s="210"/>
      <c r="D37" s="210"/>
      <c r="E37" s="210"/>
      <c r="F37" s="210"/>
      <c r="G37" s="210"/>
      <c r="H37" s="210"/>
      <c r="J37" s="216"/>
      <c r="K37" s="211"/>
      <c r="L37" s="211"/>
      <c r="M37" s="211"/>
      <c r="N37" s="205"/>
      <c r="P37" s="216"/>
      <c r="Q37" s="211"/>
      <c r="R37" s="211"/>
      <c r="S37" s="211"/>
      <c r="T37" s="205"/>
    </row>
    <row r="38" spans="1:21">
      <c r="A38" s="203" t="s">
        <v>38</v>
      </c>
      <c r="B38" s="210">
        <f>'2120 Depr - Orig'!N320</f>
        <v>266028.78000000003</v>
      </c>
      <c r="C38" s="210"/>
      <c r="D38" s="210">
        <f>'2120 Depr - Orig'!P320</f>
        <v>266028.78000000003</v>
      </c>
      <c r="E38" s="210">
        <f>+'Depr - Cont, Shop, Serv, Office'!V271</f>
        <v>18479.209800000001</v>
      </c>
      <c r="F38" s="210">
        <f>+'Depr - Cont, Shop, Serv, Office'!AA271</f>
        <v>140459.14605555593</v>
      </c>
      <c r="G38" s="210">
        <f>+'Depr - Cont, Shop, Serv, Office'!AB271</f>
        <v>158938.35585555594</v>
      </c>
      <c r="H38" s="210">
        <f>+'Depr - Cont, Shop, Serv, Office'!AC271</f>
        <v>115634.25904444407</v>
      </c>
      <c r="I38" s="205"/>
      <c r="J38" s="205"/>
      <c r="K38" s="213">
        <f>$E38*[16]Ratios!$C$49</f>
        <v>16401.120726405694</v>
      </c>
      <c r="L38" s="213">
        <f>$E38*[16]Ratios!$D$49</f>
        <v>65.76231245551601</v>
      </c>
      <c r="M38" s="213">
        <f>$E38*[16]Ratios!$E$49</f>
        <v>2012.3267611387903</v>
      </c>
      <c r="N38" s="203" t="s">
        <v>20</v>
      </c>
      <c r="O38" s="212">
        <f>E38-K38-L38-M38</f>
        <v>0</v>
      </c>
      <c r="P38" s="205"/>
      <c r="Q38" s="213">
        <f>$H38*[16]Ratios!$C$49</f>
        <v>102630.5487746774</v>
      </c>
      <c r="R38" s="213">
        <f>$H38*[16]Ratios!$D$49</f>
        <v>411.50981866350202</v>
      </c>
      <c r="S38" s="213">
        <f>$H38*[16]Ratios!$E$49</f>
        <v>12592.200451103163</v>
      </c>
      <c r="T38" s="203" t="s">
        <v>20</v>
      </c>
      <c r="U38" s="212">
        <f>H38-Q38-R38-S38</f>
        <v>0</v>
      </c>
    </row>
    <row r="39" spans="1:21">
      <c r="B39" s="210"/>
      <c r="C39" s="210"/>
      <c r="D39" s="210"/>
      <c r="E39" s="210"/>
      <c r="F39" s="210"/>
      <c r="G39" s="210"/>
      <c r="H39" s="210"/>
      <c r="I39" s="205"/>
      <c r="J39" s="217"/>
      <c r="K39" s="211"/>
      <c r="L39" s="211"/>
      <c r="M39" s="211"/>
      <c r="N39" s="205"/>
      <c r="P39" s="216"/>
      <c r="Q39" s="211"/>
      <c r="R39" s="211"/>
      <c r="S39" s="211"/>
      <c r="T39" s="205"/>
    </row>
    <row r="40" spans="1:21">
      <c r="A40" s="203" t="s">
        <v>39</v>
      </c>
      <c r="B40" s="210">
        <v>20000</v>
      </c>
      <c r="C40" s="210"/>
      <c r="D40" s="210">
        <v>20000</v>
      </c>
      <c r="E40" s="210"/>
      <c r="F40" s="210"/>
      <c r="G40" s="210"/>
      <c r="H40" s="210">
        <v>20000</v>
      </c>
      <c r="I40" s="205"/>
      <c r="J40" s="218"/>
      <c r="K40" s="213"/>
      <c r="L40" s="213"/>
      <c r="M40" s="213"/>
      <c r="P40" s="205"/>
      <c r="Q40" s="213">
        <f>$H40*[16]Ratios!$C$49</f>
        <v>17750.889679715303</v>
      </c>
      <c r="R40" s="213">
        <f>$H40*[16]Ratios!$D$49</f>
        <v>71.17437722419929</v>
      </c>
      <c r="S40" s="213">
        <f>$H40*[16]Ratios!$E$49</f>
        <v>2177.9359430604982</v>
      </c>
      <c r="T40" s="203" t="s">
        <v>20</v>
      </c>
      <c r="U40" s="212">
        <f>H40-Q40-R40-S40</f>
        <v>0</v>
      </c>
    </row>
    <row r="41" spans="1:21">
      <c r="B41" s="210"/>
      <c r="C41" s="210"/>
      <c r="D41" s="210"/>
      <c r="E41" s="210"/>
      <c r="F41" s="210"/>
      <c r="G41" s="210"/>
      <c r="H41" s="210"/>
      <c r="I41" s="205"/>
      <c r="J41" s="205"/>
      <c r="K41" s="213"/>
      <c r="L41" s="213"/>
      <c r="M41" s="213"/>
      <c r="N41" s="205"/>
      <c r="P41" s="205"/>
      <c r="Q41" s="213"/>
      <c r="R41" s="213"/>
      <c r="S41" s="213"/>
      <c r="T41" s="205"/>
    </row>
    <row r="42" spans="1:21">
      <c r="A42" s="203" t="s">
        <v>40</v>
      </c>
      <c r="B42" s="210">
        <v>5000</v>
      </c>
      <c r="C42" s="210"/>
      <c r="D42" s="210">
        <v>5000</v>
      </c>
      <c r="E42" s="210"/>
      <c r="F42" s="210"/>
      <c r="G42" s="210"/>
      <c r="H42" s="210">
        <v>5000</v>
      </c>
      <c r="I42" s="205"/>
      <c r="J42" s="218"/>
      <c r="K42" s="213"/>
      <c r="L42" s="213"/>
      <c r="M42" s="213"/>
      <c r="N42" s="205"/>
      <c r="P42" s="205"/>
      <c r="Q42" s="213">
        <f>H42*[16]Ratios!$C$61</f>
        <v>4121.6981841851584</v>
      </c>
      <c r="R42" s="213"/>
      <c r="S42" s="213">
        <f>$H42*[16]Ratios!$E$61</f>
        <v>878.30181581484135</v>
      </c>
      <c r="T42" s="205" t="s">
        <v>28</v>
      </c>
      <c r="U42" s="212">
        <f>H42-Q42-R42-S42</f>
        <v>0</v>
      </c>
    </row>
    <row r="43" spans="1:21">
      <c r="A43" s="203" t="s">
        <v>41</v>
      </c>
      <c r="B43" s="210"/>
      <c r="C43" s="210"/>
      <c r="D43" s="210"/>
      <c r="E43" s="210"/>
      <c r="F43" s="210"/>
      <c r="G43" s="210"/>
      <c r="H43" s="210"/>
      <c r="I43" s="205"/>
      <c r="J43" s="205"/>
      <c r="K43" s="213"/>
      <c r="L43" s="213"/>
      <c r="M43" s="213"/>
      <c r="N43" s="205"/>
      <c r="P43" s="205"/>
      <c r="Q43" s="213"/>
      <c r="R43" s="213"/>
      <c r="S43" s="213"/>
      <c r="T43" s="205"/>
    </row>
    <row r="44" spans="1:21" s="219" customFormat="1">
      <c r="A44" s="223" t="s">
        <v>42</v>
      </c>
      <c r="B44" s="214">
        <f t="shared" ref="B44:H44" si="4">SUM(B38:B43)</f>
        <v>291028.78000000003</v>
      </c>
      <c r="C44" s="214">
        <f t="shared" si="4"/>
        <v>0</v>
      </c>
      <c r="D44" s="214">
        <f t="shared" si="4"/>
        <v>291028.78000000003</v>
      </c>
      <c r="E44" s="214">
        <f t="shared" si="4"/>
        <v>18479.209800000001</v>
      </c>
      <c r="F44" s="214">
        <f t="shared" si="4"/>
        <v>140459.14605555593</v>
      </c>
      <c r="G44" s="214">
        <f t="shared" si="4"/>
        <v>158938.35585555594</v>
      </c>
      <c r="H44" s="214">
        <f t="shared" si="4"/>
        <v>140634.25904444407</v>
      </c>
      <c r="I44" s="215"/>
      <c r="J44" s="215"/>
      <c r="K44" s="214">
        <f>SUM(K38:K43)</f>
        <v>16401.120726405694</v>
      </c>
      <c r="L44" s="214">
        <f>SUM(L38:L43)</f>
        <v>65.76231245551601</v>
      </c>
      <c r="M44" s="214">
        <f>SUM(M38:M43)</f>
        <v>2012.3267611387903</v>
      </c>
      <c r="N44" s="215"/>
      <c r="O44" s="215"/>
      <c r="P44" s="215"/>
      <c r="Q44" s="214">
        <f>SUM(Q38:Q43)</f>
        <v>124503.13663857785</v>
      </c>
      <c r="R44" s="214">
        <f>SUM(R38:R43)</f>
        <v>482.68419588770132</v>
      </c>
      <c r="S44" s="214">
        <f>SUM(S38:S43)</f>
        <v>15648.438209978502</v>
      </c>
      <c r="T44" s="215"/>
      <c r="U44" s="215"/>
    </row>
    <row r="45" spans="1:21">
      <c r="B45" s="210"/>
      <c r="C45" s="210"/>
      <c r="D45" s="210"/>
      <c r="E45" s="210"/>
      <c r="F45" s="210"/>
      <c r="G45" s="210"/>
      <c r="H45" s="210"/>
      <c r="J45" s="205"/>
      <c r="K45" s="213"/>
      <c r="L45" s="213"/>
      <c r="M45" s="213"/>
      <c r="N45" s="205"/>
      <c r="Q45" s="213"/>
      <c r="R45" s="213"/>
      <c r="S45" s="213"/>
      <c r="T45" s="205"/>
    </row>
    <row r="46" spans="1:21" s="219" customFormat="1" ht="12.75" thickBot="1">
      <c r="A46" s="224" t="s">
        <v>43</v>
      </c>
      <c r="B46" s="220">
        <f>B17+B28+B36+B44</f>
        <v>4038914.2650000006</v>
      </c>
      <c r="C46" s="220">
        <f t="shared" ref="C46:H46" si="5">C17+C28+C36+C44</f>
        <v>240</v>
      </c>
      <c r="D46" s="220">
        <f t="shared" si="5"/>
        <v>4038674.2650000006</v>
      </c>
      <c r="E46" s="220">
        <f t="shared" si="5"/>
        <v>370708.29494603182</v>
      </c>
      <c r="F46" s="220">
        <f t="shared" si="5"/>
        <v>1798589.5420869046</v>
      </c>
      <c r="G46" s="220">
        <f t="shared" si="5"/>
        <v>2172438.772032938</v>
      </c>
      <c r="H46" s="220">
        <f t="shared" si="5"/>
        <v>1865608.0410234123</v>
      </c>
      <c r="I46" s="215"/>
      <c r="J46" s="215"/>
      <c r="K46" s="220">
        <f t="shared" ref="K46:M46" si="6">K17+K28+K36+K44</f>
        <v>329222.02868636663</v>
      </c>
      <c r="L46" s="220">
        <f t="shared" si="6"/>
        <v>2905.7652778368915</v>
      </c>
      <c r="M46" s="220">
        <f t="shared" si="6"/>
        <v>38580.500981828212</v>
      </c>
      <c r="N46" s="215"/>
      <c r="O46" s="252">
        <f>E46-K46-L46-M46</f>
        <v>8.7311491370201111E-11</v>
      </c>
      <c r="P46" s="215"/>
      <c r="Q46" s="220">
        <f t="shared" ref="Q46:S46" si="7">Q17+Q28+Q36+Q44</f>
        <v>1653336.3662505636</v>
      </c>
      <c r="R46" s="220">
        <f t="shared" si="7"/>
        <v>592.75959011751354</v>
      </c>
      <c r="S46" s="220">
        <f t="shared" si="7"/>
        <v>211678.915182731</v>
      </c>
      <c r="T46" s="215"/>
      <c r="U46" s="212">
        <f>H46-Q46-R46-S46</f>
        <v>0</v>
      </c>
    </row>
    <row r="47" spans="1:21" ht="12.75" thickTop="1">
      <c r="B47" s="221">
        <f>+B46-'Truck Depr - w Salvage '!L77-'Depr - Cont, Shop, Serv, Office'!N274</f>
        <v>25000.000000000466</v>
      </c>
      <c r="C47" s="221"/>
      <c r="D47" s="221">
        <f>+D46-'Truck Depr - w Salvage '!N77-'Depr - Cont, Shop, Serv, Office'!P274</f>
        <v>25000.000000000466</v>
      </c>
      <c r="E47" s="221">
        <f>+'Truck Depr - w Salvage '!Q77+'Depr - Cont, Shop, Serv, Office'!V274-'2120 Depr Summary'!E46</f>
        <v>0</v>
      </c>
      <c r="F47" s="221"/>
      <c r="G47" s="221"/>
      <c r="H47" s="221">
        <f>+H46-'Depr - Cont, Shop, Serv, Office'!AC274-'Truck Depr - w Salvage '!U77</f>
        <v>25000</v>
      </c>
      <c r="J47" s="205"/>
      <c r="K47" s="213"/>
      <c r="L47" s="213"/>
      <c r="M47" s="213"/>
      <c r="N47" s="205"/>
      <c r="S47" s="205"/>
    </row>
    <row r="48" spans="1:21">
      <c r="B48" s="205"/>
      <c r="C48" s="205"/>
      <c r="D48" s="205"/>
      <c r="E48" s="205"/>
      <c r="F48" s="205"/>
      <c r="G48" s="205"/>
      <c r="H48" s="205"/>
      <c r="J48" s="205"/>
      <c r="K48" s="205"/>
      <c r="L48" s="205"/>
      <c r="M48" s="215"/>
      <c r="N48" s="205"/>
      <c r="S48" s="215"/>
      <c r="T48" s="205"/>
    </row>
    <row r="49" spans="1:14">
      <c r="H49" s="205"/>
      <c r="J49" s="205"/>
      <c r="K49" s="205"/>
      <c r="L49" s="205"/>
      <c r="M49" s="205"/>
      <c r="N49" s="205"/>
    </row>
    <row r="50" spans="1:14">
      <c r="A50" s="4"/>
      <c r="B50" s="1"/>
      <c r="C50" s="2"/>
      <c r="D50" s="2"/>
      <c r="E50" s="3"/>
    </row>
  </sheetData>
  <mergeCells count="2">
    <mergeCell ref="K4:M4"/>
    <mergeCell ref="Q4:S4"/>
  </mergeCells>
  <pageMargins left="0.25" right="0.25" top="0.75" bottom="0.75" header="0.3" footer="0.3"/>
  <pageSetup scale="56" fitToHeight="2" orientation="landscape" horizontalDpi="300" verticalDpi="300" r:id="rId1"/>
  <headerFooter alignWithMargins="0"/>
  <rowBreaks count="2" manualBreakCount="2">
    <brk id="47" max="16383" man="1"/>
    <brk id="48" max="20" man="1"/>
  </rowBreaks>
  <colBreaks count="1" manualBreakCount="1">
    <brk id="15" max="7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HT101"/>
  <sheetViews>
    <sheetView showGridLines="0" tabSelected="1" view="pageBreakPreview" zoomScaleNormal="100" zoomScaleSheetLayoutView="100" workbookViewId="0">
      <pane ySplit="11" topLeftCell="A24" activePane="bottomLeft" state="frozen"/>
      <selection activeCell="A50" sqref="A50:XFD71"/>
      <selection pane="bottomLeft" activeCell="A50" sqref="A50:XFD71"/>
    </sheetView>
  </sheetViews>
  <sheetFormatPr defaultColWidth="10.7109375" defaultRowHeight="11.25" outlineLevelCol="1"/>
  <cols>
    <col min="1" max="1" width="11.7109375" style="110" hidden="1" customWidth="1" outlineLevel="1"/>
    <col min="2" max="2" width="10.28515625" style="110" customWidth="1" collapsed="1"/>
    <col min="3" max="3" width="10.28515625" style="110" customWidth="1"/>
    <col min="4" max="4" width="26.85546875" style="110" customWidth="1"/>
    <col min="5" max="5" width="7.28515625" style="110" bestFit="1" customWidth="1"/>
    <col min="6" max="6" width="3.42578125" style="110" bestFit="1" customWidth="1"/>
    <col min="7" max="7" width="6.28515625" style="119" customWidth="1"/>
    <col min="8" max="8" width="1.42578125" style="110" customWidth="1"/>
    <col min="9" max="9" width="6.28515625" style="110" customWidth="1"/>
    <col min="10" max="10" width="4.42578125" style="110" customWidth="1"/>
    <col min="11" max="11" width="5" style="113" customWidth="1"/>
    <col min="12" max="12" width="9" style="114" bestFit="1" customWidth="1"/>
    <col min="13" max="13" width="6.140625" style="110" customWidth="1"/>
    <col min="14" max="14" width="9" style="110" bestFit="1" customWidth="1"/>
    <col min="15" max="15" width="7" style="110" customWidth="1"/>
    <col min="16" max="16" width="7.7109375" style="110" customWidth="1"/>
    <col min="17" max="17" width="7.7109375" style="110" bestFit="1" customWidth="1"/>
    <col min="18" max="18" width="1.5703125" style="110" customWidth="1"/>
    <col min="19" max="20" width="10.85546875" style="110" bestFit="1" customWidth="1"/>
    <col min="21" max="21" width="10" style="110" bestFit="1" customWidth="1"/>
    <col min="22" max="45" width="10.7109375" style="110" customWidth="1"/>
    <col min="46" max="46" width="1.85546875" style="110" bestFit="1" customWidth="1"/>
    <col min="47" max="47" width="35.7109375" style="110" bestFit="1" customWidth="1"/>
    <col min="48" max="49" width="10.7109375" style="110" customWidth="1"/>
    <col min="50" max="50" width="2.7109375" style="110" bestFit="1" customWidth="1"/>
    <col min="51" max="51" width="12.140625" style="110" bestFit="1" customWidth="1"/>
    <col min="52" max="227" width="10.7109375" style="110"/>
    <col min="228" max="228" width="7.85546875" style="110" bestFit="1" customWidth="1"/>
    <col min="229" max="229" width="5.28515625" style="110" customWidth="1"/>
    <col min="230" max="230" width="6.42578125" style="110" customWidth="1"/>
    <col min="231" max="231" width="22" style="110" customWidth="1"/>
    <col min="232" max="232" width="7.5703125" style="110" bestFit="1" customWidth="1"/>
    <col min="233" max="233" width="4.42578125" style="110" customWidth="1"/>
    <col min="234" max="234" width="7.42578125" style="110" bestFit="1" customWidth="1"/>
    <col min="235" max="235" width="2.85546875" style="110" bestFit="1" customWidth="1"/>
    <col min="236" max="236" width="7" style="110" bestFit="1" customWidth="1"/>
    <col min="237" max="237" width="5.7109375" style="110" bestFit="1" customWidth="1"/>
    <col min="238" max="238" width="7.85546875" style="110" bestFit="1" customWidth="1"/>
    <col min="239" max="240" width="0" style="110" hidden="1" customWidth="1"/>
    <col min="241" max="241" width="12.5703125" style="110" customWidth="1"/>
    <col min="242" max="242" width="0" style="110" hidden="1" customWidth="1"/>
    <col min="243" max="243" width="11" style="110" customWidth="1"/>
    <col min="244" max="244" width="9.140625" style="110" customWidth="1"/>
    <col min="245" max="245" width="9.85546875" style="110" customWidth="1"/>
    <col min="246" max="249" width="0" style="110" hidden="1" customWidth="1"/>
    <col min="250" max="250" width="1.5703125" style="110" customWidth="1"/>
    <col min="251" max="253" width="0" style="110" hidden="1" customWidth="1"/>
    <col min="254" max="254" width="10.42578125" style="110" customWidth="1"/>
    <col min="255" max="256" width="11" style="110" customWidth="1"/>
    <col min="257" max="257" width="9.42578125" style="110" customWidth="1"/>
    <col min="258" max="258" width="10" style="110" customWidth="1"/>
    <col min="259" max="259" width="11" style="110" customWidth="1"/>
    <col min="260" max="260" width="9.5703125" style="110" customWidth="1"/>
    <col min="261" max="261" width="10.140625" style="110" customWidth="1"/>
    <col min="262" max="301" width="10.7109375" style="110" customWidth="1"/>
    <col min="302" max="302" width="1.85546875" style="110" bestFit="1" customWidth="1"/>
    <col min="303" max="303" width="34.5703125" style="110" bestFit="1" customWidth="1"/>
    <col min="304" max="305" width="10.7109375" style="110" customWidth="1"/>
    <col min="306" max="306" width="2.7109375" style="110" bestFit="1" customWidth="1"/>
    <col min="307" max="307" width="11.5703125" style="110" bestFit="1" customWidth="1"/>
    <col min="308" max="484" width="10.7109375" style="110"/>
    <col min="485" max="485" width="5.28515625" style="110" customWidth="1"/>
    <col min="486" max="486" width="6.42578125" style="110" customWidth="1"/>
    <col min="487" max="487" width="22" style="110" customWidth="1"/>
    <col min="488" max="488" width="7.5703125" style="110" bestFit="1" customWidth="1"/>
    <col min="489" max="489" width="4.42578125" style="110" customWidth="1"/>
    <col min="490" max="490" width="7.42578125" style="110" bestFit="1" customWidth="1"/>
    <col min="491" max="491" width="2.85546875" style="110" bestFit="1" customWidth="1"/>
    <col min="492" max="492" width="7" style="110" bestFit="1" customWidth="1"/>
    <col min="493" max="493" width="5.7109375" style="110" bestFit="1" customWidth="1"/>
    <col min="494" max="494" width="7.85546875" style="110" bestFit="1" customWidth="1"/>
    <col min="495" max="496" width="0" style="110" hidden="1" customWidth="1"/>
    <col min="497" max="497" width="12.5703125" style="110" customWidth="1"/>
    <col min="498" max="498" width="0" style="110" hidden="1" customWidth="1"/>
    <col min="499" max="499" width="11" style="110" customWidth="1"/>
    <col min="500" max="500" width="9.140625" style="110" customWidth="1"/>
    <col min="501" max="501" width="9.85546875" style="110" customWidth="1"/>
    <col min="502" max="505" width="0" style="110" hidden="1" customWidth="1"/>
    <col min="506" max="506" width="1.5703125" style="110" customWidth="1"/>
    <col min="507" max="509" width="0" style="110" hidden="1" customWidth="1"/>
    <col min="510" max="510" width="10.42578125" style="110" customWidth="1"/>
    <col min="511" max="512" width="11" style="110" customWidth="1"/>
    <col min="513" max="513" width="9.42578125" style="110" customWidth="1"/>
    <col min="514" max="514" width="10" style="110" customWidth="1"/>
    <col min="515" max="515" width="11" style="110" customWidth="1"/>
    <col min="516" max="516" width="9.5703125" style="110" customWidth="1"/>
    <col min="517" max="517" width="10.140625" style="110" customWidth="1"/>
    <col min="518" max="557" width="10.7109375" style="110" customWidth="1"/>
    <col min="558" max="558" width="1.85546875" style="110" bestFit="1" customWidth="1"/>
    <col min="559" max="559" width="34.5703125" style="110" bestFit="1" customWidth="1"/>
    <col min="560" max="561" width="10.7109375" style="110" customWidth="1"/>
    <col min="562" max="562" width="2.7109375" style="110" bestFit="1" customWidth="1"/>
    <col min="563" max="563" width="11.5703125" style="110" bestFit="1" customWidth="1"/>
    <col min="564" max="740" width="10.7109375" style="110"/>
    <col min="741" max="741" width="5.28515625" style="110" customWidth="1"/>
    <col min="742" max="742" width="6.42578125" style="110" customWidth="1"/>
    <col min="743" max="743" width="22" style="110" customWidth="1"/>
    <col min="744" max="744" width="7.5703125" style="110" bestFit="1" customWidth="1"/>
    <col min="745" max="745" width="4.42578125" style="110" customWidth="1"/>
    <col min="746" max="746" width="7.42578125" style="110" bestFit="1" customWidth="1"/>
    <col min="747" max="747" width="2.85546875" style="110" bestFit="1" customWidth="1"/>
    <col min="748" max="748" width="7" style="110" bestFit="1" customWidth="1"/>
    <col min="749" max="749" width="5.7109375" style="110" bestFit="1" customWidth="1"/>
    <col min="750" max="750" width="7.85546875" style="110" bestFit="1" customWidth="1"/>
    <col min="751" max="752" width="0" style="110" hidden="1" customWidth="1"/>
    <col min="753" max="753" width="12.5703125" style="110" customWidth="1"/>
    <col min="754" max="754" width="0" style="110" hidden="1" customWidth="1"/>
    <col min="755" max="755" width="11" style="110" customWidth="1"/>
    <col min="756" max="756" width="9.140625" style="110" customWidth="1"/>
    <col min="757" max="757" width="9.85546875" style="110" customWidth="1"/>
    <col min="758" max="761" width="0" style="110" hidden="1" customWidth="1"/>
    <col min="762" max="762" width="1.5703125" style="110" customWidth="1"/>
    <col min="763" max="765" width="0" style="110" hidden="1" customWidth="1"/>
    <col min="766" max="766" width="10.42578125" style="110" customWidth="1"/>
    <col min="767" max="768" width="11" style="110" customWidth="1"/>
    <col min="769" max="769" width="9.42578125" style="110" customWidth="1"/>
    <col min="770" max="770" width="10" style="110" customWidth="1"/>
    <col min="771" max="771" width="11" style="110" customWidth="1"/>
    <col min="772" max="772" width="9.5703125" style="110" customWidth="1"/>
    <col min="773" max="773" width="10.140625" style="110" customWidth="1"/>
    <col min="774" max="813" width="10.7109375" style="110" customWidth="1"/>
    <col min="814" max="814" width="1.85546875" style="110" bestFit="1" customWidth="1"/>
    <col min="815" max="815" width="34.5703125" style="110" bestFit="1" customWidth="1"/>
    <col min="816" max="817" width="10.7109375" style="110" customWidth="1"/>
    <col min="818" max="818" width="2.7109375" style="110" bestFit="1" customWidth="1"/>
    <col min="819" max="819" width="11.5703125" style="110" bestFit="1" customWidth="1"/>
    <col min="820" max="996" width="10.7109375" style="110"/>
    <col min="997" max="997" width="5.28515625" style="110" customWidth="1"/>
    <col min="998" max="998" width="6.42578125" style="110" customWidth="1"/>
    <col min="999" max="999" width="22" style="110" customWidth="1"/>
    <col min="1000" max="1000" width="7.5703125" style="110" bestFit="1" customWidth="1"/>
    <col min="1001" max="1001" width="4.42578125" style="110" customWidth="1"/>
    <col min="1002" max="1002" width="7.42578125" style="110" bestFit="1" customWidth="1"/>
    <col min="1003" max="1003" width="2.85546875" style="110" bestFit="1" customWidth="1"/>
    <col min="1004" max="1004" width="7" style="110" bestFit="1" customWidth="1"/>
    <col min="1005" max="1005" width="5.7109375" style="110" bestFit="1" customWidth="1"/>
    <col min="1006" max="1006" width="7.85546875" style="110" bestFit="1" customWidth="1"/>
    <col min="1007" max="1008" width="0" style="110" hidden="1" customWidth="1"/>
    <col min="1009" max="1009" width="12.5703125" style="110" customWidth="1"/>
    <col min="1010" max="1010" width="0" style="110" hidden="1" customWidth="1"/>
    <col min="1011" max="1011" width="11" style="110" customWidth="1"/>
    <col min="1012" max="1012" width="9.140625" style="110" customWidth="1"/>
    <col min="1013" max="1013" width="9.85546875" style="110" customWidth="1"/>
    <col min="1014" max="1017" width="0" style="110" hidden="1" customWidth="1"/>
    <col min="1018" max="1018" width="1.5703125" style="110" customWidth="1"/>
    <col min="1019" max="1021" width="0" style="110" hidden="1" customWidth="1"/>
    <col min="1022" max="1022" width="10.42578125" style="110" customWidth="1"/>
    <col min="1023" max="1024" width="11" style="110" customWidth="1"/>
    <col min="1025" max="1025" width="9.42578125" style="110" customWidth="1"/>
    <col min="1026" max="1026" width="10" style="110" customWidth="1"/>
    <col min="1027" max="1027" width="11" style="110" customWidth="1"/>
    <col min="1028" max="1028" width="9.5703125" style="110" customWidth="1"/>
    <col min="1029" max="1029" width="10.140625" style="110" customWidth="1"/>
    <col min="1030" max="1069" width="10.7109375" style="110" customWidth="1"/>
    <col min="1070" max="1070" width="1.85546875" style="110" bestFit="1" customWidth="1"/>
    <col min="1071" max="1071" width="34.5703125" style="110" bestFit="1" customWidth="1"/>
    <col min="1072" max="1073" width="10.7109375" style="110" customWidth="1"/>
    <col min="1074" max="1074" width="2.7109375" style="110" bestFit="1" customWidth="1"/>
    <col min="1075" max="1075" width="11.5703125" style="110" bestFit="1" customWidth="1"/>
    <col min="1076" max="1252" width="10.7109375" style="110"/>
    <col min="1253" max="1253" width="5.28515625" style="110" customWidth="1"/>
    <col min="1254" max="1254" width="6.42578125" style="110" customWidth="1"/>
    <col min="1255" max="1255" width="22" style="110" customWidth="1"/>
    <col min="1256" max="1256" width="7.5703125" style="110" bestFit="1" customWidth="1"/>
    <col min="1257" max="1257" width="4.42578125" style="110" customWidth="1"/>
    <col min="1258" max="1258" width="7.42578125" style="110" bestFit="1" customWidth="1"/>
    <col min="1259" max="1259" width="2.85546875" style="110" bestFit="1" customWidth="1"/>
    <col min="1260" max="1260" width="7" style="110" bestFit="1" customWidth="1"/>
    <col min="1261" max="1261" width="5.7109375" style="110" bestFit="1" customWidth="1"/>
    <col min="1262" max="1262" width="7.85546875" style="110" bestFit="1" customWidth="1"/>
    <col min="1263" max="1264" width="0" style="110" hidden="1" customWidth="1"/>
    <col min="1265" max="1265" width="12.5703125" style="110" customWidth="1"/>
    <col min="1266" max="1266" width="0" style="110" hidden="1" customWidth="1"/>
    <col min="1267" max="1267" width="11" style="110" customWidth="1"/>
    <col min="1268" max="1268" width="9.140625" style="110" customWidth="1"/>
    <col min="1269" max="1269" width="9.85546875" style="110" customWidth="1"/>
    <col min="1270" max="1273" width="0" style="110" hidden="1" customWidth="1"/>
    <col min="1274" max="1274" width="1.5703125" style="110" customWidth="1"/>
    <col min="1275" max="1277" width="0" style="110" hidden="1" customWidth="1"/>
    <col min="1278" max="1278" width="10.42578125" style="110" customWidth="1"/>
    <col min="1279" max="1280" width="11" style="110" customWidth="1"/>
    <col min="1281" max="1281" width="9.42578125" style="110" customWidth="1"/>
    <col min="1282" max="1282" width="10" style="110" customWidth="1"/>
    <col min="1283" max="1283" width="11" style="110" customWidth="1"/>
    <col min="1284" max="1284" width="9.5703125" style="110" customWidth="1"/>
    <col min="1285" max="1285" width="10.140625" style="110" customWidth="1"/>
    <col min="1286" max="1325" width="10.7109375" style="110" customWidth="1"/>
    <col min="1326" max="1326" width="1.85546875" style="110" bestFit="1" customWidth="1"/>
    <col min="1327" max="1327" width="34.5703125" style="110" bestFit="1" customWidth="1"/>
    <col min="1328" max="1329" width="10.7109375" style="110" customWidth="1"/>
    <col min="1330" max="1330" width="2.7109375" style="110" bestFit="1" customWidth="1"/>
    <col min="1331" max="1331" width="11.5703125" style="110" bestFit="1" customWidth="1"/>
    <col min="1332" max="1508" width="10.7109375" style="110"/>
    <col min="1509" max="1509" width="5.28515625" style="110" customWidth="1"/>
    <col min="1510" max="1510" width="6.42578125" style="110" customWidth="1"/>
    <col min="1511" max="1511" width="22" style="110" customWidth="1"/>
    <col min="1512" max="1512" width="7.5703125" style="110" bestFit="1" customWidth="1"/>
    <col min="1513" max="1513" width="4.42578125" style="110" customWidth="1"/>
    <col min="1514" max="1514" width="7.42578125" style="110" bestFit="1" customWidth="1"/>
    <col min="1515" max="1515" width="2.85546875" style="110" bestFit="1" customWidth="1"/>
    <col min="1516" max="1516" width="7" style="110" bestFit="1" customWidth="1"/>
    <col min="1517" max="1517" width="5.7109375" style="110" bestFit="1" customWidth="1"/>
    <col min="1518" max="1518" width="7.85546875" style="110" bestFit="1" customWidth="1"/>
    <col min="1519" max="1520" width="0" style="110" hidden="1" customWidth="1"/>
    <col min="1521" max="1521" width="12.5703125" style="110" customWidth="1"/>
    <col min="1522" max="1522" width="0" style="110" hidden="1" customWidth="1"/>
    <col min="1523" max="1523" width="11" style="110" customWidth="1"/>
    <col min="1524" max="1524" width="9.140625" style="110" customWidth="1"/>
    <col min="1525" max="1525" width="9.85546875" style="110" customWidth="1"/>
    <col min="1526" max="1529" width="0" style="110" hidden="1" customWidth="1"/>
    <col min="1530" max="1530" width="1.5703125" style="110" customWidth="1"/>
    <col min="1531" max="1533" width="0" style="110" hidden="1" customWidth="1"/>
    <col min="1534" max="1534" width="10.42578125" style="110" customWidth="1"/>
    <col min="1535" max="1536" width="11" style="110" customWidth="1"/>
    <col min="1537" max="1537" width="9.42578125" style="110" customWidth="1"/>
    <col min="1538" max="1538" width="10" style="110" customWidth="1"/>
    <col min="1539" max="1539" width="11" style="110" customWidth="1"/>
    <col min="1540" max="1540" width="9.5703125" style="110" customWidth="1"/>
    <col min="1541" max="1541" width="10.140625" style="110" customWidth="1"/>
    <col min="1542" max="1581" width="10.7109375" style="110" customWidth="1"/>
    <col min="1582" max="1582" width="1.85546875" style="110" bestFit="1" customWidth="1"/>
    <col min="1583" max="1583" width="34.5703125" style="110" bestFit="1" customWidth="1"/>
    <col min="1584" max="1585" width="10.7109375" style="110" customWidth="1"/>
    <col min="1586" max="1586" width="2.7109375" style="110" bestFit="1" customWidth="1"/>
    <col min="1587" max="1587" width="11.5703125" style="110" bestFit="1" customWidth="1"/>
    <col min="1588" max="1764" width="10.7109375" style="110"/>
    <col min="1765" max="1765" width="5.28515625" style="110" customWidth="1"/>
    <col min="1766" max="1766" width="6.42578125" style="110" customWidth="1"/>
    <col min="1767" max="1767" width="22" style="110" customWidth="1"/>
    <col min="1768" max="1768" width="7.5703125" style="110" bestFit="1" customWidth="1"/>
    <col min="1769" max="1769" width="4.42578125" style="110" customWidth="1"/>
    <col min="1770" max="1770" width="7.42578125" style="110" bestFit="1" customWidth="1"/>
    <col min="1771" max="1771" width="2.85546875" style="110" bestFit="1" customWidth="1"/>
    <col min="1772" max="1772" width="7" style="110" bestFit="1" customWidth="1"/>
    <col min="1773" max="1773" width="5.7109375" style="110" bestFit="1" customWidth="1"/>
    <col min="1774" max="1774" width="7.85546875" style="110" bestFit="1" customWidth="1"/>
    <col min="1775" max="1776" width="0" style="110" hidden="1" customWidth="1"/>
    <col min="1777" max="1777" width="12.5703125" style="110" customWidth="1"/>
    <col min="1778" max="1778" width="0" style="110" hidden="1" customWidth="1"/>
    <col min="1779" max="1779" width="11" style="110" customWidth="1"/>
    <col min="1780" max="1780" width="9.140625" style="110" customWidth="1"/>
    <col min="1781" max="1781" width="9.85546875" style="110" customWidth="1"/>
    <col min="1782" max="1785" width="0" style="110" hidden="1" customWidth="1"/>
    <col min="1786" max="1786" width="1.5703125" style="110" customWidth="1"/>
    <col min="1787" max="1789" width="0" style="110" hidden="1" customWidth="1"/>
    <col min="1790" max="1790" width="10.42578125" style="110" customWidth="1"/>
    <col min="1791" max="1792" width="11" style="110" customWidth="1"/>
    <col min="1793" max="1793" width="9.42578125" style="110" customWidth="1"/>
    <col min="1794" max="1794" width="10" style="110" customWidth="1"/>
    <col min="1795" max="1795" width="11" style="110" customWidth="1"/>
    <col min="1796" max="1796" width="9.5703125" style="110" customWidth="1"/>
    <col min="1797" max="1797" width="10.140625" style="110" customWidth="1"/>
    <col min="1798" max="1837" width="10.7109375" style="110" customWidth="1"/>
    <col min="1838" max="1838" width="1.85546875" style="110" bestFit="1" customWidth="1"/>
    <col min="1839" max="1839" width="34.5703125" style="110" bestFit="1" customWidth="1"/>
    <col min="1840" max="1841" width="10.7109375" style="110" customWidth="1"/>
    <col min="1842" max="1842" width="2.7109375" style="110" bestFit="1" customWidth="1"/>
    <col min="1843" max="1843" width="11.5703125" style="110" bestFit="1" customWidth="1"/>
    <col min="1844" max="2020" width="10.7109375" style="110"/>
    <col min="2021" max="2021" width="5.28515625" style="110" customWidth="1"/>
    <col min="2022" max="2022" width="6.42578125" style="110" customWidth="1"/>
    <col min="2023" max="2023" width="22" style="110" customWidth="1"/>
    <col min="2024" max="2024" width="7.5703125" style="110" bestFit="1" customWidth="1"/>
    <col min="2025" max="2025" width="4.42578125" style="110" customWidth="1"/>
    <col min="2026" max="2026" width="7.42578125" style="110" bestFit="1" customWidth="1"/>
    <col min="2027" max="2027" width="2.85546875" style="110" bestFit="1" customWidth="1"/>
    <col min="2028" max="2028" width="7" style="110" bestFit="1" customWidth="1"/>
    <col min="2029" max="2029" width="5.7109375" style="110" bestFit="1" customWidth="1"/>
    <col min="2030" max="2030" width="7.85546875" style="110" bestFit="1" customWidth="1"/>
    <col min="2031" max="2032" width="0" style="110" hidden="1" customWidth="1"/>
    <col min="2033" max="2033" width="12.5703125" style="110" customWidth="1"/>
    <col min="2034" max="2034" width="0" style="110" hidden="1" customWidth="1"/>
    <col min="2035" max="2035" width="11" style="110" customWidth="1"/>
    <col min="2036" max="2036" width="9.140625" style="110" customWidth="1"/>
    <col min="2037" max="2037" width="9.85546875" style="110" customWidth="1"/>
    <col min="2038" max="2041" width="0" style="110" hidden="1" customWidth="1"/>
    <col min="2042" max="2042" width="1.5703125" style="110" customWidth="1"/>
    <col min="2043" max="2045" width="0" style="110" hidden="1" customWidth="1"/>
    <col min="2046" max="2046" width="10.42578125" style="110" customWidth="1"/>
    <col min="2047" max="2048" width="11" style="110" customWidth="1"/>
    <col min="2049" max="2049" width="9.42578125" style="110" customWidth="1"/>
    <col min="2050" max="2050" width="10" style="110" customWidth="1"/>
    <col min="2051" max="2051" width="11" style="110" customWidth="1"/>
    <col min="2052" max="2052" width="9.5703125" style="110" customWidth="1"/>
    <col min="2053" max="2053" width="10.140625" style="110" customWidth="1"/>
    <col min="2054" max="2093" width="10.7109375" style="110" customWidth="1"/>
    <col min="2094" max="2094" width="1.85546875" style="110" bestFit="1" customWidth="1"/>
    <col min="2095" max="2095" width="34.5703125" style="110" bestFit="1" customWidth="1"/>
    <col min="2096" max="2097" width="10.7109375" style="110" customWidth="1"/>
    <col min="2098" max="2098" width="2.7109375" style="110" bestFit="1" customWidth="1"/>
    <col min="2099" max="2099" width="11.5703125" style="110" bestFit="1" customWidth="1"/>
    <col min="2100" max="2276" width="10.7109375" style="110"/>
    <col min="2277" max="2277" width="5.28515625" style="110" customWidth="1"/>
    <col min="2278" max="2278" width="6.42578125" style="110" customWidth="1"/>
    <col min="2279" max="2279" width="22" style="110" customWidth="1"/>
    <col min="2280" max="2280" width="7.5703125" style="110" bestFit="1" customWidth="1"/>
    <col min="2281" max="2281" width="4.42578125" style="110" customWidth="1"/>
    <col min="2282" max="2282" width="7.42578125" style="110" bestFit="1" customWidth="1"/>
    <col min="2283" max="2283" width="2.85546875" style="110" bestFit="1" customWidth="1"/>
    <col min="2284" max="2284" width="7" style="110" bestFit="1" customWidth="1"/>
    <col min="2285" max="2285" width="5.7109375" style="110" bestFit="1" customWidth="1"/>
    <col min="2286" max="2286" width="7.85546875" style="110" bestFit="1" customWidth="1"/>
    <col min="2287" max="2288" width="0" style="110" hidden="1" customWidth="1"/>
    <col min="2289" max="2289" width="12.5703125" style="110" customWidth="1"/>
    <col min="2290" max="2290" width="0" style="110" hidden="1" customWidth="1"/>
    <col min="2291" max="2291" width="11" style="110" customWidth="1"/>
    <col min="2292" max="2292" width="9.140625" style="110" customWidth="1"/>
    <col min="2293" max="2293" width="9.85546875" style="110" customWidth="1"/>
    <col min="2294" max="2297" width="0" style="110" hidden="1" customWidth="1"/>
    <col min="2298" max="2298" width="1.5703125" style="110" customWidth="1"/>
    <col min="2299" max="2301" width="0" style="110" hidden="1" customWidth="1"/>
    <col min="2302" max="2302" width="10.42578125" style="110" customWidth="1"/>
    <col min="2303" max="2304" width="11" style="110" customWidth="1"/>
    <col min="2305" max="2305" width="9.42578125" style="110" customWidth="1"/>
    <col min="2306" max="2306" width="10" style="110" customWidth="1"/>
    <col min="2307" max="2307" width="11" style="110" customWidth="1"/>
    <col min="2308" max="2308" width="9.5703125" style="110" customWidth="1"/>
    <col min="2309" max="2309" width="10.140625" style="110" customWidth="1"/>
    <col min="2310" max="2349" width="10.7109375" style="110" customWidth="1"/>
    <col min="2350" max="2350" width="1.85546875" style="110" bestFit="1" customWidth="1"/>
    <col min="2351" max="2351" width="34.5703125" style="110" bestFit="1" customWidth="1"/>
    <col min="2352" max="2353" width="10.7109375" style="110" customWidth="1"/>
    <col min="2354" max="2354" width="2.7109375" style="110" bestFit="1" customWidth="1"/>
    <col min="2355" max="2355" width="11.5703125" style="110" bestFit="1" customWidth="1"/>
    <col min="2356" max="2532" width="10.7109375" style="110"/>
    <col min="2533" max="2533" width="5.28515625" style="110" customWidth="1"/>
    <col min="2534" max="2534" width="6.42578125" style="110" customWidth="1"/>
    <col min="2535" max="2535" width="22" style="110" customWidth="1"/>
    <col min="2536" max="2536" width="7.5703125" style="110" bestFit="1" customWidth="1"/>
    <col min="2537" max="2537" width="4.42578125" style="110" customWidth="1"/>
    <col min="2538" max="2538" width="7.42578125" style="110" bestFit="1" customWidth="1"/>
    <col min="2539" max="2539" width="2.85546875" style="110" bestFit="1" customWidth="1"/>
    <col min="2540" max="2540" width="7" style="110" bestFit="1" customWidth="1"/>
    <col min="2541" max="2541" width="5.7109375" style="110" bestFit="1" customWidth="1"/>
    <col min="2542" max="2542" width="7.85546875" style="110" bestFit="1" customWidth="1"/>
    <col min="2543" max="2544" width="0" style="110" hidden="1" customWidth="1"/>
    <col min="2545" max="2545" width="12.5703125" style="110" customWidth="1"/>
    <col min="2546" max="2546" width="0" style="110" hidden="1" customWidth="1"/>
    <col min="2547" max="2547" width="11" style="110" customWidth="1"/>
    <col min="2548" max="2548" width="9.140625" style="110" customWidth="1"/>
    <col min="2549" max="2549" width="9.85546875" style="110" customWidth="1"/>
    <col min="2550" max="2553" width="0" style="110" hidden="1" customWidth="1"/>
    <col min="2554" max="2554" width="1.5703125" style="110" customWidth="1"/>
    <col min="2555" max="2557" width="0" style="110" hidden="1" customWidth="1"/>
    <col min="2558" max="2558" width="10.42578125" style="110" customWidth="1"/>
    <col min="2559" max="2560" width="11" style="110" customWidth="1"/>
    <col min="2561" max="2561" width="9.42578125" style="110" customWidth="1"/>
    <col min="2562" max="2562" width="10" style="110" customWidth="1"/>
    <col min="2563" max="2563" width="11" style="110" customWidth="1"/>
    <col min="2564" max="2564" width="9.5703125" style="110" customWidth="1"/>
    <col min="2565" max="2565" width="10.140625" style="110" customWidth="1"/>
    <col min="2566" max="2605" width="10.7109375" style="110" customWidth="1"/>
    <col min="2606" max="2606" width="1.85546875" style="110" bestFit="1" customWidth="1"/>
    <col min="2607" max="2607" width="34.5703125" style="110" bestFit="1" customWidth="1"/>
    <col min="2608" max="2609" width="10.7109375" style="110" customWidth="1"/>
    <col min="2610" max="2610" width="2.7109375" style="110" bestFit="1" customWidth="1"/>
    <col min="2611" max="2611" width="11.5703125" style="110" bestFit="1" customWidth="1"/>
    <col min="2612" max="2788" width="10.7109375" style="110"/>
    <col min="2789" max="2789" width="5.28515625" style="110" customWidth="1"/>
    <col min="2790" max="2790" width="6.42578125" style="110" customWidth="1"/>
    <col min="2791" max="2791" width="22" style="110" customWidth="1"/>
    <col min="2792" max="2792" width="7.5703125" style="110" bestFit="1" customWidth="1"/>
    <col min="2793" max="2793" width="4.42578125" style="110" customWidth="1"/>
    <col min="2794" max="2794" width="7.42578125" style="110" bestFit="1" customWidth="1"/>
    <col min="2795" max="2795" width="2.85546875" style="110" bestFit="1" customWidth="1"/>
    <col min="2796" max="2796" width="7" style="110" bestFit="1" customWidth="1"/>
    <col min="2797" max="2797" width="5.7109375" style="110" bestFit="1" customWidth="1"/>
    <col min="2798" max="2798" width="7.85546875" style="110" bestFit="1" customWidth="1"/>
    <col min="2799" max="2800" width="0" style="110" hidden="1" customWidth="1"/>
    <col min="2801" max="2801" width="12.5703125" style="110" customWidth="1"/>
    <col min="2802" max="2802" width="0" style="110" hidden="1" customWidth="1"/>
    <col min="2803" max="2803" width="11" style="110" customWidth="1"/>
    <col min="2804" max="2804" width="9.140625" style="110" customWidth="1"/>
    <col min="2805" max="2805" width="9.85546875" style="110" customWidth="1"/>
    <col min="2806" max="2809" width="0" style="110" hidden="1" customWidth="1"/>
    <col min="2810" max="2810" width="1.5703125" style="110" customWidth="1"/>
    <col min="2811" max="2813" width="0" style="110" hidden="1" customWidth="1"/>
    <col min="2814" max="2814" width="10.42578125" style="110" customWidth="1"/>
    <col min="2815" max="2816" width="11" style="110" customWidth="1"/>
    <col min="2817" max="2817" width="9.42578125" style="110" customWidth="1"/>
    <col min="2818" max="2818" width="10" style="110" customWidth="1"/>
    <col min="2819" max="2819" width="11" style="110" customWidth="1"/>
    <col min="2820" max="2820" width="9.5703125" style="110" customWidth="1"/>
    <col min="2821" max="2821" width="10.140625" style="110" customWidth="1"/>
    <col min="2822" max="2861" width="10.7109375" style="110" customWidth="1"/>
    <col min="2862" max="2862" width="1.85546875" style="110" bestFit="1" customWidth="1"/>
    <col min="2863" max="2863" width="34.5703125" style="110" bestFit="1" customWidth="1"/>
    <col min="2864" max="2865" width="10.7109375" style="110" customWidth="1"/>
    <col min="2866" max="2866" width="2.7109375" style="110" bestFit="1" customWidth="1"/>
    <col min="2867" max="2867" width="11.5703125" style="110" bestFit="1" customWidth="1"/>
    <col min="2868" max="3044" width="10.7109375" style="110"/>
    <col min="3045" max="3045" width="5.28515625" style="110" customWidth="1"/>
    <col min="3046" max="3046" width="6.42578125" style="110" customWidth="1"/>
    <col min="3047" max="3047" width="22" style="110" customWidth="1"/>
    <col min="3048" max="3048" width="7.5703125" style="110" bestFit="1" customWidth="1"/>
    <col min="3049" max="3049" width="4.42578125" style="110" customWidth="1"/>
    <col min="3050" max="3050" width="7.42578125" style="110" bestFit="1" customWidth="1"/>
    <col min="3051" max="3051" width="2.85546875" style="110" bestFit="1" customWidth="1"/>
    <col min="3052" max="3052" width="7" style="110" bestFit="1" customWidth="1"/>
    <col min="3053" max="3053" width="5.7109375" style="110" bestFit="1" customWidth="1"/>
    <col min="3054" max="3054" width="7.85546875" style="110" bestFit="1" customWidth="1"/>
    <col min="3055" max="3056" width="0" style="110" hidden="1" customWidth="1"/>
    <col min="3057" max="3057" width="12.5703125" style="110" customWidth="1"/>
    <col min="3058" max="3058" width="0" style="110" hidden="1" customWidth="1"/>
    <col min="3059" max="3059" width="11" style="110" customWidth="1"/>
    <col min="3060" max="3060" width="9.140625" style="110" customWidth="1"/>
    <col min="3061" max="3061" width="9.85546875" style="110" customWidth="1"/>
    <col min="3062" max="3065" width="0" style="110" hidden="1" customWidth="1"/>
    <col min="3066" max="3066" width="1.5703125" style="110" customWidth="1"/>
    <col min="3067" max="3069" width="0" style="110" hidden="1" customWidth="1"/>
    <col min="3070" max="3070" width="10.42578125" style="110" customWidth="1"/>
    <col min="3071" max="3072" width="11" style="110" customWidth="1"/>
    <col min="3073" max="3073" width="9.42578125" style="110" customWidth="1"/>
    <col min="3074" max="3074" width="10" style="110" customWidth="1"/>
    <col min="3075" max="3075" width="11" style="110" customWidth="1"/>
    <col min="3076" max="3076" width="9.5703125" style="110" customWidth="1"/>
    <col min="3077" max="3077" width="10.140625" style="110" customWidth="1"/>
    <col min="3078" max="3117" width="10.7109375" style="110" customWidth="1"/>
    <col min="3118" max="3118" width="1.85546875" style="110" bestFit="1" customWidth="1"/>
    <col min="3119" max="3119" width="34.5703125" style="110" bestFit="1" customWidth="1"/>
    <col min="3120" max="3121" width="10.7109375" style="110" customWidth="1"/>
    <col min="3122" max="3122" width="2.7109375" style="110" bestFit="1" customWidth="1"/>
    <col min="3123" max="3123" width="11.5703125" style="110" bestFit="1" customWidth="1"/>
    <col min="3124" max="3300" width="10.7109375" style="110"/>
    <col min="3301" max="3301" width="5.28515625" style="110" customWidth="1"/>
    <col min="3302" max="3302" width="6.42578125" style="110" customWidth="1"/>
    <col min="3303" max="3303" width="22" style="110" customWidth="1"/>
    <col min="3304" max="3304" width="7.5703125" style="110" bestFit="1" customWidth="1"/>
    <col min="3305" max="3305" width="4.42578125" style="110" customWidth="1"/>
    <col min="3306" max="3306" width="7.42578125" style="110" bestFit="1" customWidth="1"/>
    <col min="3307" max="3307" width="2.85546875" style="110" bestFit="1" customWidth="1"/>
    <col min="3308" max="3308" width="7" style="110" bestFit="1" customWidth="1"/>
    <col min="3309" max="3309" width="5.7109375" style="110" bestFit="1" customWidth="1"/>
    <col min="3310" max="3310" width="7.85546875" style="110" bestFit="1" customWidth="1"/>
    <col min="3311" max="3312" width="0" style="110" hidden="1" customWidth="1"/>
    <col min="3313" max="3313" width="12.5703125" style="110" customWidth="1"/>
    <col min="3314" max="3314" width="0" style="110" hidden="1" customWidth="1"/>
    <col min="3315" max="3315" width="11" style="110" customWidth="1"/>
    <col min="3316" max="3316" width="9.140625" style="110" customWidth="1"/>
    <col min="3317" max="3317" width="9.85546875" style="110" customWidth="1"/>
    <col min="3318" max="3321" width="0" style="110" hidden="1" customWidth="1"/>
    <col min="3322" max="3322" width="1.5703125" style="110" customWidth="1"/>
    <col min="3323" max="3325" width="0" style="110" hidden="1" customWidth="1"/>
    <col min="3326" max="3326" width="10.42578125" style="110" customWidth="1"/>
    <col min="3327" max="3328" width="11" style="110" customWidth="1"/>
    <col min="3329" max="3329" width="9.42578125" style="110" customWidth="1"/>
    <col min="3330" max="3330" width="10" style="110" customWidth="1"/>
    <col min="3331" max="3331" width="11" style="110" customWidth="1"/>
    <col min="3332" max="3332" width="9.5703125" style="110" customWidth="1"/>
    <col min="3333" max="3333" width="10.140625" style="110" customWidth="1"/>
    <col min="3334" max="3373" width="10.7109375" style="110" customWidth="1"/>
    <col min="3374" max="3374" width="1.85546875" style="110" bestFit="1" customWidth="1"/>
    <col min="3375" max="3375" width="34.5703125" style="110" bestFit="1" customWidth="1"/>
    <col min="3376" max="3377" width="10.7109375" style="110" customWidth="1"/>
    <col min="3378" max="3378" width="2.7109375" style="110" bestFit="1" customWidth="1"/>
    <col min="3379" max="3379" width="11.5703125" style="110" bestFit="1" customWidth="1"/>
    <col min="3380" max="3556" width="10.7109375" style="110"/>
    <col min="3557" max="3557" width="5.28515625" style="110" customWidth="1"/>
    <col min="3558" max="3558" width="6.42578125" style="110" customWidth="1"/>
    <col min="3559" max="3559" width="22" style="110" customWidth="1"/>
    <col min="3560" max="3560" width="7.5703125" style="110" bestFit="1" customWidth="1"/>
    <col min="3561" max="3561" width="4.42578125" style="110" customWidth="1"/>
    <col min="3562" max="3562" width="7.42578125" style="110" bestFit="1" customWidth="1"/>
    <col min="3563" max="3563" width="2.85546875" style="110" bestFit="1" customWidth="1"/>
    <col min="3564" max="3564" width="7" style="110" bestFit="1" customWidth="1"/>
    <col min="3565" max="3565" width="5.7109375" style="110" bestFit="1" customWidth="1"/>
    <col min="3566" max="3566" width="7.85546875" style="110" bestFit="1" customWidth="1"/>
    <col min="3567" max="3568" width="0" style="110" hidden="1" customWidth="1"/>
    <col min="3569" max="3569" width="12.5703125" style="110" customWidth="1"/>
    <col min="3570" max="3570" width="0" style="110" hidden="1" customWidth="1"/>
    <col min="3571" max="3571" width="11" style="110" customWidth="1"/>
    <col min="3572" max="3572" width="9.140625" style="110" customWidth="1"/>
    <col min="3573" max="3573" width="9.85546875" style="110" customWidth="1"/>
    <col min="3574" max="3577" width="0" style="110" hidden="1" customWidth="1"/>
    <col min="3578" max="3578" width="1.5703125" style="110" customWidth="1"/>
    <col min="3579" max="3581" width="0" style="110" hidden="1" customWidth="1"/>
    <col min="3582" max="3582" width="10.42578125" style="110" customWidth="1"/>
    <col min="3583" max="3584" width="11" style="110" customWidth="1"/>
    <col min="3585" max="3585" width="9.42578125" style="110" customWidth="1"/>
    <col min="3586" max="3586" width="10" style="110" customWidth="1"/>
    <col min="3587" max="3587" width="11" style="110" customWidth="1"/>
    <col min="3588" max="3588" width="9.5703125" style="110" customWidth="1"/>
    <col min="3589" max="3589" width="10.140625" style="110" customWidth="1"/>
    <col min="3590" max="3629" width="10.7109375" style="110" customWidth="1"/>
    <col min="3630" max="3630" width="1.85546875" style="110" bestFit="1" customWidth="1"/>
    <col min="3631" max="3631" width="34.5703125" style="110" bestFit="1" customWidth="1"/>
    <col min="3632" max="3633" width="10.7109375" style="110" customWidth="1"/>
    <col min="3634" max="3634" width="2.7109375" style="110" bestFit="1" customWidth="1"/>
    <col min="3635" max="3635" width="11.5703125" style="110" bestFit="1" customWidth="1"/>
    <col min="3636" max="3812" width="10.7109375" style="110"/>
    <col min="3813" max="3813" width="5.28515625" style="110" customWidth="1"/>
    <col min="3814" max="3814" width="6.42578125" style="110" customWidth="1"/>
    <col min="3815" max="3815" width="22" style="110" customWidth="1"/>
    <col min="3816" max="3816" width="7.5703125" style="110" bestFit="1" customWidth="1"/>
    <col min="3817" max="3817" width="4.42578125" style="110" customWidth="1"/>
    <col min="3818" max="3818" width="7.42578125" style="110" bestFit="1" customWidth="1"/>
    <col min="3819" max="3819" width="2.85546875" style="110" bestFit="1" customWidth="1"/>
    <col min="3820" max="3820" width="7" style="110" bestFit="1" customWidth="1"/>
    <col min="3821" max="3821" width="5.7109375" style="110" bestFit="1" customWidth="1"/>
    <col min="3822" max="3822" width="7.85546875" style="110" bestFit="1" customWidth="1"/>
    <col min="3823" max="3824" width="0" style="110" hidden="1" customWidth="1"/>
    <col min="3825" max="3825" width="12.5703125" style="110" customWidth="1"/>
    <col min="3826" max="3826" width="0" style="110" hidden="1" customWidth="1"/>
    <col min="3827" max="3827" width="11" style="110" customWidth="1"/>
    <col min="3828" max="3828" width="9.140625" style="110" customWidth="1"/>
    <col min="3829" max="3829" width="9.85546875" style="110" customWidth="1"/>
    <col min="3830" max="3833" width="0" style="110" hidden="1" customWidth="1"/>
    <col min="3834" max="3834" width="1.5703125" style="110" customWidth="1"/>
    <col min="3835" max="3837" width="0" style="110" hidden="1" customWidth="1"/>
    <col min="3838" max="3838" width="10.42578125" style="110" customWidth="1"/>
    <col min="3839" max="3840" width="11" style="110" customWidth="1"/>
    <col min="3841" max="3841" width="9.42578125" style="110" customWidth="1"/>
    <col min="3842" max="3842" width="10" style="110" customWidth="1"/>
    <col min="3843" max="3843" width="11" style="110" customWidth="1"/>
    <col min="3844" max="3844" width="9.5703125" style="110" customWidth="1"/>
    <col min="3845" max="3845" width="10.140625" style="110" customWidth="1"/>
    <col min="3846" max="3885" width="10.7109375" style="110" customWidth="1"/>
    <col min="3886" max="3886" width="1.85546875" style="110" bestFit="1" customWidth="1"/>
    <col min="3887" max="3887" width="34.5703125" style="110" bestFit="1" customWidth="1"/>
    <col min="3888" max="3889" width="10.7109375" style="110" customWidth="1"/>
    <col min="3890" max="3890" width="2.7109375" style="110" bestFit="1" customWidth="1"/>
    <col min="3891" max="3891" width="11.5703125" style="110" bestFit="1" customWidth="1"/>
    <col min="3892" max="4068" width="10.7109375" style="110"/>
    <col min="4069" max="4069" width="5.28515625" style="110" customWidth="1"/>
    <col min="4070" max="4070" width="6.42578125" style="110" customWidth="1"/>
    <col min="4071" max="4071" width="22" style="110" customWidth="1"/>
    <col min="4072" max="4072" width="7.5703125" style="110" bestFit="1" customWidth="1"/>
    <col min="4073" max="4073" width="4.42578125" style="110" customWidth="1"/>
    <col min="4074" max="4074" width="7.42578125" style="110" bestFit="1" customWidth="1"/>
    <col min="4075" max="4075" width="2.85546875" style="110" bestFit="1" customWidth="1"/>
    <col min="4076" max="4076" width="7" style="110" bestFit="1" customWidth="1"/>
    <col min="4077" max="4077" width="5.7109375" style="110" bestFit="1" customWidth="1"/>
    <col min="4078" max="4078" width="7.85546875" style="110" bestFit="1" customWidth="1"/>
    <col min="4079" max="4080" width="0" style="110" hidden="1" customWidth="1"/>
    <col min="4081" max="4081" width="12.5703125" style="110" customWidth="1"/>
    <col min="4082" max="4082" width="0" style="110" hidden="1" customWidth="1"/>
    <col min="4083" max="4083" width="11" style="110" customWidth="1"/>
    <col min="4084" max="4084" width="9.140625" style="110" customWidth="1"/>
    <col min="4085" max="4085" width="9.85546875" style="110" customWidth="1"/>
    <col min="4086" max="4089" width="0" style="110" hidden="1" customWidth="1"/>
    <col min="4090" max="4090" width="1.5703125" style="110" customWidth="1"/>
    <col min="4091" max="4093" width="0" style="110" hidden="1" customWidth="1"/>
    <col min="4094" max="4094" width="10.42578125" style="110" customWidth="1"/>
    <col min="4095" max="4096" width="11" style="110" customWidth="1"/>
    <col min="4097" max="4097" width="9.42578125" style="110" customWidth="1"/>
    <col min="4098" max="4098" width="10" style="110" customWidth="1"/>
    <col min="4099" max="4099" width="11" style="110" customWidth="1"/>
    <col min="4100" max="4100" width="9.5703125" style="110" customWidth="1"/>
    <col min="4101" max="4101" width="10.140625" style="110" customWidth="1"/>
    <col min="4102" max="4141" width="10.7109375" style="110" customWidth="1"/>
    <col min="4142" max="4142" width="1.85546875" style="110" bestFit="1" customWidth="1"/>
    <col min="4143" max="4143" width="34.5703125" style="110" bestFit="1" customWidth="1"/>
    <col min="4144" max="4145" width="10.7109375" style="110" customWidth="1"/>
    <col min="4146" max="4146" width="2.7109375" style="110" bestFit="1" customWidth="1"/>
    <col min="4147" max="4147" width="11.5703125" style="110" bestFit="1" customWidth="1"/>
    <col min="4148" max="4324" width="10.7109375" style="110"/>
    <col min="4325" max="4325" width="5.28515625" style="110" customWidth="1"/>
    <col min="4326" max="4326" width="6.42578125" style="110" customWidth="1"/>
    <col min="4327" max="4327" width="22" style="110" customWidth="1"/>
    <col min="4328" max="4328" width="7.5703125" style="110" bestFit="1" customWidth="1"/>
    <col min="4329" max="4329" width="4.42578125" style="110" customWidth="1"/>
    <col min="4330" max="4330" width="7.42578125" style="110" bestFit="1" customWidth="1"/>
    <col min="4331" max="4331" width="2.85546875" style="110" bestFit="1" customWidth="1"/>
    <col min="4332" max="4332" width="7" style="110" bestFit="1" customWidth="1"/>
    <col min="4333" max="4333" width="5.7109375" style="110" bestFit="1" customWidth="1"/>
    <col min="4334" max="4334" width="7.85546875" style="110" bestFit="1" customWidth="1"/>
    <col min="4335" max="4336" width="0" style="110" hidden="1" customWidth="1"/>
    <col min="4337" max="4337" width="12.5703125" style="110" customWidth="1"/>
    <col min="4338" max="4338" width="0" style="110" hidden="1" customWidth="1"/>
    <col min="4339" max="4339" width="11" style="110" customWidth="1"/>
    <col min="4340" max="4340" width="9.140625" style="110" customWidth="1"/>
    <col min="4341" max="4341" width="9.85546875" style="110" customWidth="1"/>
    <col min="4342" max="4345" width="0" style="110" hidden="1" customWidth="1"/>
    <col min="4346" max="4346" width="1.5703125" style="110" customWidth="1"/>
    <col min="4347" max="4349" width="0" style="110" hidden="1" customWidth="1"/>
    <col min="4350" max="4350" width="10.42578125" style="110" customWidth="1"/>
    <col min="4351" max="4352" width="11" style="110" customWidth="1"/>
    <col min="4353" max="4353" width="9.42578125" style="110" customWidth="1"/>
    <col min="4354" max="4354" width="10" style="110" customWidth="1"/>
    <col min="4355" max="4355" width="11" style="110" customWidth="1"/>
    <col min="4356" max="4356" width="9.5703125" style="110" customWidth="1"/>
    <col min="4357" max="4357" width="10.140625" style="110" customWidth="1"/>
    <col min="4358" max="4397" width="10.7109375" style="110" customWidth="1"/>
    <col min="4398" max="4398" width="1.85546875" style="110" bestFit="1" customWidth="1"/>
    <col min="4399" max="4399" width="34.5703125" style="110" bestFit="1" customWidth="1"/>
    <col min="4400" max="4401" width="10.7109375" style="110" customWidth="1"/>
    <col min="4402" max="4402" width="2.7109375" style="110" bestFit="1" customWidth="1"/>
    <col min="4403" max="4403" width="11.5703125" style="110" bestFit="1" customWidth="1"/>
    <col min="4404" max="4580" width="10.7109375" style="110"/>
    <col min="4581" max="4581" width="5.28515625" style="110" customWidth="1"/>
    <col min="4582" max="4582" width="6.42578125" style="110" customWidth="1"/>
    <col min="4583" max="4583" width="22" style="110" customWidth="1"/>
    <col min="4584" max="4584" width="7.5703125" style="110" bestFit="1" customWidth="1"/>
    <col min="4585" max="4585" width="4.42578125" style="110" customWidth="1"/>
    <col min="4586" max="4586" width="7.42578125" style="110" bestFit="1" customWidth="1"/>
    <col min="4587" max="4587" width="2.85546875" style="110" bestFit="1" customWidth="1"/>
    <col min="4588" max="4588" width="7" style="110" bestFit="1" customWidth="1"/>
    <col min="4589" max="4589" width="5.7109375" style="110" bestFit="1" customWidth="1"/>
    <col min="4590" max="4590" width="7.85546875" style="110" bestFit="1" customWidth="1"/>
    <col min="4591" max="4592" width="0" style="110" hidden="1" customWidth="1"/>
    <col min="4593" max="4593" width="12.5703125" style="110" customWidth="1"/>
    <col min="4594" max="4594" width="0" style="110" hidden="1" customWidth="1"/>
    <col min="4595" max="4595" width="11" style="110" customWidth="1"/>
    <col min="4596" max="4596" width="9.140625" style="110" customWidth="1"/>
    <col min="4597" max="4597" width="9.85546875" style="110" customWidth="1"/>
    <col min="4598" max="4601" width="0" style="110" hidden="1" customWidth="1"/>
    <col min="4602" max="4602" width="1.5703125" style="110" customWidth="1"/>
    <col min="4603" max="4605" width="0" style="110" hidden="1" customWidth="1"/>
    <col min="4606" max="4606" width="10.42578125" style="110" customWidth="1"/>
    <col min="4607" max="4608" width="11" style="110" customWidth="1"/>
    <col min="4609" max="4609" width="9.42578125" style="110" customWidth="1"/>
    <col min="4610" max="4610" width="10" style="110" customWidth="1"/>
    <col min="4611" max="4611" width="11" style="110" customWidth="1"/>
    <col min="4612" max="4612" width="9.5703125" style="110" customWidth="1"/>
    <col min="4613" max="4613" width="10.140625" style="110" customWidth="1"/>
    <col min="4614" max="4653" width="10.7109375" style="110" customWidth="1"/>
    <col min="4654" max="4654" width="1.85546875" style="110" bestFit="1" customWidth="1"/>
    <col min="4655" max="4655" width="34.5703125" style="110" bestFit="1" customWidth="1"/>
    <col min="4656" max="4657" width="10.7109375" style="110" customWidth="1"/>
    <col min="4658" max="4658" width="2.7109375" style="110" bestFit="1" customWidth="1"/>
    <col min="4659" max="4659" width="11.5703125" style="110" bestFit="1" customWidth="1"/>
    <col min="4660" max="4836" width="10.7109375" style="110"/>
    <col min="4837" max="4837" width="5.28515625" style="110" customWidth="1"/>
    <col min="4838" max="4838" width="6.42578125" style="110" customWidth="1"/>
    <col min="4839" max="4839" width="22" style="110" customWidth="1"/>
    <col min="4840" max="4840" width="7.5703125" style="110" bestFit="1" customWidth="1"/>
    <col min="4841" max="4841" width="4.42578125" style="110" customWidth="1"/>
    <col min="4842" max="4842" width="7.42578125" style="110" bestFit="1" customWidth="1"/>
    <col min="4843" max="4843" width="2.85546875" style="110" bestFit="1" customWidth="1"/>
    <col min="4844" max="4844" width="7" style="110" bestFit="1" customWidth="1"/>
    <col min="4845" max="4845" width="5.7109375" style="110" bestFit="1" customWidth="1"/>
    <col min="4846" max="4846" width="7.85546875" style="110" bestFit="1" customWidth="1"/>
    <col min="4847" max="4848" width="0" style="110" hidden="1" customWidth="1"/>
    <col min="4849" max="4849" width="12.5703125" style="110" customWidth="1"/>
    <col min="4850" max="4850" width="0" style="110" hidden="1" customWidth="1"/>
    <col min="4851" max="4851" width="11" style="110" customWidth="1"/>
    <col min="4852" max="4852" width="9.140625" style="110" customWidth="1"/>
    <col min="4853" max="4853" width="9.85546875" style="110" customWidth="1"/>
    <col min="4854" max="4857" width="0" style="110" hidden="1" customWidth="1"/>
    <col min="4858" max="4858" width="1.5703125" style="110" customWidth="1"/>
    <col min="4859" max="4861" width="0" style="110" hidden="1" customWidth="1"/>
    <col min="4862" max="4862" width="10.42578125" style="110" customWidth="1"/>
    <col min="4863" max="4864" width="11" style="110" customWidth="1"/>
    <col min="4865" max="4865" width="9.42578125" style="110" customWidth="1"/>
    <col min="4866" max="4866" width="10" style="110" customWidth="1"/>
    <col min="4867" max="4867" width="11" style="110" customWidth="1"/>
    <col min="4868" max="4868" width="9.5703125" style="110" customWidth="1"/>
    <col min="4869" max="4869" width="10.140625" style="110" customWidth="1"/>
    <col min="4870" max="4909" width="10.7109375" style="110" customWidth="1"/>
    <col min="4910" max="4910" width="1.85546875" style="110" bestFit="1" customWidth="1"/>
    <col min="4911" max="4911" width="34.5703125" style="110" bestFit="1" customWidth="1"/>
    <col min="4912" max="4913" width="10.7109375" style="110" customWidth="1"/>
    <col min="4914" max="4914" width="2.7109375" style="110" bestFit="1" customWidth="1"/>
    <col min="4915" max="4915" width="11.5703125" style="110" bestFit="1" customWidth="1"/>
    <col min="4916" max="5092" width="10.7109375" style="110"/>
    <col min="5093" max="5093" width="5.28515625" style="110" customWidth="1"/>
    <col min="5094" max="5094" width="6.42578125" style="110" customWidth="1"/>
    <col min="5095" max="5095" width="22" style="110" customWidth="1"/>
    <col min="5096" max="5096" width="7.5703125" style="110" bestFit="1" customWidth="1"/>
    <col min="5097" max="5097" width="4.42578125" style="110" customWidth="1"/>
    <col min="5098" max="5098" width="7.42578125" style="110" bestFit="1" customWidth="1"/>
    <col min="5099" max="5099" width="2.85546875" style="110" bestFit="1" customWidth="1"/>
    <col min="5100" max="5100" width="7" style="110" bestFit="1" customWidth="1"/>
    <col min="5101" max="5101" width="5.7109375" style="110" bestFit="1" customWidth="1"/>
    <col min="5102" max="5102" width="7.85546875" style="110" bestFit="1" customWidth="1"/>
    <col min="5103" max="5104" width="0" style="110" hidden="1" customWidth="1"/>
    <col min="5105" max="5105" width="12.5703125" style="110" customWidth="1"/>
    <col min="5106" max="5106" width="0" style="110" hidden="1" customWidth="1"/>
    <col min="5107" max="5107" width="11" style="110" customWidth="1"/>
    <col min="5108" max="5108" width="9.140625" style="110" customWidth="1"/>
    <col min="5109" max="5109" width="9.85546875" style="110" customWidth="1"/>
    <col min="5110" max="5113" width="0" style="110" hidden="1" customWidth="1"/>
    <col min="5114" max="5114" width="1.5703125" style="110" customWidth="1"/>
    <col min="5115" max="5117" width="0" style="110" hidden="1" customWidth="1"/>
    <col min="5118" max="5118" width="10.42578125" style="110" customWidth="1"/>
    <col min="5119" max="5120" width="11" style="110" customWidth="1"/>
    <col min="5121" max="5121" width="9.42578125" style="110" customWidth="1"/>
    <col min="5122" max="5122" width="10" style="110" customWidth="1"/>
    <col min="5123" max="5123" width="11" style="110" customWidth="1"/>
    <col min="5124" max="5124" width="9.5703125" style="110" customWidth="1"/>
    <col min="5125" max="5125" width="10.140625" style="110" customWidth="1"/>
    <col min="5126" max="5165" width="10.7109375" style="110" customWidth="1"/>
    <col min="5166" max="5166" width="1.85546875" style="110" bestFit="1" customWidth="1"/>
    <col min="5167" max="5167" width="34.5703125" style="110" bestFit="1" customWidth="1"/>
    <col min="5168" max="5169" width="10.7109375" style="110" customWidth="1"/>
    <col min="5170" max="5170" width="2.7109375" style="110" bestFit="1" customWidth="1"/>
    <col min="5171" max="5171" width="11.5703125" style="110" bestFit="1" customWidth="1"/>
    <col min="5172" max="5348" width="10.7109375" style="110"/>
    <col min="5349" max="5349" width="5.28515625" style="110" customWidth="1"/>
    <col min="5350" max="5350" width="6.42578125" style="110" customWidth="1"/>
    <col min="5351" max="5351" width="22" style="110" customWidth="1"/>
    <col min="5352" max="5352" width="7.5703125" style="110" bestFit="1" customWidth="1"/>
    <col min="5353" max="5353" width="4.42578125" style="110" customWidth="1"/>
    <col min="5354" max="5354" width="7.42578125" style="110" bestFit="1" customWidth="1"/>
    <col min="5355" max="5355" width="2.85546875" style="110" bestFit="1" customWidth="1"/>
    <col min="5356" max="5356" width="7" style="110" bestFit="1" customWidth="1"/>
    <col min="5357" max="5357" width="5.7109375" style="110" bestFit="1" customWidth="1"/>
    <col min="5358" max="5358" width="7.85546875" style="110" bestFit="1" customWidth="1"/>
    <col min="5359" max="5360" width="0" style="110" hidden="1" customWidth="1"/>
    <col min="5361" max="5361" width="12.5703125" style="110" customWidth="1"/>
    <col min="5362" max="5362" width="0" style="110" hidden="1" customWidth="1"/>
    <col min="5363" max="5363" width="11" style="110" customWidth="1"/>
    <col min="5364" max="5364" width="9.140625" style="110" customWidth="1"/>
    <col min="5365" max="5365" width="9.85546875" style="110" customWidth="1"/>
    <col min="5366" max="5369" width="0" style="110" hidden="1" customWidth="1"/>
    <col min="5370" max="5370" width="1.5703125" style="110" customWidth="1"/>
    <col min="5371" max="5373" width="0" style="110" hidden="1" customWidth="1"/>
    <col min="5374" max="5374" width="10.42578125" style="110" customWidth="1"/>
    <col min="5375" max="5376" width="11" style="110" customWidth="1"/>
    <col min="5377" max="5377" width="9.42578125" style="110" customWidth="1"/>
    <col min="5378" max="5378" width="10" style="110" customWidth="1"/>
    <col min="5379" max="5379" width="11" style="110" customWidth="1"/>
    <col min="5380" max="5380" width="9.5703125" style="110" customWidth="1"/>
    <col min="5381" max="5381" width="10.140625" style="110" customWidth="1"/>
    <col min="5382" max="5421" width="10.7109375" style="110" customWidth="1"/>
    <col min="5422" max="5422" width="1.85546875" style="110" bestFit="1" customWidth="1"/>
    <col min="5423" max="5423" width="34.5703125" style="110" bestFit="1" customWidth="1"/>
    <col min="5424" max="5425" width="10.7109375" style="110" customWidth="1"/>
    <col min="5426" max="5426" width="2.7109375" style="110" bestFit="1" customWidth="1"/>
    <col min="5427" max="5427" width="11.5703125" style="110" bestFit="1" customWidth="1"/>
    <col min="5428" max="5604" width="10.7109375" style="110"/>
    <col min="5605" max="5605" width="5.28515625" style="110" customWidth="1"/>
    <col min="5606" max="5606" width="6.42578125" style="110" customWidth="1"/>
    <col min="5607" max="5607" width="22" style="110" customWidth="1"/>
    <col min="5608" max="5608" width="7.5703125" style="110" bestFit="1" customWidth="1"/>
    <col min="5609" max="5609" width="4.42578125" style="110" customWidth="1"/>
    <col min="5610" max="5610" width="7.42578125" style="110" bestFit="1" customWidth="1"/>
    <col min="5611" max="5611" width="2.85546875" style="110" bestFit="1" customWidth="1"/>
    <col min="5612" max="5612" width="7" style="110" bestFit="1" customWidth="1"/>
    <col min="5613" max="5613" width="5.7109375" style="110" bestFit="1" customWidth="1"/>
    <col min="5614" max="5614" width="7.85546875" style="110" bestFit="1" customWidth="1"/>
    <col min="5615" max="5616" width="0" style="110" hidden="1" customWidth="1"/>
    <col min="5617" max="5617" width="12.5703125" style="110" customWidth="1"/>
    <col min="5618" max="5618" width="0" style="110" hidden="1" customWidth="1"/>
    <col min="5619" max="5619" width="11" style="110" customWidth="1"/>
    <col min="5620" max="5620" width="9.140625" style="110" customWidth="1"/>
    <col min="5621" max="5621" width="9.85546875" style="110" customWidth="1"/>
    <col min="5622" max="5625" width="0" style="110" hidden="1" customWidth="1"/>
    <col min="5626" max="5626" width="1.5703125" style="110" customWidth="1"/>
    <col min="5627" max="5629" width="0" style="110" hidden="1" customWidth="1"/>
    <col min="5630" max="5630" width="10.42578125" style="110" customWidth="1"/>
    <col min="5631" max="5632" width="11" style="110" customWidth="1"/>
    <col min="5633" max="5633" width="9.42578125" style="110" customWidth="1"/>
    <col min="5634" max="5634" width="10" style="110" customWidth="1"/>
    <col min="5635" max="5635" width="11" style="110" customWidth="1"/>
    <col min="5636" max="5636" width="9.5703125" style="110" customWidth="1"/>
    <col min="5637" max="5637" width="10.140625" style="110" customWidth="1"/>
    <col min="5638" max="5677" width="10.7109375" style="110" customWidth="1"/>
    <col min="5678" max="5678" width="1.85546875" style="110" bestFit="1" customWidth="1"/>
    <col min="5679" max="5679" width="34.5703125" style="110" bestFit="1" customWidth="1"/>
    <col min="5680" max="5681" width="10.7109375" style="110" customWidth="1"/>
    <col min="5682" max="5682" width="2.7109375" style="110" bestFit="1" customWidth="1"/>
    <col min="5683" max="5683" width="11.5703125" style="110" bestFit="1" customWidth="1"/>
    <col min="5684" max="5860" width="10.7109375" style="110"/>
    <col min="5861" max="5861" width="5.28515625" style="110" customWidth="1"/>
    <col min="5862" max="5862" width="6.42578125" style="110" customWidth="1"/>
    <col min="5863" max="5863" width="22" style="110" customWidth="1"/>
    <col min="5864" max="5864" width="7.5703125" style="110" bestFit="1" customWidth="1"/>
    <col min="5865" max="5865" width="4.42578125" style="110" customWidth="1"/>
    <col min="5866" max="5866" width="7.42578125" style="110" bestFit="1" customWidth="1"/>
    <col min="5867" max="5867" width="2.85546875" style="110" bestFit="1" customWidth="1"/>
    <col min="5868" max="5868" width="7" style="110" bestFit="1" customWidth="1"/>
    <col min="5869" max="5869" width="5.7109375" style="110" bestFit="1" customWidth="1"/>
    <col min="5870" max="5870" width="7.85546875" style="110" bestFit="1" customWidth="1"/>
    <col min="5871" max="5872" width="0" style="110" hidden="1" customWidth="1"/>
    <col min="5873" max="5873" width="12.5703125" style="110" customWidth="1"/>
    <col min="5874" max="5874" width="0" style="110" hidden="1" customWidth="1"/>
    <col min="5875" max="5875" width="11" style="110" customWidth="1"/>
    <col min="5876" max="5876" width="9.140625" style="110" customWidth="1"/>
    <col min="5877" max="5877" width="9.85546875" style="110" customWidth="1"/>
    <col min="5878" max="5881" width="0" style="110" hidden="1" customWidth="1"/>
    <col min="5882" max="5882" width="1.5703125" style="110" customWidth="1"/>
    <col min="5883" max="5885" width="0" style="110" hidden="1" customWidth="1"/>
    <col min="5886" max="5886" width="10.42578125" style="110" customWidth="1"/>
    <col min="5887" max="5888" width="11" style="110" customWidth="1"/>
    <col min="5889" max="5889" width="9.42578125" style="110" customWidth="1"/>
    <col min="5890" max="5890" width="10" style="110" customWidth="1"/>
    <col min="5891" max="5891" width="11" style="110" customWidth="1"/>
    <col min="5892" max="5892" width="9.5703125" style="110" customWidth="1"/>
    <col min="5893" max="5893" width="10.140625" style="110" customWidth="1"/>
    <col min="5894" max="5933" width="10.7109375" style="110" customWidth="1"/>
    <col min="5934" max="5934" width="1.85546875" style="110" bestFit="1" customWidth="1"/>
    <col min="5935" max="5935" width="34.5703125" style="110" bestFit="1" customWidth="1"/>
    <col min="5936" max="5937" width="10.7109375" style="110" customWidth="1"/>
    <col min="5938" max="5938" width="2.7109375" style="110" bestFit="1" customWidth="1"/>
    <col min="5939" max="5939" width="11.5703125" style="110" bestFit="1" customWidth="1"/>
    <col min="5940" max="6116" width="10.7109375" style="110"/>
    <col min="6117" max="6117" width="5.28515625" style="110" customWidth="1"/>
    <col min="6118" max="6118" width="6.42578125" style="110" customWidth="1"/>
    <col min="6119" max="6119" width="22" style="110" customWidth="1"/>
    <col min="6120" max="6120" width="7.5703125" style="110" bestFit="1" customWidth="1"/>
    <col min="6121" max="6121" width="4.42578125" style="110" customWidth="1"/>
    <col min="6122" max="6122" width="7.42578125" style="110" bestFit="1" customWidth="1"/>
    <col min="6123" max="6123" width="2.85546875" style="110" bestFit="1" customWidth="1"/>
    <col min="6124" max="6124" width="7" style="110" bestFit="1" customWidth="1"/>
    <col min="6125" max="6125" width="5.7109375" style="110" bestFit="1" customWidth="1"/>
    <col min="6126" max="6126" width="7.85546875" style="110" bestFit="1" customWidth="1"/>
    <col min="6127" max="6128" width="0" style="110" hidden="1" customWidth="1"/>
    <col min="6129" max="6129" width="12.5703125" style="110" customWidth="1"/>
    <col min="6130" max="6130" width="0" style="110" hidden="1" customWidth="1"/>
    <col min="6131" max="6131" width="11" style="110" customWidth="1"/>
    <col min="6132" max="6132" width="9.140625" style="110" customWidth="1"/>
    <col min="6133" max="6133" width="9.85546875" style="110" customWidth="1"/>
    <col min="6134" max="6137" width="0" style="110" hidden="1" customWidth="1"/>
    <col min="6138" max="6138" width="1.5703125" style="110" customWidth="1"/>
    <col min="6139" max="6141" width="0" style="110" hidden="1" customWidth="1"/>
    <col min="6142" max="6142" width="10.42578125" style="110" customWidth="1"/>
    <col min="6143" max="6144" width="11" style="110" customWidth="1"/>
    <col min="6145" max="6145" width="9.42578125" style="110" customWidth="1"/>
    <col min="6146" max="6146" width="10" style="110" customWidth="1"/>
    <col min="6147" max="6147" width="11" style="110" customWidth="1"/>
    <col min="6148" max="6148" width="9.5703125" style="110" customWidth="1"/>
    <col min="6149" max="6149" width="10.140625" style="110" customWidth="1"/>
    <col min="6150" max="6189" width="10.7109375" style="110" customWidth="1"/>
    <col min="6190" max="6190" width="1.85546875" style="110" bestFit="1" customWidth="1"/>
    <col min="6191" max="6191" width="34.5703125" style="110" bestFit="1" customWidth="1"/>
    <col min="6192" max="6193" width="10.7109375" style="110" customWidth="1"/>
    <col min="6194" max="6194" width="2.7109375" style="110" bestFit="1" customWidth="1"/>
    <col min="6195" max="6195" width="11.5703125" style="110" bestFit="1" customWidth="1"/>
    <col min="6196" max="6372" width="10.7109375" style="110"/>
    <col min="6373" max="6373" width="5.28515625" style="110" customWidth="1"/>
    <col min="6374" max="6374" width="6.42578125" style="110" customWidth="1"/>
    <col min="6375" max="6375" width="22" style="110" customWidth="1"/>
    <col min="6376" max="6376" width="7.5703125" style="110" bestFit="1" customWidth="1"/>
    <col min="6377" max="6377" width="4.42578125" style="110" customWidth="1"/>
    <col min="6378" max="6378" width="7.42578125" style="110" bestFit="1" customWidth="1"/>
    <col min="6379" max="6379" width="2.85546875" style="110" bestFit="1" customWidth="1"/>
    <col min="6380" max="6380" width="7" style="110" bestFit="1" customWidth="1"/>
    <col min="6381" max="6381" width="5.7109375" style="110" bestFit="1" customWidth="1"/>
    <col min="6382" max="6382" width="7.85546875" style="110" bestFit="1" customWidth="1"/>
    <col min="6383" max="6384" width="0" style="110" hidden="1" customWidth="1"/>
    <col min="6385" max="6385" width="12.5703125" style="110" customWidth="1"/>
    <col min="6386" max="6386" width="0" style="110" hidden="1" customWidth="1"/>
    <col min="6387" max="6387" width="11" style="110" customWidth="1"/>
    <col min="6388" max="6388" width="9.140625" style="110" customWidth="1"/>
    <col min="6389" max="6389" width="9.85546875" style="110" customWidth="1"/>
    <col min="6390" max="6393" width="0" style="110" hidden="1" customWidth="1"/>
    <col min="6394" max="6394" width="1.5703125" style="110" customWidth="1"/>
    <col min="6395" max="6397" width="0" style="110" hidden="1" customWidth="1"/>
    <col min="6398" max="6398" width="10.42578125" style="110" customWidth="1"/>
    <col min="6399" max="6400" width="11" style="110" customWidth="1"/>
    <col min="6401" max="6401" width="9.42578125" style="110" customWidth="1"/>
    <col min="6402" max="6402" width="10" style="110" customWidth="1"/>
    <col min="6403" max="6403" width="11" style="110" customWidth="1"/>
    <col min="6404" max="6404" width="9.5703125" style="110" customWidth="1"/>
    <col min="6405" max="6405" width="10.140625" style="110" customWidth="1"/>
    <col min="6406" max="6445" width="10.7109375" style="110" customWidth="1"/>
    <col min="6446" max="6446" width="1.85546875" style="110" bestFit="1" customWidth="1"/>
    <col min="6447" max="6447" width="34.5703125" style="110" bestFit="1" customWidth="1"/>
    <col min="6448" max="6449" width="10.7109375" style="110" customWidth="1"/>
    <col min="6450" max="6450" width="2.7109375" style="110" bestFit="1" customWidth="1"/>
    <col min="6451" max="6451" width="11.5703125" style="110" bestFit="1" customWidth="1"/>
    <col min="6452" max="6628" width="10.7109375" style="110"/>
    <col min="6629" max="6629" width="5.28515625" style="110" customWidth="1"/>
    <col min="6630" max="6630" width="6.42578125" style="110" customWidth="1"/>
    <col min="6631" max="6631" width="22" style="110" customWidth="1"/>
    <col min="6632" max="6632" width="7.5703125" style="110" bestFit="1" customWidth="1"/>
    <col min="6633" max="6633" width="4.42578125" style="110" customWidth="1"/>
    <col min="6634" max="6634" width="7.42578125" style="110" bestFit="1" customWidth="1"/>
    <col min="6635" max="6635" width="2.85546875" style="110" bestFit="1" customWidth="1"/>
    <col min="6636" max="6636" width="7" style="110" bestFit="1" customWidth="1"/>
    <col min="6637" max="6637" width="5.7109375" style="110" bestFit="1" customWidth="1"/>
    <col min="6638" max="6638" width="7.85546875" style="110" bestFit="1" customWidth="1"/>
    <col min="6639" max="6640" width="0" style="110" hidden="1" customWidth="1"/>
    <col min="6641" max="6641" width="12.5703125" style="110" customWidth="1"/>
    <col min="6642" max="6642" width="0" style="110" hidden="1" customWidth="1"/>
    <col min="6643" max="6643" width="11" style="110" customWidth="1"/>
    <col min="6644" max="6644" width="9.140625" style="110" customWidth="1"/>
    <col min="6645" max="6645" width="9.85546875" style="110" customWidth="1"/>
    <col min="6646" max="6649" width="0" style="110" hidden="1" customWidth="1"/>
    <col min="6650" max="6650" width="1.5703125" style="110" customWidth="1"/>
    <col min="6651" max="6653" width="0" style="110" hidden="1" customWidth="1"/>
    <col min="6654" max="6654" width="10.42578125" style="110" customWidth="1"/>
    <col min="6655" max="6656" width="11" style="110" customWidth="1"/>
    <col min="6657" max="6657" width="9.42578125" style="110" customWidth="1"/>
    <col min="6658" max="6658" width="10" style="110" customWidth="1"/>
    <col min="6659" max="6659" width="11" style="110" customWidth="1"/>
    <col min="6660" max="6660" width="9.5703125" style="110" customWidth="1"/>
    <col min="6661" max="6661" width="10.140625" style="110" customWidth="1"/>
    <col min="6662" max="6701" width="10.7109375" style="110" customWidth="1"/>
    <col min="6702" max="6702" width="1.85546875" style="110" bestFit="1" customWidth="1"/>
    <col min="6703" max="6703" width="34.5703125" style="110" bestFit="1" customWidth="1"/>
    <col min="6704" max="6705" width="10.7109375" style="110" customWidth="1"/>
    <col min="6706" max="6706" width="2.7109375" style="110" bestFit="1" customWidth="1"/>
    <col min="6707" max="6707" width="11.5703125" style="110" bestFit="1" customWidth="1"/>
    <col min="6708" max="6884" width="10.7109375" style="110"/>
    <col min="6885" max="6885" width="5.28515625" style="110" customWidth="1"/>
    <col min="6886" max="6886" width="6.42578125" style="110" customWidth="1"/>
    <col min="6887" max="6887" width="22" style="110" customWidth="1"/>
    <col min="6888" max="6888" width="7.5703125" style="110" bestFit="1" customWidth="1"/>
    <col min="6889" max="6889" width="4.42578125" style="110" customWidth="1"/>
    <col min="6890" max="6890" width="7.42578125" style="110" bestFit="1" customWidth="1"/>
    <col min="6891" max="6891" width="2.85546875" style="110" bestFit="1" customWidth="1"/>
    <col min="6892" max="6892" width="7" style="110" bestFit="1" customWidth="1"/>
    <col min="6893" max="6893" width="5.7109375" style="110" bestFit="1" customWidth="1"/>
    <col min="6894" max="6894" width="7.85546875" style="110" bestFit="1" customWidth="1"/>
    <col min="6895" max="6896" width="0" style="110" hidden="1" customWidth="1"/>
    <col min="6897" max="6897" width="12.5703125" style="110" customWidth="1"/>
    <col min="6898" max="6898" width="0" style="110" hidden="1" customWidth="1"/>
    <col min="6899" max="6899" width="11" style="110" customWidth="1"/>
    <col min="6900" max="6900" width="9.140625" style="110" customWidth="1"/>
    <col min="6901" max="6901" width="9.85546875" style="110" customWidth="1"/>
    <col min="6902" max="6905" width="0" style="110" hidden="1" customWidth="1"/>
    <col min="6906" max="6906" width="1.5703125" style="110" customWidth="1"/>
    <col min="6907" max="6909" width="0" style="110" hidden="1" customWidth="1"/>
    <col min="6910" max="6910" width="10.42578125" style="110" customWidth="1"/>
    <col min="6911" max="6912" width="11" style="110" customWidth="1"/>
    <col min="6913" max="6913" width="9.42578125" style="110" customWidth="1"/>
    <col min="6914" max="6914" width="10" style="110" customWidth="1"/>
    <col min="6915" max="6915" width="11" style="110" customWidth="1"/>
    <col min="6916" max="6916" width="9.5703125" style="110" customWidth="1"/>
    <col min="6917" max="6917" width="10.140625" style="110" customWidth="1"/>
    <col min="6918" max="6957" width="10.7109375" style="110" customWidth="1"/>
    <col min="6958" max="6958" width="1.85546875" style="110" bestFit="1" customWidth="1"/>
    <col min="6959" max="6959" width="34.5703125" style="110" bestFit="1" customWidth="1"/>
    <col min="6960" max="6961" width="10.7109375" style="110" customWidth="1"/>
    <col min="6962" max="6962" width="2.7109375" style="110" bestFit="1" customWidth="1"/>
    <col min="6963" max="6963" width="11.5703125" style="110" bestFit="1" customWidth="1"/>
    <col min="6964" max="7140" width="10.7109375" style="110"/>
    <col min="7141" max="7141" width="5.28515625" style="110" customWidth="1"/>
    <col min="7142" max="7142" width="6.42578125" style="110" customWidth="1"/>
    <col min="7143" max="7143" width="22" style="110" customWidth="1"/>
    <col min="7144" max="7144" width="7.5703125" style="110" bestFit="1" customWidth="1"/>
    <col min="7145" max="7145" width="4.42578125" style="110" customWidth="1"/>
    <col min="7146" max="7146" width="7.42578125" style="110" bestFit="1" customWidth="1"/>
    <col min="7147" max="7147" width="2.85546875" style="110" bestFit="1" customWidth="1"/>
    <col min="7148" max="7148" width="7" style="110" bestFit="1" customWidth="1"/>
    <col min="7149" max="7149" width="5.7109375" style="110" bestFit="1" customWidth="1"/>
    <col min="7150" max="7150" width="7.85546875" style="110" bestFit="1" customWidth="1"/>
    <col min="7151" max="7152" width="0" style="110" hidden="1" customWidth="1"/>
    <col min="7153" max="7153" width="12.5703125" style="110" customWidth="1"/>
    <col min="7154" max="7154" width="0" style="110" hidden="1" customWidth="1"/>
    <col min="7155" max="7155" width="11" style="110" customWidth="1"/>
    <col min="7156" max="7156" width="9.140625" style="110" customWidth="1"/>
    <col min="7157" max="7157" width="9.85546875" style="110" customWidth="1"/>
    <col min="7158" max="7161" width="0" style="110" hidden="1" customWidth="1"/>
    <col min="7162" max="7162" width="1.5703125" style="110" customWidth="1"/>
    <col min="7163" max="7165" width="0" style="110" hidden="1" customWidth="1"/>
    <col min="7166" max="7166" width="10.42578125" style="110" customWidth="1"/>
    <col min="7167" max="7168" width="11" style="110" customWidth="1"/>
    <col min="7169" max="7169" width="9.42578125" style="110" customWidth="1"/>
    <col min="7170" max="7170" width="10" style="110" customWidth="1"/>
    <col min="7171" max="7171" width="11" style="110" customWidth="1"/>
    <col min="7172" max="7172" width="9.5703125" style="110" customWidth="1"/>
    <col min="7173" max="7173" width="10.140625" style="110" customWidth="1"/>
    <col min="7174" max="7213" width="10.7109375" style="110" customWidth="1"/>
    <col min="7214" max="7214" width="1.85546875" style="110" bestFit="1" customWidth="1"/>
    <col min="7215" max="7215" width="34.5703125" style="110" bestFit="1" customWidth="1"/>
    <col min="7216" max="7217" width="10.7109375" style="110" customWidth="1"/>
    <col min="7218" max="7218" width="2.7109375" style="110" bestFit="1" customWidth="1"/>
    <col min="7219" max="7219" width="11.5703125" style="110" bestFit="1" customWidth="1"/>
    <col min="7220" max="7396" width="10.7109375" style="110"/>
    <col min="7397" max="7397" width="5.28515625" style="110" customWidth="1"/>
    <col min="7398" max="7398" width="6.42578125" style="110" customWidth="1"/>
    <col min="7399" max="7399" width="22" style="110" customWidth="1"/>
    <col min="7400" max="7400" width="7.5703125" style="110" bestFit="1" customWidth="1"/>
    <col min="7401" max="7401" width="4.42578125" style="110" customWidth="1"/>
    <col min="7402" max="7402" width="7.42578125" style="110" bestFit="1" customWidth="1"/>
    <col min="7403" max="7403" width="2.85546875" style="110" bestFit="1" customWidth="1"/>
    <col min="7404" max="7404" width="7" style="110" bestFit="1" customWidth="1"/>
    <col min="7405" max="7405" width="5.7109375" style="110" bestFit="1" customWidth="1"/>
    <col min="7406" max="7406" width="7.85546875" style="110" bestFit="1" customWidth="1"/>
    <col min="7407" max="7408" width="0" style="110" hidden="1" customWidth="1"/>
    <col min="7409" max="7409" width="12.5703125" style="110" customWidth="1"/>
    <col min="7410" max="7410" width="0" style="110" hidden="1" customWidth="1"/>
    <col min="7411" max="7411" width="11" style="110" customWidth="1"/>
    <col min="7412" max="7412" width="9.140625" style="110" customWidth="1"/>
    <col min="7413" max="7413" width="9.85546875" style="110" customWidth="1"/>
    <col min="7414" max="7417" width="0" style="110" hidden="1" customWidth="1"/>
    <col min="7418" max="7418" width="1.5703125" style="110" customWidth="1"/>
    <col min="7419" max="7421" width="0" style="110" hidden="1" customWidth="1"/>
    <col min="7422" max="7422" width="10.42578125" style="110" customWidth="1"/>
    <col min="7423" max="7424" width="11" style="110" customWidth="1"/>
    <col min="7425" max="7425" width="9.42578125" style="110" customWidth="1"/>
    <col min="7426" max="7426" width="10" style="110" customWidth="1"/>
    <col min="7427" max="7427" width="11" style="110" customWidth="1"/>
    <col min="7428" max="7428" width="9.5703125" style="110" customWidth="1"/>
    <col min="7429" max="7429" width="10.140625" style="110" customWidth="1"/>
    <col min="7430" max="7469" width="10.7109375" style="110" customWidth="1"/>
    <col min="7470" max="7470" width="1.85546875" style="110" bestFit="1" customWidth="1"/>
    <col min="7471" max="7471" width="34.5703125" style="110" bestFit="1" customWidth="1"/>
    <col min="7472" max="7473" width="10.7109375" style="110" customWidth="1"/>
    <col min="7474" max="7474" width="2.7109375" style="110" bestFit="1" customWidth="1"/>
    <col min="7475" max="7475" width="11.5703125" style="110" bestFit="1" customWidth="1"/>
    <col min="7476" max="7652" width="10.7109375" style="110"/>
    <col min="7653" max="7653" width="5.28515625" style="110" customWidth="1"/>
    <col min="7654" max="7654" width="6.42578125" style="110" customWidth="1"/>
    <col min="7655" max="7655" width="22" style="110" customWidth="1"/>
    <col min="7656" max="7656" width="7.5703125" style="110" bestFit="1" customWidth="1"/>
    <col min="7657" max="7657" width="4.42578125" style="110" customWidth="1"/>
    <col min="7658" max="7658" width="7.42578125" style="110" bestFit="1" customWidth="1"/>
    <col min="7659" max="7659" width="2.85546875" style="110" bestFit="1" customWidth="1"/>
    <col min="7660" max="7660" width="7" style="110" bestFit="1" customWidth="1"/>
    <col min="7661" max="7661" width="5.7109375" style="110" bestFit="1" customWidth="1"/>
    <col min="7662" max="7662" width="7.85546875" style="110" bestFit="1" customWidth="1"/>
    <col min="7663" max="7664" width="0" style="110" hidden="1" customWidth="1"/>
    <col min="7665" max="7665" width="12.5703125" style="110" customWidth="1"/>
    <col min="7666" max="7666" width="0" style="110" hidden="1" customWidth="1"/>
    <col min="7667" max="7667" width="11" style="110" customWidth="1"/>
    <col min="7668" max="7668" width="9.140625" style="110" customWidth="1"/>
    <col min="7669" max="7669" width="9.85546875" style="110" customWidth="1"/>
    <col min="7670" max="7673" width="0" style="110" hidden="1" customWidth="1"/>
    <col min="7674" max="7674" width="1.5703125" style="110" customWidth="1"/>
    <col min="7675" max="7677" width="0" style="110" hidden="1" customWidth="1"/>
    <col min="7678" max="7678" width="10.42578125" style="110" customWidth="1"/>
    <col min="7679" max="7680" width="11" style="110" customWidth="1"/>
    <col min="7681" max="7681" width="9.42578125" style="110" customWidth="1"/>
    <col min="7682" max="7682" width="10" style="110" customWidth="1"/>
    <col min="7683" max="7683" width="11" style="110" customWidth="1"/>
    <col min="7684" max="7684" width="9.5703125" style="110" customWidth="1"/>
    <col min="7685" max="7685" width="10.140625" style="110" customWidth="1"/>
    <col min="7686" max="7725" width="10.7109375" style="110" customWidth="1"/>
    <col min="7726" max="7726" width="1.85546875" style="110" bestFit="1" customWidth="1"/>
    <col min="7727" max="7727" width="34.5703125" style="110" bestFit="1" customWidth="1"/>
    <col min="7728" max="7729" width="10.7109375" style="110" customWidth="1"/>
    <col min="7730" max="7730" width="2.7109375" style="110" bestFit="1" customWidth="1"/>
    <col min="7731" max="7731" width="11.5703125" style="110" bestFit="1" customWidth="1"/>
    <col min="7732" max="7908" width="10.7109375" style="110"/>
    <col min="7909" max="7909" width="5.28515625" style="110" customWidth="1"/>
    <col min="7910" max="7910" width="6.42578125" style="110" customWidth="1"/>
    <col min="7911" max="7911" width="22" style="110" customWidth="1"/>
    <col min="7912" max="7912" width="7.5703125" style="110" bestFit="1" customWidth="1"/>
    <col min="7913" max="7913" width="4.42578125" style="110" customWidth="1"/>
    <col min="7914" max="7914" width="7.42578125" style="110" bestFit="1" customWidth="1"/>
    <col min="7915" max="7915" width="2.85546875" style="110" bestFit="1" customWidth="1"/>
    <col min="7916" max="7916" width="7" style="110" bestFit="1" customWidth="1"/>
    <col min="7917" max="7917" width="5.7109375" style="110" bestFit="1" customWidth="1"/>
    <col min="7918" max="7918" width="7.85546875" style="110" bestFit="1" customWidth="1"/>
    <col min="7919" max="7920" width="0" style="110" hidden="1" customWidth="1"/>
    <col min="7921" max="7921" width="12.5703125" style="110" customWidth="1"/>
    <col min="7922" max="7922" width="0" style="110" hidden="1" customWidth="1"/>
    <col min="7923" max="7923" width="11" style="110" customWidth="1"/>
    <col min="7924" max="7924" width="9.140625" style="110" customWidth="1"/>
    <col min="7925" max="7925" width="9.85546875" style="110" customWidth="1"/>
    <col min="7926" max="7929" width="0" style="110" hidden="1" customWidth="1"/>
    <col min="7930" max="7930" width="1.5703125" style="110" customWidth="1"/>
    <col min="7931" max="7933" width="0" style="110" hidden="1" customWidth="1"/>
    <col min="7934" max="7934" width="10.42578125" style="110" customWidth="1"/>
    <col min="7935" max="7936" width="11" style="110" customWidth="1"/>
    <col min="7937" max="7937" width="9.42578125" style="110" customWidth="1"/>
    <col min="7938" max="7938" width="10" style="110" customWidth="1"/>
    <col min="7939" max="7939" width="11" style="110" customWidth="1"/>
    <col min="7940" max="7940" width="9.5703125" style="110" customWidth="1"/>
    <col min="7941" max="7941" width="10.140625" style="110" customWidth="1"/>
    <col min="7942" max="7981" width="10.7109375" style="110" customWidth="1"/>
    <col min="7982" max="7982" width="1.85546875" style="110" bestFit="1" customWidth="1"/>
    <col min="7983" max="7983" width="34.5703125" style="110" bestFit="1" customWidth="1"/>
    <col min="7984" max="7985" width="10.7109375" style="110" customWidth="1"/>
    <col min="7986" max="7986" width="2.7109375" style="110" bestFit="1" customWidth="1"/>
    <col min="7987" max="7987" width="11.5703125" style="110" bestFit="1" customWidth="1"/>
    <col min="7988" max="8164" width="10.7109375" style="110"/>
    <col min="8165" max="8165" width="5.28515625" style="110" customWidth="1"/>
    <col min="8166" max="8166" width="6.42578125" style="110" customWidth="1"/>
    <col min="8167" max="8167" width="22" style="110" customWidth="1"/>
    <col min="8168" max="8168" width="7.5703125" style="110" bestFit="1" customWidth="1"/>
    <col min="8169" max="8169" width="4.42578125" style="110" customWidth="1"/>
    <col min="8170" max="8170" width="7.42578125" style="110" bestFit="1" customWidth="1"/>
    <col min="8171" max="8171" width="2.85546875" style="110" bestFit="1" customWidth="1"/>
    <col min="8172" max="8172" width="7" style="110" bestFit="1" customWidth="1"/>
    <col min="8173" max="8173" width="5.7109375" style="110" bestFit="1" customWidth="1"/>
    <col min="8174" max="8174" width="7.85546875" style="110" bestFit="1" customWidth="1"/>
    <col min="8175" max="8176" width="0" style="110" hidden="1" customWidth="1"/>
    <col min="8177" max="8177" width="12.5703125" style="110" customWidth="1"/>
    <col min="8178" max="8178" width="0" style="110" hidden="1" customWidth="1"/>
    <col min="8179" max="8179" width="11" style="110" customWidth="1"/>
    <col min="8180" max="8180" width="9.140625" style="110" customWidth="1"/>
    <col min="8181" max="8181" width="9.85546875" style="110" customWidth="1"/>
    <col min="8182" max="8185" width="0" style="110" hidden="1" customWidth="1"/>
    <col min="8186" max="8186" width="1.5703125" style="110" customWidth="1"/>
    <col min="8187" max="8189" width="0" style="110" hidden="1" customWidth="1"/>
    <col min="8190" max="8190" width="10.42578125" style="110" customWidth="1"/>
    <col min="8191" max="8192" width="11" style="110" customWidth="1"/>
    <col min="8193" max="8193" width="9.42578125" style="110" customWidth="1"/>
    <col min="8194" max="8194" width="10" style="110" customWidth="1"/>
    <col min="8195" max="8195" width="11" style="110" customWidth="1"/>
    <col min="8196" max="8196" width="9.5703125" style="110" customWidth="1"/>
    <col min="8197" max="8197" width="10.140625" style="110" customWidth="1"/>
    <col min="8198" max="8237" width="10.7109375" style="110" customWidth="1"/>
    <col min="8238" max="8238" width="1.85546875" style="110" bestFit="1" customWidth="1"/>
    <col min="8239" max="8239" width="34.5703125" style="110" bestFit="1" customWidth="1"/>
    <col min="8240" max="8241" width="10.7109375" style="110" customWidth="1"/>
    <col min="8242" max="8242" width="2.7109375" style="110" bestFit="1" customWidth="1"/>
    <col min="8243" max="8243" width="11.5703125" style="110" bestFit="1" customWidth="1"/>
    <col min="8244" max="8420" width="10.7109375" style="110"/>
    <col min="8421" max="8421" width="5.28515625" style="110" customWidth="1"/>
    <col min="8422" max="8422" width="6.42578125" style="110" customWidth="1"/>
    <col min="8423" max="8423" width="22" style="110" customWidth="1"/>
    <col min="8424" max="8424" width="7.5703125" style="110" bestFit="1" customWidth="1"/>
    <col min="8425" max="8425" width="4.42578125" style="110" customWidth="1"/>
    <col min="8426" max="8426" width="7.42578125" style="110" bestFit="1" customWidth="1"/>
    <col min="8427" max="8427" width="2.85546875" style="110" bestFit="1" customWidth="1"/>
    <col min="8428" max="8428" width="7" style="110" bestFit="1" customWidth="1"/>
    <col min="8429" max="8429" width="5.7109375" style="110" bestFit="1" customWidth="1"/>
    <col min="8430" max="8430" width="7.85546875" style="110" bestFit="1" customWidth="1"/>
    <col min="8431" max="8432" width="0" style="110" hidden="1" customWidth="1"/>
    <col min="8433" max="8433" width="12.5703125" style="110" customWidth="1"/>
    <col min="8434" max="8434" width="0" style="110" hidden="1" customWidth="1"/>
    <col min="8435" max="8435" width="11" style="110" customWidth="1"/>
    <col min="8436" max="8436" width="9.140625" style="110" customWidth="1"/>
    <col min="8437" max="8437" width="9.85546875" style="110" customWidth="1"/>
    <col min="8438" max="8441" width="0" style="110" hidden="1" customWidth="1"/>
    <col min="8442" max="8442" width="1.5703125" style="110" customWidth="1"/>
    <col min="8443" max="8445" width="0" style="110" hidden="1" customWidth="1"/>
    <col min="8446" max="8446" width="10.42578125" style="110" customWidth="1"/>
    <col min="8447" max="8448" width="11" style="110" customWidth="1"/>
    <col min="8449" max="8449" width="9.42578125" style="110" customWidth="1"/>
    <col min="8450" max="8450" width="10" style="110" customWidth="1"/>
    <col min="8451" max="8451" width="11" style="110" customWidth="1"/>
    <col min="8452" max="8452" width="9.5703125" style="110" customWidth="1"/>
    <col min="8453" max="8453" width="10.140625" style="110" customWidth="1"/>
    <col min="8454" max="8493" width="10.7109375" style="110" customWidth="1"/>
    <col min="8494" max="8494" width="1.85546875" style="110" bestFit="1" customWidth="1"/>
    <col min="8495" max="8495" width="34.5703125" style="110" bestFit="1" customWidth="1"/>
    <col min="8496" max="8497" width="10.7109375" style="110" customWidth="1"/>
    <col min="8498" max="8498" width="2.7109375" style="110" bestFit="1" customWidth="1"/>
    <col min="8499" max="8499" width="11.5703125" style="110" bestFit="1" customWidth="1"/>
    <col min="8500" max="8676" width="10.7109375" style="110"/>
    <col min="8677" max="8677" width="5.28515625" style="110" customWidth="1"/>
    <col min="8678" max="8678" width="6.42578125" style="110" customWidth="1"/>
    <col min="8679" max="8679" width="22" style="110" customWidth="1"/>
    <col min="8680" max="8680" width="7.5703125" style="110" bestFit="1" customWidth="1"/>
    <col min="8681" max="8681" width="4.42578125" style="110" customWidth="1"/>
    <col min="8682" max="8682" width="7.42578125" style="110" bestFit="1" customWidth="1"/>
    <col min="8683" max="8683" width="2.85546875" style="110" bestFit="1" customWidth="1"/>
    <col min="8684" max="8684" width="7" style="110" bestFit="1" customWidth="1"/>
    <col min="8685" max="8685" width="5.7109375" style="110" bestFit="1" customWidth="1"/>
    <col min="8686" max="8686" width="7.85546875" style="110" bestFit="1" customWidth="1"/>
    <col min="8687" max="8688" width="0" style="110" hidden="1" customWidth="1"/>
    <col min="8689" max="8689" width="12.5703125" style="110" customWidth="1"/>
    <col min="8690" max="8690" width="0" style="110" hidden="1" customWidth="1"/>
    <col min="8691" max="8691" width="11" style="110" customWidth="1"/>
    <col min="8692" max="8692" width="9.140625" style="110" customWidth="1"/>
    <col min="8693" max="8693" width="9.85546875" style="110" customWidth="1"/>
    <col min="8694" max="8697" width="0" style="110" hidden="1" customWidth="1"/>
    <col min="8698" max="8698" width="1.5703125" style="110" customWidth="1"/>
    <col min="8699" max="8701" width="0" style="110" hidden="1" customWidth="1"/>
    <col min="8702" max="8702" width="10.42578125" style="110" customWidth="1"/>
    <col min="8703" max="8704" width="11" style="110" customWidth="1"/>
    <col min="8705" max="8705" width="9.42578125" style="110" customWidth="1"/>
    <col min="8706" max="8706" width="10" style="110" customWidth="1"/>
    <col min="8707" max="8707" width="11" style="110" customWidth="1"/>
    <col min="8708" max="8708" width="9.5703125" style="110" customWidth="1"/>
    <col min="8709" max="8709" width="10.140625" style="110" customWidth="1"/>
    <col min="8710" max="8749" width="10.7109375" style="110" customWidth="1"/>
    <col min="8750" max="8750" width="1.85546875" style="110" bestFit="1" customWidth="1"/>
    <col min="8751" max="8751" width="34.5703125" style="110" bestFit="1" customWidth="1"/>
    <col min="8752" max="8753" width="10.7109375" style="110" customWidth="1"/>
    <col min="8754" max="8754" width="2.7109375" style="110" bestFit="1" customWidth="1"/>
    <col min="8755" max="8755" width="11.5703125" style="110" bestFit="1" customWidth="1"/>
    <col min="8756" max="8932" width="10.7109375" style="110"/>
    <col min="8933" max="8933" width="5.28515625" style="110" customWidth="1"/>
    <col min="8934" max="8934" width="6.42578125" style="110" customWidth="1"/>
    <col min="8935" max="8935" width="22" style="110" customWidth="1"/>
    <col min="8936" max="8936" width="7.5703125" style="110" bestFit="1" customWidth="1"/>
    <col min="8937" max="8937" width="4.42578125" style="110" customWidth="1"/>
    <col min="8938" max="8938" width="7.42578125" style="110" bestFit="1" customWidth="1"/>
    <col min="8939" max="8939" width="2.85546875" style="110" bestFit="1" customWidth="1"/>
    <col min="8940" max="8940" width="7" style="110" bestFit="1" customWidth="1"/>
    <col min="8941" max="8941" width="5.7109375" style="110" bestFit="1" customWidth="1"/>
    <col min="8942" max="8942" width="7.85546875" style="110" bestFit="1" customWidth="1"/>
    <col min="8943" max="8944" width="0" style="110" hidden="1" customWidth="1"/>
    <col min="8945" max="8945" width="12.5703125" style="110" customWidth="1"/>
    <col min="8946" max="8946" width="0" style="110" hidden="1" customWidth="1"/>
    <col min="8947" max="8947" width="11" style="110" customWidth="1"/>
    <col min="8948" max="8948" width="9.140625" style="110" customWidth="1"/>
    <col min="8949" max="8949" width="9.85546875" style="110" customWidth="1"/>
    <col min="8950" max="8953" width="0" style="110" hidden="1" customWidth="1"/>
    <col min="8954" max="8954" width="1.5703125" style="110" customWidth="1"/>
    <col min="8955" max="8957" width="0" style="110" hidden="1" customWidth="1"/>
    <col min="8958" max="8958" width="10.42578125" style="110" customWidth="1"/>
    <col min="8959" max="8960" width="11" style="110" customWidth="1"/>
    <col min="8961" max="8961" width="9.42578125" style="110" customWidth="1"/>
    <col min="8962" max="8962" width="10" style="110" customWidth="1"/>
    <col min="8963" max="8963" width="11" style="110" customWidth="1"/>
    <col min="8964" max="8964" width="9.5703125" style="110" customWidth="1"/>
    <col min="8965" max="8965" width="10.140625" style="110" customWidth="1"/>
    <col min="8966" max="9005" width="10.7109375" style="110" customWidth="1"/>
    <col min="9006" max="9006" width="1.85546875" style="110" bestFit="1" customWidth="1"/>
    <col min="9007" max="9007" width="34.5703125" style="110" bestFit="1" customWidth="1"/>
    <col min="9008" max="9009" width="10.7109375" style="110" customWidth="1"/>
    <col min="9010" max="9010" width="2.7109375" style="110" bestFit="1" customWidth="1"/>
    <col min="9011" max="9011" width="11.5703125" style="110" bestFit="1" customWidth="1"/>
    <col min="9012" max="9188" width="10.7109375" style="110"/>
    <col min="9189" max="9189" width="5.28515625" style="110" customWidth="1"/>
    <col min="9190" max="9190" width="6.42578125" style="110" customWidth="1"/>
    <col min="9191" max="9191" width="22" style="110" customWidth="1"/>
    <col min="9192" max="9192" width="7.5703125" style="110" bestFit="1" customWidth="1"/>
    <col min="9193" max="9193" width="4.42578125" style="110" customWidth="1"/>
    <col min="9194" max="9194" width="7.42578125" style="110" bestFit="1" customWidth="1"/>
    <col min="9195" max="9195" width="2.85546875" style="110" bestFit="1" customWidth="1"/>
    <col min="9196" max="9196" width="7" style="110" bestFit="1" customWidth="1"/>
    <col min="9197" max="9197" width="5.7109375" style="110" bestFit="1" customWidth="1"/>
    <col min="9198" max="9198" width="7.85546875" style="110" bestFit="1" customWidth="1"/>
    <col min="9199" max="9200" width="0" style="110" hidden="1" customWidth="1"/>
    <col min="9201" max="9201" width="12.5703125" style="110" customWidth="1"/>
    <col min="9202" max="9202" width="0" style="110" hidden="1" customWidth="1"/>
    <col min="9203" max="9203" width="11" style="110" customWidth="1"/>
    <col min="9204" max="9204" width="9.140625" style="110" customWidth="1"/>
    <col min="9205" max="9205" width="9.85546875" style="110" customWidth="1"/>
    <col min="9206" max="9209" width="0" style="110" hidden="1" customWidth="1"/>
    <col min="9210" max="9210" width="1.5703125" style="110" customWidth="1"/>
    <col min="9211" max="9213" width="0" style="110" hidden="1" customWidth="1"/>
    <col min="9214" max="9214" width="10.42578125" style="110" customWidth="1"/>
    <col min="9215" max="9216" width="11" style="110" customWidth="1"/>
    <col min="9217" max="9217" width="9.42578125" style="110" customWidth="1"/>
    <col min="9218" max="9218" width="10" style="110" customWidth="1"/>
    <col min="9219" max="9219" width="11" style="110" customWidth="1"/>
    <col min="9220" max="9220" width="9.5703125" style="110" customWidth="1"/>
    <col min="9221" max="9221" width="10.140625" style="110" customWidth="1"/>
    <col min="9222" max="9261" width="10.7109375" style="110" customWidth="1"/>
    <col min="9262" max="9262" width="1.85546875" style="110" bestFit="1" customWidth="1"/>
    <col min="9263" max="9263" width="34.5703125" style="110" bestFit="1" customWidth="1"/>
    <col min="9264" max="9265" width="10.7109375" style="110" customWidth="1"/>
    <col min="9266" max="9266" width="2.7109375" style="110" bestFit="1" customWidth="1"/>
    <col min="9267" max="9267" width="11.5703125" style="110" bestFit="1" customWidth="1"/>
    <col min="9268" max="9444" width="10.7109375" style="110"/>
    <col min="9445" max="9445" width="5.28515625" style="110" customWidth="1"/>
    <col min="9446" max="9446" width="6.42578125" style="110" customWidth="1"/>
    <col min="9447" max="9447" width="22" style="110" customWidth="1"/>
    <col min="9448" max="9448" width="7.5703125" style="110" bestFit="1" customWidth="1"/>
    <col min="9449" max="9449" width="4.42578125" style="110" customWidth="1"/>
    <col min="9450" max="9450" width="7.42578125" style="110" bestFit="1" customWidth="1"/>
    <col min="9451" max="9451" width="2.85546875" style="110" bestFit="1" customWidth="1"/>
    <col min="9452" max="9452" width="7" style="110" bestFit="1" customWidth="1"/>
    <col min="9453" max="9453" width="5.7109375" style="110" bestFit="1" customWidth="1"/>
    <col min="9454" max="9454" width="7.85546875" style="110" bestFit="1" customWidth="1"/>
    <col min="9455" max="9456" width="0" style="110" hidden="1" customWidth="1"/>
    <col min="9457" max="9457" width="12.5703125" style="110" customWidth="1"/>
    <col min="9458" max="9458" width="0" style="110" hidden="1" customWidth="1"/>
    <col min="9459" max="9459" width="11" style="110" customWidth="1"/>
    <col min="9460" max="9460" width="9.140625" style="110" customWidth="1"/>
    <col min="9461" max="9461" width="9.85546875" style="110" customWidth="1"/>
    <col min="9462" max="9465" width="0" style="110" hidden="1" customWidth="1"/>
    <col min="9466" max="9466" width="1.5703125" style="110" customWidth="1"/>
    <col min="9467" max="9469" width="0" style="110" hidden="1" customWidth="1"/>
    <col min="9470" max="9470" width="10.42578125" style="110" customWidth="1"/>
    <col min="9471" max="9472" width="11" style="110" customWidth="1"/>
    <col min="9473" max="9473" width="9.42578125" style="110" customWidth="1"/>
    <col min="9474" max="9474" width="10" style="110" customWidth="1"/>
    <col min="9475" max="9475" width="11" style="110" customWidth="1"/>
    <col min="9476" max="9476" width="9.5703125" style="110" customWidth="1"/>
    <col min="9477" max="9477" width="10.140625" style="110" customWidth="1"/>
    <col min="9478" max="9517" width="10.7109375" style="110" customWidth="1"/>
    <col min="9518" max="9518" width="1.85546875" style="110" bestFit="1" customWidth="1"/>
    <col min="9519" max="9519" width="34.5703125" style="110" bestFit="1" customWidth="1"/>
    <col min="9520" max="9521" width="10.7109375" style="110" customWidth="1"/>
    <col min="9522" max="9522" width="2.7109375" style="110" bestFit="1" customWidth="1"/>
    <col min="9523" max="9523" width="11.5703125" style="110" bestFit="1" customWidth="1"/>
    <col min="9524" max="9700" width="10.7109375" style="110"/>
    <col min="9701" max="9701" width="5.28515625" style="110" customWidth="1"/>
    <col min="9702" max="9702" width="6.42578125" style="110" customWidth="1"/>
    <col min="9703" max="9703" width="22" style="110" customWidth="1"/>
    <col min="9704" max="9704" width="7.5703125" style="110" bestFit="1" customWidth="1"/>
    <col min="9705" max="9705" width="4.42578125" style="110" customWidth="1"/>
    <col min="9706" max="9706" width="7.42578125" style="110" bestFit="1" customWidth="1"/>
    <col min="9707" max="9707" width="2.85546875" style="110" bestFit="1" customWidth="1"/>
    <col min="9708" max="9708" width="7" style="110" bestFit="1" customWidth="1"/>
    <col min="9709" max="9709" width="5.7109375" style="110" bestFit="1" customWidth="1"/>
    <col min="9710" max="9710" width="7.85546875" style="110" bestFit="1" customWidth="1"/>
    <col min="9711" max="9712" width="0" style="110" hidden="1" customWidth="1"/>
    <col min="9713" max="9713" width="12.5703125" style="110" customWidth="1"/>
    <col min="9714" max="9714" width="0" style="110" hidden="1" customWidth="1"/>
    <col min="9715" max="9715" width="11" style="110" customWidth="1"/>
    <col min="9716" max="9716" width="9.140625" style="110" customWidth="1"/>
    <col min="9717" max="9717" width="9.85546875" style="110" customWidth="1"/>
    <col min="9718" max="9721" width="0" style="110" hidden="1" customWidth="1"/>
    <col min="9722" max="9722" width="1.5703125" style="110" customWidth="1"/>
    <col min="9723" max="9725" width="0" style="110" hidden="1" customWidth="1"/>
    <col min="9726" max="9726" width="10.42578125" style="110" customWidth="1"/>
    <col min="9727" max="9728" width="11" style="110" customWidth="1"/>
    <col min="9729" max="9729" width="9.42578125" style="110" customWidth="1"/>
    <col min="9730" max="9730" width="10" style="110" customWidth="1"/>
    <col min="9731" max="9731" width="11" style="110" customWidth="1"/>
    <col min="9732" max="9732" width="9.5703125" style="110" customWidth="1"/>
    <col min="9733" max="9733" width="10.140625" style="110" customWidth="1"/>
    <col min="9734" max="9773" width="10.7109375" style="110" customWidth="1"/>
    <col min="9774" max="9774" width="1.85546875" style="110" bestFit="1" customWidth="1"/>
    <col min="9775" max="9775" width="34.5703125" style="110" bestFit="1" customWidth="1"/>
    <col min="9776" max="9777" width="10.7109375" style="110" customWidth="1"/>
    <col min="9778" max="9778" width="2.7109375" style="110" bestFit="1" customWidth="1"/>
    <col min="9779" max="9779" width="11.5703125" style="110" bestFit="1" customWidth="1"/>
    <col min="9780" max="9956" width="10.7109375" style="110"/>
    <col min="9957" max="9957" width="5.28515625" style="110" customWidth="1"/>
    <col min="9958" max="9958" width="6.42578125" style="110" customWidth="1"/>
    <col min="9959" max="9959" width="22" style="110" customWidth="1"/>
    <col min="9960" max="9960" width="7.5703125" style="110" bestFit="1" customWidth="1"/>
    <col min="9961" max="9961" width="4.42578125" style="110" customWidth="1"/>
    <col min="9962" max="9962" width="7.42578125" style="110" bestFit="1" customWidth="1"/>
    <col min="9963" max="9963" width="2.85546875" style="110" bestFit="1" customWidth="1"/>
    <col min="9964" max="9964" width="7" style="110" bestFit="1" customWidth="1"/>
    <col min="9965" max="9965" width="5.7109375" style="110" bestFit="1" customWidth="1"/>
    <col min="9966" max="9966" width="7.85546875" style="110" bestFit="1" customWidth="1"/>
    <col min="9967" max="9968" width="0" style="110" hidden="1" customWidth="1"/>
    <col min="9969" max="9969" width="12.5703125" style="110" customWidth="1"/>
    <col min="9970" max="9970" width="0" style="110" hidden="1" customWidth="1"/>
    <col min="9971" max="9971" width="11" style="110" customWidth="1"/>
    <col min="9972" max="9972" width="9.140625" style="110" customWidth="1"/>
    <col min="9973" max="9973" width="9.85546875" style="110" customWidth="1"/>
    <col min="9974" max="9977" width="0" style="110" hidden="1" customWidth="1"/>
    <col min="9978" max="9978" width="1.5703125" style="110" customWidth="1"/>
    <col min="9979" max="9981" width="0" style="110" hidden="1" customWidth="1"/>
    <col min="9982" max="9982" width="10.42578125" style="110" customWidth="1"/>
    <col min="9983" max="9984" width="11" style="110" customWidth="1"/>
    <col min="9985" max="9985" width="9.42578125" style="110" customWidth="1"/>
    <col min="9986" max="9986" width="10" style="110" customWidth="1"/>
    <col min="9987" max="9987" width="11" style="110" customWidth="1"/>
    <col min="9988" max="9988" width="9.5703125" style="110" customWidth="1"/>
    <col min="9989" max="9989" width="10.140625" style="110" customWidth="1"/>
    <col min="9990" max="10029" width="10.7109375" style="110" customWidth="1"/>
    <col min="10030" max="10030" width="1.85546875" style="110" bestFit="1" customWidth="1"/>
    <col min="10031" max="10031" width="34.5703125" style="110" bestFit="1" customWidth="1"/>
    <col min="10032" max="10033" width="10.7109375" style="110" customWidth="1"/>
    <col min="10034" max="10034" width="2.7109375" style="110" bestFit="1" customWidth="1"/>
    <col min="10035" max="10035" width="11.5703125" style="110" bestFit="1" customWidth="1"/>
    <col min="10036" max="10212" width="10.7109375" style="110"/>
    <col min="10213" max="10213" width="5.28515625" style="110" customWidth="1"/>
    <col min="10214" max="10214" width="6.42578125" style="110" customWidth="1"/>
    <col min="10215" max="10215" width="22" style="110" customWidth="1"/>
    <col min="10216" max="10216" width="7.5703125" style="110" bestFit="1" customWidth="1"/>
    <col min="10217" max="10217" width="4.42578125" style="110" customWidth="1"/>
    <col min="10218" max="10218" width="7.42578125" style="110" bestFit="1" customWidth="1"/>
    <col min="10219" max="10219" width="2.85546875" style="110" bestFit="1" customWidth="1"/>
    <col min="10220" max="10220" width="7" style="110" bestFit="1" customWidth="1"/>
    <col min="10221" max="10221" width="5.7109375" style="110" bestFit="1" customWidth="1"/>
    <col min="10222" max="10222" width="7.85546875" style="110" bestFit="1" customWidth="1"/>
    <col min="10223" max="10224" width="0" style="110" hidden="1" customWidth="1"/>
    <col min="10225" max="10225" width="12.5703125" style="110" customWidth="1"/>
    <col min="10226" max="10226" width="0" style="110" hidden="1" customWidth="1"/>
    <col min="10227" max="10227" width="11" style="110" customWidth="1"/>
    <col min="10228" max="10228" width="9.140625" style="110" customWidth="1"/>
    <col min="10229" max="10229" width="9.85546875" style="110" customWidth="1"/>
    <col min="10230" max="10233" width="0" style="110" hidden="1" customWidth="1"/>
    <col min="10234" max="10234" width="1.5703125" style="110" customWidth="1"/>
    <col min="10235" max="10237" width="0" style="110" hidden="1" customWidth="1"/>
    <col min="10238" max="10238" width="10.42578125" style="110" customWidth="1"/>
    <col min="10239" max="10240" width="11" style="110" customWidth="1"/>
    <col min="10241" max="10241" width="9.42578125" style="110" customWidth="1"/>
    <col min="10242" max="10242" width="10" style="110" customWidth="1"/>
    <col min="10243" max="10243" width="11" style="110" customWidth="1"/>
    <col min="10244" max="10244" width="9.5703125" style="110" customWidth="1"/>
    <col min="10245" max="10245" width="10.140625" style="110" customWidth="1"/>
    <col min="10246" max="10285" width="10.7109375" style="110" customWidth="1"/>
    <col min="10286" max="10286" width="1.85546875" style="110" bestFit="1" customWidth="1"/>
    <col min="10287" max="10287" width="34.5703125" style="110" bestFit="1" customWidth="1"/>
    <col min="10288" max="10289" width="10.7109375" style="110" customWidth="1"/>
    <col min="10290" max="10290" width="2.7109375" style="110" bestFit="1" customWidth="1"/>
    <col min="10291" max="10291" width="11.5703125" style="110" bestFit="1" customWidth="1"/>
    <col min="10292" max="10468" width="10.7109375" style="110"/>
    <col min="10469" max="10469" width="5.28515625" style="110" customWidth="1"/>
    <col min="10470" max="10470" width="6.42578125" style="110" customWidth="1"/>
    <col min="10471" max="10471" width="22" style="110" customWidth="1"/>
    <col min="10472" max="10472" width="7.5703125" style="110" bestFit="1" customWidth="1"/>
    <col min="10473" max="10473" width="4.42578125" style="110" customWidth="1"/>
    <col min="10474" max="10474" width="7.42578125" style="110" bestFit="1" customWidth="1"/>
    <col min="10475" max="10475" width="2.85546875" style="110" bestFit="1" customWidth="1"/>
    <col min="10476" max="10476" width="7" style="110" bestFit="1" customWidth="1"/>
    <col min="10477" max="10477" width="5.7109375" style="110" bestFit="1" customWidth="1"/>
    <col min="10478" max="10478" width="7.85546875" style="110" bestFit="1" customWidth="1"/>
    <col min="10479" max="10480" width="0" style="110" hidden="1" customWidth="1"/>
    <col min="10481" max="10481" width="12.5703125" style="110" customWidth="1"/>
    <col min="10482" max="10482" width="0" style="110" hidden="1" customWidth="1"/>
    <col min="10483" max="10483" width="11" style="110" customWidth="1"/>
    <col min="10484" max="10484" width="9.140625" style="110" customWidth="1"/>
    <col min="10485" max="10485" width="9.85546875" style="110" customWidth="1"/>
    <col min="10486" max="10489" width="0" style="110" hidden="1" customWidth="1"/>
    <col min="10490" max="10490" width="1.5703125" style="110" customWidth="1"/>
    <col min="10491" max="10493" width="0" style="110" hidden="1" customWidth="1"/>
    <col min="10494" max="10494" width="10.42578125" style="110" customWidth="1"/>
    <col min="10495" max="10496" width="11" style="110" customWidth="1"/>
    <col min="10497" max="10497" width="9.42578125" style="110" customWidth="1"/>
    <col min="10498" max="10498" width="10" style="110" customWidth="1"/>
    <col min="10499" max="10499" width="11" style="110" customWidth="1"/>
    <col min="10500" max="10500" width="9.5703125" style="110" customWidth="1"/>
    <col min="10501" max="10501" width="10.140625" style="110" customWidth="1"/>
    <col min="10502" max="10541" width="10.7109375" style="110" customWidth="1"/>
    <col min="10542" max="10542" width="1.85546875" style="110" bestFit="1" customWidth="1"/>
    <col min="10543" max="10543" width="34.5703125" style="110" bestFit="1" customWidth="1"/>
    <col min="10544" max="10545" width="10.7109375" style="110" customWidth="1"/>
    <col min="10546" max="10546" width="2.7109375" style="110" bestFit="1" customWidth="1"/>
    <col min="10547" max="10547" width="11.5703125" style="110" bestFit="1" customWidth="1"/>
    <col min="10548" max="10724" width="10.7109375" style="110"/>
    <col min="10725" max="10725" width="5.28515625" style="110" customWidth="1"/>
    <col min="10726" max="10726" width="6.42578125" style="110" customWidth="1"/>
    <col min="10727" max="10727" width="22" style="110" customWidth="1"/>
    <col min="10728" max="10728" width="7.5703125" style="110" bestFit="1" customWidth="1"/>
    <col min="10729" max="10729" width="4.42578125" style="110" customWidth="1"/>
    <col min="10730" max="10730" width="7.42578125" style="110" bestFit="1" customWidth="1"/>
    <col min="10731" max="10731" width="2.85546875" style="110" bestFit="1" customWidth="1"/>
    <col min="10732" max="10732" width="7" style="110" bestFit="1" customWidth="1"/>
    <col min="10733" max="10733" width="5.7109375" style="110" bestFit="1" customWidth="1"/>
    <col min="10734" max="10734" width="7.85546875" style="110" bestFit="1" customWidth="1"/>
    <col min="10735" max="10736" width="0" style="110" hidden="1" customWidth="1"/>
    <col min="10737" max="10737" width="12.5703125" style="110" customWidth="1"/>
    <col min="10738" max="10738" width="0" style="110" hidden="1" customWidth="1"/>
    <col min="10739" max="10739" width="11" style="110" customWidth="1"/>
    <col min="10740" max="10740" width="9.140625" style="110" customWidth="1"/>
    <col min="10741" max="10741" width="9.85546875" style="110" customWidth="1"/>
    <col min="10742" max="10745" width="0" style="110" hidden="1" customWidth="1"/>
    <col min="10746" max="10746" width="1.5703125" style="110" customWidth="1"/>
    <col min="10747" max="10749" width="0" style="110" hidden="1" customWidth="1"/>
    <col min="10750" max="10750" width="10.42578125" style="110" customWidth="1"/>
    <col min="10751" max="10752" width="11" style="110" customWidth="1"/>
    <col min="10753" max="10753" width="9.42578125" style="110" customWidth="1"/>
    <col min="10754" max="10754" width="10" style="110" customWidth="1"/>
    <col min="10755" max="10755" width="11" style="110" customWidth="1"/>
    <col min="10756" max="10756" width="9.5703125" style="110" customWidth="1"/>
    <col min="10757" max="10757" width="10.140625" style="110" customWidth="1"/>
    <col min="10758" max="10797" width="10.7109375" style="110" customWidth="1"/>
    <col min="10798" max="10798" width="1.85546875" style="110" bestFit="1" customWidth="1"/>
    <col min="10799" max="10799" width="34.5703125" style="110" bestFit="1" customWidth="1"/>
    <col min="10800" max="10801" width="10.7109375" style="110" customWidth="1"/>
    <col min="10802" max="10802" width="2.7109375" style="110" bestFit="1" customWidth="1"/>
    <col min="10803" max="10803" width="11.5703125" style="110" bestFit="1" customWidth="1"/>
    <col min="10804" max="10980" width="10.7109375" style="110"/>
    <col min="10981" max="10981" width="5.28515625" style="110" customWidth="1"/>
    <col min="10982" max="10982" width="6.42578125" style="110" customWidth="1"/>
    <col min="10983" max="10983" width="22" style="110" customWidth="1"/>
    <col min="10984" max="10984" width="7.5703125" style="110" bestFit="1" customWidth="1"/>
    <col min="10985" max="10985" width="4.42578125" style="110" customWidth="1"/>
    <col min="10986" max="10986" width="7.42578125" style="110" bestFit="1" customWidth="1"/>
    <col min="10987" max="10987" width="2.85546875" style="110" bestFit="1" customWidth="1"/>
    <col min="10988" max="10988" width="7" style="110" bestFit="1" customWidth="1"/>
    <col min="10989" max="10989" width="5.7109375" style="110" bestFit="1" customWidth="1"/>
    <col min="10990" max="10990" width="7.85546875" style="110" bestFit="1" customWidth="1"/>
    <col min="10991" max="10992" width="0" style="110" hidden="1" customWidth="1"/>
    <col min="10993" max="10993" width="12.5703125" style="110" customWidth="1"/>
    <col min="10994" max="10994" width="0" style="110" hidden="1" customWidth="1"/>
    <col min="10995" max="10995" width="11" style="110" customWidth="1"/>
    <col min="10996" max="10996" width="9.140625" style="110" customWidth="1"/>
    <col min="10997" max="10997" width="9.85546875" style="110" customWidth="1"/>
    <col min="10998" max="11001" width="0" style="110" hidden="1" customWidth="1"/>
    <col min="11002" max="11002" width="1.5703125" style="110" customWidth="1"/>
    <col min="11003" max="11005" width="0" style="110" hidden="1" customWidth="1"/>
    <col min="11006" max="11006" width="10.42578125" style="110" customWidth="1"/>
    <col min="11007" max="11008" width="11" style="110" customWidth="1"/>
    <col min="11009" max="11009" width="9.42578125" style="110" customWidth="1"/>
    <col min="11010" max="11010" width="10" style="110" customWidth="1"/>
    <col min="11011" max="11011" width="11" style="110" customWidth="1"/>
    <col min="11012" max="11012" width="9.5703125" style="110" customWidth="1"/>
    <col min="11013" max="11013" width="10.140625" style="110" customWidth="1"/>
    <col min="11014" max="11053" width="10.7109375" style="110" customWidth="1"/>
    <col min="11054" max="11054" width="1.85546875" style="110" bestFit="1" customWidth="1"/>
    <col min="11055" max="11055" width="34.5703125" style="110" bestFit="1" customWidth="1"/>
    <col min="11056" max="11057" width="10.7109375" style="110" customWidth="1"/>
    <col min="11058" max="11058" width="2.7109375" style="110" bestFit="1" customWidth="1"/>
    <col min="11059" max="11059" width="11.5703125" style="110" bestFit="1" customWidth="1"/>
    <col min="11060" max="11236" width="10.7109375" style="110"/>
    <col min="11237" max="11237" width="5.28515625" style="110" customWidth="1"/>
    <col min="11238" max="11238" width="6.42578125" style="110" customWidth="1"/>
    <col min="11239" max="11239" width="22" style="110" customWidth="1"/>
    <col min="11240" max="11240" width="7.5703125" style="110" bestFit="1" customWidth="1"/>
    <col min="11241" max="11241" width="4.42578125" style="110" customWidth="1"/>
    <col min="11242" max="11242" width="7.42578125" style="110" bestFit="1" customWidth="1"/>
    <col min="11243" max="11243" width="2.85546875" style="110" bestFit="1" customWidth="1"/>
    <col min="11244" max="11244" width="7" style="110" bestFit="1" customWidth="1"/>
    <col min="11245" max="11245" width="5.7109375" style="110" bestFit="1" customWidth="1"/>
    <col min="11246" max="11246" width="7.85546875" style="110" bestFit="1" customWidth="1"/>
    <col min="11247" max="11248" width="0" style="110" hidden="1" customWidth="1"/>
    <col min="11249" max="11249" width="12.5703125" style="110" customWidth="1"/>
    <col min="11250" max="11250" width="0" style="110" hidden="1" customWidth="1"/>
    <col min="11251" max="11251" width="11" style="110" customWidth="1"/>
    <col min="11252" max="11252" width="9.140625" style="110" customWidth="1"/>
    <col min="11253" max="11253" width="9.85546875" style="110" customWidth="1"/>
    <col min="11254" max="11257" width="0" style="110" hidden="1" customWidth="1"/>
    <col min="11258" max="11258" width="1.5703125" style="110" customWidth="1"/>
    <col min="11259" max="11261" width="0" style="110" hidden="1" customWidth="1"/>
    <col min="11262" max="11262" width="10.42578125" style="110" customWidth="1"/>
    <col min="11263" max="11264" width="11" style="110" customWidth="1"/>
    <col min="11265" max="11265" width="9.42578125" style="110" customWidth="1"/>
    <col min="11266" max="11266" width="10" style="110" customWidth="1"/>
    <col min="11267" max="11267" width="11" style="110" customWidth="1"/>
    <col min="11268" max="11268" width="9.5703125" style="110" customWidth="1"/>
    <col min="11269" max="11269" width="10.140625" style="110" customWidth="1"/>
    <col min="11270" max="11309" width="10.7109375" style="110" customWidth="1"/>
    <col min="11310" max="11310" width="1.85546875" style="110" bestFit="1" customWidth="1"/>
    <col min="11311" max="11311" width="34.5703125" style="110" bestFit="1" customWidth="1"/>
    <col min="11312" max="11313" width="10.7109375" style="110" customWidth="1"/>
    <col min="11314" max="11314" width="2.7109375" style="110" bestFit="1" customWidth="1"/>
    <col min="11315" max="11315" width="11.5703125" style="110" bestFit="1" customWidth="1"/>
    <col min="11316" max="11492" width="10.7109375" style="110"/>
    <col min="11493" max="11493" width="5.28515625" style="110" customWidth="1"/>
    <col min="11494" max="11494" width="6.42578125" style="110" customWidth="1"/>
    <col min="11495" max="11495" width="22" style="110" customWidth="1"/>
    <col min="11496" max="11496" width="7.5703125" style="110" bestFit="1" customWidth="1"/>
    <col min="11497" max="11497" width="4.42578125" style="110" customWidth="1"/>
    <col min="11498" max="11498" width="7.42578125" style="110" bestFit="1" customWidth="1"/>
    <col min="11499" max="11499" width="2.85546875" style="110" bestFit="1" customWidth="1"/>
    <col min="11500" max="11500" width="7" style="110" bestFit="1" customWidth="1"/>
    <col min="11501" max="11501" width="5.7109375" style="110" bestFit="1" customWidth="1"/>
    <col min="11502" max="11502" width="7.85546875" style="110" bestFit="1" customWidth="1"/>
    <col min="11503" max="11504" width="0" style="110" hidden="1" customWidth="1"/>
    <col min="11505" max="11505" width="12.5703125" style="110" customWidth="1"/>
    <col min="11506" max="11506" width="0" style="110" hidden="1" customWidth="1"/>
    <col min="11507" max="11507" width="11" style="110" customWidth="1"/>
    <col min="11508" max="11508" width="9.140625" style="110" customWidth="1"/>
    <col min="11509" max="11509" width="9.85546875" style="110" customWidth="1"/>
    <col min="11510" max="11513" width="0" style="110" hidden="1" customWidth="1"/>
    <col min="11514" max="11514" width="1.5703125" style="110" customWidth="1"/>
    <col min="11515" max="11517" width="0" style="110" hidden="1" customWidth="1"/>
    <col min="11518" max="11518" width="10.42578125" style="110" customWidth="1"/>
    <col min="11519" max="11520" width="11" style="110" customWidth="1"/>
    <col min="11521" max="11521" width="9.42578125" style="110" customWidth="1"/>
    <col min="11522" max="11522" width="10" style="110" customWidth="1"/>
    <col min="11523" max="11523" width="11" style="110" customWidth="1"/>
    <col min="11524" max="11524" width="9.5703125" style="110" customWidth="1"/>
    <col min="11525" max="11525" width="10.140625" style="110" customWidth="1"/>
    <col min="11526" max="11565" width="10.7109375" style="110" customWidth="1"/>
    <col min="11566" max="11566" width="1.85546875" style="110" bestFit="1" customWidth="1"/>
    <col min="11567" max="11567" width="34.5703125" style="110" bestFit="1" customWidth="1"/>
    <col min="11568" max="11569" width="10.7109375" style="110" customWidth="1"/>
    <col min="11570" max="11570" width="2.7109375" style="110" bestFit="1" customWidth="1"/>
    <col min="11571" max="11571" width="11.5703125" style="110" bestFit="1" customWidth="1"/>
    <col min="11572" max="11748" width="10.7109375" style="110"/>
    <col min="11749" max="11749" width="5.28515625" style="110" customWidth="1"/>
    <col min="11750" max="11750" width="6.42578125" style="110" customWidth="1"/>
    <col min="11751" max="11751" width="22" style="110" customWidth="1"/>
    <col min="11752" max="11752" width="7.5703125" style="110" bestFit="1" customWidth="1"/>
    <col min="11753" max="11753" width="4.42578125" style="110" customWidth="1"/>
    <col min="11754" max="11754" width="7.42578125" style="110" bestFit="1" customWidth="1"/>
    <col min="11755" max="11755" width="2.85546875" style="110" bestFit="1" customWidth="1"/>
    <col min="11756" max="11756" width="7" style="110" bestFit="1" customWidth="1"/>
    <col min="11757" max="11757" width="5.7109375" style="110" bestFit="1" customWidth="1"/>
    <col min="11758" max="11758" width="7.85546875" style="110" bestFit="1" customWidth="1"/>
    <col min="11759" max="11760" width="0" style="110" hidden="1" customWidth="1"/>
    <col min="11761" max="11761" width="12.5703125" style="110" customWidth="1"/>
    <col min="11762" max="11762" width="0" style="110" hidden="1" customWidth="1"/>
    <col min="11763" max="11763" width="11" style="110" customWidth="1"/>
    <col min="11764" max="11764" width="9.140625" style="110" customWidth="1"/>
    <col min="11765" max="11765" width="9.85546875" style="110" customWidth="1"/>
    <col min="11766" max="11769" width="0" style="110" hidden="1" customWidth="1"/>
    <col min="11770" max="11770" width="1.5703125" style="110" customWidth="1"/>
    <col min="11771" max="11773" width="0" style="110" hidden="1" customWidth="1"/>
    <col min="11774" max="11774" width="10.42578125" style="110" customWidth="1"/>
    <col min="11775" max="11776" width="11" style="110" customWidth="1"/>
    <col min="11777" max="11777" width="9.42578125" style="110" customWidth="1"/>
    <col min="11778" max="11778" width="10" style="110" customWidth="1"/>
    <col min="11779" max="11779" width="11" style="110" customWidth="1"/>
    <col min="11780" max="11780" width="9.5703125" style="110" customWidth="1"/>
    <col min="11781" max="11781" width="10.140625" style="110" customWidth="1"/>
    <col min="11782" max="11821" width="10.7109375" style="110" customWidth="1"/>
    <col min="11822" max="11822" width="1.85546875" style="110" bestFit="1" customWidth="1"/>
    <col min="11823" max="11823" width="34.5703125" style="110" bestFit="1" customWidth="1"/>
    <col min="11824" max="11825" width="10.7109375" style="110" customWidth="1"/>
    <col min="11826" max="11826" width="2.7109375" style="110" bestFit="1" customWidth="1"/>
    <col min="11827" max="11827" width="11.5703125" style="110" bestFit="1" customWidth="1"/>
    <col min="11828" max="12004" width="10.7109375" style="110"/>
    <col min="12005" max="12005" width="5.28515625" style="110" customWidth="1"/>
    <col min="12006" max="12006" width="6.42578125" style="110" customWidth="1"/>
    <col min="12007" max="12007" width="22" style="110" customWidth="1"/>
    <col min="12008" max="12008" width="7.5703125" style="110" bestFit="1" customWidth="1"/>
    <col min="12009" max="12009" width="4.42578125" style="110" customWidth="1"/>
    <col min="12010" max="12010" width="7.42578125" style="110" bestFit="1" customWidth="1"/>
    <col min="12011" max="12011" width="2.85546875" style="110" bestFit="1" customWidth="1"/>
    <col min="12012" max="12012" width="7" style="110" bestFit="1" customWidth="1"/>
    <col min="12013" max="12013" width="5.7109375" style="110" bestFit="1" customWidth="1"/>
    <col min="12014" max="12014" width="7.85546875" style="110" bestFit="1" customWidth="1"/>
    <col min="12015" max="12016" width="0" style="110" hidden="1" customWidth="1"/>
    <col min="12017" max="12017" width="12.5703125" style="110" customWidth="1"/>
    <col min="12018" max="12018" width="0" style="110" hidden="1" customWidth="1"/>
    <col min="12019" max="12019" width="11" style="110" customWidth="1"/>
    <col min="12020" max="12020" width="9.140625" style="110" customWidth="1"/>
    <col min="12021" max="12021" width="9.85546875" style="110" customWidth="1"/>
    <col min="12022" max="12025" width="0" style="110" hidden="1" customWidth="1"/>
    <col min="12026" max="12026" width="1.5703125" style="110" customWidth="1"/>
    <col min="12027" max="12029" width="0" style="110" hidden="1" customWidth="1"/>
    <col min="12030" max="12030" width="10.42578125" style="110" customWidth="1"/>
    <col min="12031" max="12032" width="11" style="110" customWidth="1"/>
    <col min="12033" max="12033" width="9.42578125" style="110" customWidth="1"/>
    <col min="12034" max="12034" width="10" style="110" customWidth="1"/>
    <col min="12035" max="12035" width="11" style="110" customWidth="1"/>
    <col min="12036" max="12036" width="9.5703125" style="110" customWidth="1"/>
    <col min="12037" max="12037" width="10.140625" style="110" customWidth="1"/>
    <col min="12038" max="12077" width="10.7109375" style="110" customWidth="1"/>
    <col min="12078" max="12078" width="1.85546875" style="110" bestFit="1" customWidth="1"/>
    <col min="12079" max="12079" width="34.5703125" style="110" bestFit="1" customWidth="1"/>
    <col min="12080" max="12081" width="10.7109375" style="110" customWidth="1"/>
    <col min="12082" max="12082" width="2.7109375" style="110" bestFit="1" customWidth="1"/>
    <col min="12083" max="12083" width="11.5703125" style="110" bestFit="1" customWidth="1"/>
    <col min="12084" max="12260" width="10.7109375" style="110"/>
    <col min="12261" max="12261" width="5.28515625" style="110" customWidth="1"/>
    <col min="12262" max="12262" width="6.42578125" style="110" customWidth="1"/>
    <col min="12263" max="12263" width="22" style="110" customWidth="1"/>
    <col min="12264" max="12264" width="7.5703125" style="110" bestFit="1" customWidth="1"/>
    <col min="12265" max="12265" width="4.42578125" style="110" customWidth="1"/>
    <col min="12266" max="12266" width="7.42578125" style="110" bestFit="1" customWidth="1"/>
    <col min="12267" max="12267" width="2.85546875" style="110" bestFit="1" customWidth="1"/>
    <col min="12268" max="12268" width="7" style="110" bestFit="1" customWidth="1"/>
    <col min="12269" max="12269" width="5.7109375" style="110" bestFit="1" customWidth="1"/>
    <col min="12270" max="12270" width="7.85546875" style="110" bestFit="1" customWidth="1"/>
    <col min="12271" max="12272" width="0" style="110" hidden="1" customWidth="1"/>
    <col min="12273" max="12273" width="12.5703125" style="110" customWidth="1"/>
    <col min="12274" max="12274" width="0" style="110" hidden="1" customWidth="1"/>
    <col min="12275" max="12275" width="11" style="110" customWidth="1"/>
    <col min="12276" max="12276" width="9.140625" style="110" customWidth="1"/>
    <col min="12277" max="12277" width="9.85546875" style="110" customWidth="1"/>
    <col min="12278" max="12281" width="0" style="110" hidden="1" customWidth="1"/>
    <col min="12282" max="12282" width="1.5703125" style="110" customWidth="1"/>
    <col min="12283" max="12285" width="0" style="110" hidden="1" customWidth="1"/>
    <col min="12286" max="12286" width="10.42578125" style="110" customWidth="1"/>
    <col min="12287" max="12288" width="11" style="110" customWidth="1"/>
    <col min="12289" max="12289" width="9.42578125" style="110" customWidth="1"/>
    <col min="12290" max="12290" width="10" style="110" customWidth="1"/>
    <col min="12291" max="12291" width="11" style="110" customWidth="1"/>
    <col min="12292" max="12292" width="9.5703125" style="110" customWidth="1"/>
    <col min="12293" max="12293" width="10.140625" style="110" customWidth="1"/>
    <col min="12294" max="12333" width="10.7109375" style="110" customWidth="1"/>
    <col min="12334" max="12334" width="1.85546875" style="110" bestFit="1" customWidth="1"/>
    <col min="12335" max="12335" width="34.5703125" style="110" bestFit="1" customWidth="1"/>
    <col min="12336" max="12337" width="10.7109375" style="110" customWidth="1"/>
    <col min="12338" max="12338" width="2.7109375" style="110" bestFit="1" customWidth="1"/>
    <col min="12339" max="12339" width="11.5703125" style="110" bestFit="1" customWidth="1"/>
    <col min="12340" max="12516" width="10.7109375" style="110"/>
    <col min="12517" max="12517" width="5.28515625" style="110" customWidth="1"/>
    <col min="12518" max="12518" width="6.42578125" style="110" customWidth="1"/>
    <col min="12519" max="12519" width="22" style="110" customWidth="1"/>
    <col min="12520" max="12520" width="7.5703125" style="110" bestFit="1" customWidth="1"/>
    <col min="12521" max="12521" width="4.42578125" style="110" customWidth="1"/>
    <col min="12522" max="12522" width="7.42578125" style="110" bestFit="1" customWidth="1"/>
    <col min="12523" max="12523" width="2.85546875" style="110" bestFit="1" customWidth="1"/>
    <col min="12524" max="12524" width="7" style="110" bestFit="1" customWidth="1"/>
    <col min="12525" max="12525" width="5.7109375" style="110" bestFit="1" customWidth="1"/>
    <col min="12526" max="12526" width="7.85546875" style="110" bestFit="1" customWidth="1"/>
    <col min="12527" max="12528" width="0" style="110" hidden="1" customWidth="1"/>
    <col min="12529" max="12529" width="12.5703125" style="110" customWidth="1"/>
    <col min="12530" max="12530" width="0" style="110" hidden="1" customWidth="1"/>
    <col min="12531" max="12531" width="11" style="110" customWidth="1"/>
    <col min="12532" max="12532" width="9.140625" style="110" customWidth="1"/>
    <col min="12533" max="12533" width="9.85546875" style="110" customWidth="1"/>
    <col min="12534" max="12537" width="0" style="110" hidden="1" customWidth="1"/>
    <col min="12538" max="12538" width="1.5703125" style="110" customWidth="1"/>
    <col min="12539" max="12541" width="0" style="110" hidden="1" customWidth="1"/>
    <col min="12542" max="12542" width="10.42578125" style="110" customWidth="1"/>
    <col min="12543" max="12544" width="11" style="110" customWidth="1"/>
    <col min="12545" max="12545" width="9.42578125" style="110" customWidth="1"/>
    <col min="12546" max="12546" width="10" style="110" customWidth="1"/>
    <col min="12547" max="12547" width="11" style="110" customWidth="1"/>
    <col min="12548" max="12548" width="9.5703125" style="110" customWidth="1"/>
    <col min="12549" max="12549" width="10.140625" style="110" customWidth="1"/>
    <col min="12550" max="12589" width="10.7109375" style="110" customWidth="1"/>
    <col min="12590" max="12590" width="1.85546875" style="110" bestFit="1" customWidth="1"/>
    <col min="12591" max="12591" width="34.5703125" style="110" bestFit="1" customWidth="1"/>
    <col min="12592" max="12593" width="10.7109375" style="110" customWidth="1"/>
    <col min="12594" max="12594" width="2.7109375" style="110" bestFit="1" customWidth="1"/>
    <col min="12595" max="12595" width="11.5703125" style="110" bestFit="1" customWidth="1"/>
    <col min="12596" max="12772" width="10.7109375" style="110"/>
    <col min="12773" max="12773" width="5.28515625" style="110" customWidth="1"/>
    <col min="12774" max="12774" width="6.42578125" style="110" customWidth="1"/>
    <col min="12775" max="12775" width="22" style="110" customWidth="1"/>
    <col min="12776" max="12776" width="7.5703125" style="110" bestFit="1" customWidth="1"/>
    <col min="12777" max="12777" width="4.42578125" style="110" customWidth="1"/>
    <col min="12778" max="12778" width="7.42578125" style="110" bestFit="1" customWidth="1"/>
    <col min="12779" max="12779" width="2.85546875" style="110" bestFit="1" customWidth="1"/>
    <col min="12780" max="12780" width="7" style="110" bestFit="1" customWidth="1"/>
    <col min="12781" max="12781" width="5.7109375" style="110" bestFit="1" customWidth="1"/>
    <col min="12782" max="12782" width="7.85546875" style="110" bestFit="1" customWidth="1"/>
    <col min="12783" max="12784" width="0" style="110" hidden="1" customWidth="1"/>
    <col min="12785" max="12785" width="12.5703125" style="110" customWidth="1"/>
    <col min="12786" max="12786" width="0" style="110" hidden="1" customWidth="1"/>
    <col min="12787" max="12787" width="11" style="110" customWidth="1"/>
    <col min="12788" max="12788" width="9.140625" style="110" customWidth="1"/>
    <col min="12789" max="12789" width="9.85546875" style="110" customWidth="1"/>
    <col min="12790" max="12793" width="0" style="110" hidden="1" customWidth="1"/>
    <col min="12794" max="12794" width="1.5703125" style="110" customWidth="1"/>
    <col min="12795" max="12797" width="0" style="110" hidden="1" customWidth="1"/>
    <col min="12798" max="12798" width="10.42578125" style="110" customWidth="1"/>
    <col min="12799" max="12800" width="11" style="110" customWidth="1"/>
    <col min="12801" max="12801" width="9.42578125" style="110" customWidth="1"/>
    <col min="12802" max="12802" width="10" style="110" customWidth="1"/>
    <col min="12803" max="12803" width="11" style="110" customWidth="1"/>
    <col min="12804" max="12804" width="9.5703125" style="110" customWidth="1"/>
    <col min="12805" max="12805" width="10.140625" style="110" customWidth="1"/>
    <col min="12806" max="12845" width="10.7109375" style="110" customWidth="1"/>
    <col min="12846" max="12846" width="1.85546875" style="110" bestFit="1" customWidth="1"/>
    <col min="12847" max="12847" width="34.5703125" style="110" bestFit="1" customWidth="1"/>
    <col min="12848" max="12849" width="10.7109375" style="110" customWidth="1"/>
    <col min="12850" max="12850" width="2.7109375" style="110" bestFit="1" customWidth="1"/>
    <col min="12851" max="12851" width="11.5703125" style="110" bestFit="1" customWidth="1"/>
    <col min="12852" max="13028" width="10.7109375" style="110"/>
    <col min="13029" max="13029" width="5.28515625" style="110" customWidth="1"/>
    <col min="13030" max="13030" width="6.42578125" style="110" customWidth="1"/>
    <col min="13031" max="13031" width="22" style="110" customWidth="1"/>
    <col min="13032" max="13032" width="7.5703125" style="110" bestFit="1" customWidth="1"/>
    <col min="13033" max="13033" width="4.42578125" style="110" customWidth="1"/>
    <col min="13034" max="13034" width="7.42578125" style="110" bestFit="1" customWidth="1"/>
    <col min="13035" max="13035" width="2.85546875" style="110" bestFit="1" customWidth="1"/>
    <col min="13036" max="13036" width="7" style="110" bestFit="1" customWidth="1"/>
    <col min="13037" max="13037" width="5.7109375" style="110" bestFit="1" customWidth="1"/>
    <col min="13038" max="13038" width="7.85546875" style="110" bestFit="1" customWidth="1"/>
    <col min="13039" max="13040" width="0" style="110" hidden="1" customWidth="1"/>
    <col min="13041" max="13041" width="12.5703125" style="110" customWidth="1"/>
    <col min="13042" max="13042" width="0" style="110" hidden="1" customWidth="1"/>
    <col min="13043" max="13043" width="11" style="110" customWidth="1"/>
    <col min="13044" max="13044" width="9.140625" style="110" customWidth="1"/>
    <col min="13045" max="13045" width="9.85546875" style="110" customWidth="1"/>
    <col min="13046" max="13049" width="0" style="110" hidden="1" customWidth="1"/>
    <col min="13050" max="13050" width="1.5703125" style="110" customWidth="1"/>
    <col min="13051" max="13053" width="0" style="110" hidden="1" customWidth="1"/>
    <col min="13054" max="13054" width="10.42578125" style="110" customWidth="1"/>
    <col min="13055" max="13056" width="11" style="110" customWidth="1"/>
    <col min="13057" max="13057" width="9.42578125" style="110" customWidth="1"/>
    <col min="13058" max="13058" width="10" style="110" customWidth="1"/>
    <col min="13059" max="13059" width="11" style="110" customWidth="1"/>
    <col min="13060" max="13060" width="9.5703125" style="110" customWidth="1"/>
    <col min="13061" max="13061" width="10.140625" style="110" customWidth="1"/>
    <col min="13062" max="13101" width="10.7109375" style="110" customWidth="1"/>
    <col min="13102" max="13102" width="1.85546875" style="110" bestFit="1" customWidth="1"/>
    <col min="13103" max="13103" width="34.5703125" style="110" bestFit="1" customWidth="1"/>
    <col min="13104" max="13105" width="10.7109375" style="110" customWidth="1"/>
    <col min="13106" max="13106" width="2.7109375" style="110" bestFit="1" customWidth="1"/>
    <col min="13107" max="13107" width="11.5703125" style="110" bestFit="1" customWidth="1"/>
    <col min="13108" max="13284" width="10.7109375" style="110"/>
    <col min="13285" max="13285" width="5.28515625" style="110" customWidth="1"/>
    <col min="13286" max="13286" width="6.42578125" style="110" customWidth="1"/>
    <col min="13287" max="13287" width="22" style="110" customWidth="1"/>
    <col min="13288" max="13288" width="7.5703125" style="110" bestFit="1" customWidth="1"/>
    <col min="13289" max="13289" width="4.42578125" style="110" customWidth="1"/>
    <col min="13290" max="13290" width="7.42578125" style="110" bestFit="1" customWidth="1"/>
    <col min="13291" max="13291" width="2.85546875" style="110" bestFit="1" customWidth="1"/>
    <col min="13292" max="13292" width="7" style="110" bestFit="1" customWidth="1"/>
    <col min="13293" max="13293" width="5.7109375" style="110" bestFit="1" customWidth="1"/>
    <col min="13294" max="13294" width="7.85546875" style="110" bestFit="1" customWidth="1"/>
    <col min="13295" max="13296" width="0" style="110" hidden="1" customWidth="1"/>
    <col min="13297" max="13297" width="12.5703125" style="110" customWidth="1"/>
    <col min="13298" max="13298" width="0" style="110" hidden="1" customWidth="1"/>
    <col min="13299" max="13299" width="11" style="110" customWidth="1"/>
    <col min="13300" max="13300" width="9.140625" style="110" customWidth="1"/>
    <col min="13301" max="13301" width="9.85546875" style="110" customWidth="1"/>
    <col min="13302" max="13305" width="0" style="110" hidden="1" customWidth="1"/>
    <col min="13306" max="13306" width="1.5703125" style="110" customWidth="1"/>
    <col min="13307" max="13309" width="0" style="110" hidden="1" customWidth="1"/>
    <col min="13310" max="13310" width="10.42578125" style="110" customWidth="1"/>
    <col min="13311" max="13312" width="11" style="110" customWidth="1"/>
    <col min="13313" max="13313" width="9.42578125" style="110" customWidth="1"/>
    <col min="13314" max="13314" width="10" style="110" customWidth="1"/>
    <col min="13315" max="13315" width="11" style="110" customWidth="1"/>
    <col min="13316" max="13316" width="9.5703125" style="110" customWidth="1"/>
    <col min="13317" max="13317" width="10.140625" style="110" customWidth="1"/>
    <col min="13318" max="13357" width="10.7109375" style="110" customWidth="1"/>
    <col min="13358" max="13358" width="1.85546875" style="110" bestFit="1" customWidth="1"/>
    <col min="13359" max="13359" width="34.5703125" style="110" bestFit="1" customWidth="1"/>
    <col min="13360" max="13361" width="10.7109375" style="110" customWidth="1"/>
    <col min="13362" max="13362" width="2.7109375" style="110" bestFit="1" customWidth="1"/>
    <col min="13363" max="13363" width="11.5703125" style="110" bestFit="1" customWidth="1"/>
    <col min="13364" max="13540" width="10.7109375" style="110"/>
    <col min="13541" max="13541" width="5.28515625" style="110" customWidth="1"/>
    <col min="13542" max="13542" width="6.42578125" style="110" customWidth="1"/>
    <col min="13543" max="13543" width="22" style="110" customWidth="1"/>
    <col min="13544" max="13544" width="7.5703125" style="110" bestFit="1" customWidth="1"/>
    <col min="13545" max="13545" width="4.42578125" style="110" customWidth="1"/>
    <col min="13546" max="13546" width="7.42578125" style="110" bestFit="1" customWidth="1"/>
    <col min="13547" max="13547" width="2.85546875" style="110" bestFit="1" customWidth="1"/>
    <col min="13548" max="13548" width="7" style="110" bestFit="1" customWidth="1"/>
    <col min="13549" max="13549" width="5.7109375" style="110" bestFit="1" customWidth="1"/>
    <col min="13550" max="13550" width="7.85546875" style="110" bestFit="1" customWidth="1"/>
    <col min="13551" max="13552" width="0" style="110" hidden="1" customWidth="1"/>
    <col min="13553" max="13553" width="12.5703125" style="110" customWidth="1"/>
    <col min="13554" max="13554" width="0" style="110" hidden="1" customWidth="1"/>
    <col min="13555" max="13555" width="11" style="110" customWidth="1"/>
    <col min="13556" max="13556" width="9.140625" style="110" customWidth="1"/>
    <col min="13557" max="13557" width="9.85546875" style="110" customWidth="1"/>
    <col min="13558" max="13561" width="0" style="110" hidden="1" customWidth="1"/>
    <col min="13562" max="13562" width="1.5703125" style="110" customWidth="1"/>
    <col min="13563" max="13565" width="0" style="110" hidden="1" customWidth="1"/>
    <col min="13566" max="13566" width="10.42578125" style="110" customWidth="1"/>
    <col min="13567" max="13568" width="11" style="110" customWidth="1"/>
    <col min="13569" max="13569" width="9.42578125" style="110" customWidth="1"/>
    <col min="13570" max="13570" width="10" style="110" customWidth="1"/>
    <col min="13571" max="13571" width="11" style="110" customWidth="1"/>
    <col min="13572" max="13572" width="9.5703125" style="110" customWidth="1"/>
    <col min="13573" max="13573" width="10.140625" style="110" customWidth="1"/>
    <col min="13574" max="13613" width="10.7109375" style="110" customWidth="1"/>
    <col min="13614" max="13614" width="1.85546875" style="110" bestFit="1" customWidth="1"/>
    <col min="13615" max="13615" width="34.5703125" style="110" bestFit="1" customWidth="1"/>
    <col min="13616" max="13617" width="10.7109375" style="110" customWidth="1"/>
    <col min="13618" max="13618" width="2.7109375" style="110" bestFit="1" customWidth="1"/>
    <col min="13619" max="13619" width="11.5703125" style="110" bestFit="1" customWidth="1"/>
    <col min="13620" max="13796" width="10.7109375" style="110"/>
    <col min="13797" max="13797" width="5.28515625" style="110" customWidth="1"/>
    <col min="13798" max="13798" width="6.42578125" style="110" customWidth="1"/>
    <col min="13799" max="13799" width="22" style="110" customWidth="1"/>
    <col min="13800" max="13800" width="7.5703125" style="110" bestFit="1" customWidth="1"/>
    <col min="13801" max="13801" width="4.42578125" style="110" customWidth="1"/>
    <col min="13802" max="13802" width="7.42578125" style="110" bestFit="1" customWidth="1"/>
    <col min="13803" max="13803" width="2.85546875" style="110" bestFit="1" customWidth="1"/>
    <col min="13804" max="13804" width="7" style="110" bestFit="1" customWidth="1"/>
    <col min="13805" max="13805" width="5.7109375" style="110" bestFit="1" customWidth="1"/>
    <col min="13806" max="13806" width="7.85546875" style="110" bestFit="1" customWidth="1"/>
    <col min="13807" max="13808" width="0" style="110" hidden="1" customWidth="1"/>
    <col min="13809" max="13809" width="12.5703125" style="110" customWidth="1"/>
    <col min="13810" max="13810" width="0" style="110" hidden="1" customWidth="1"/>
    <col min="13811" max="13811" width="11" style="110" customWidth="1"/>
    <col min="13812" max="13812" width="9.140625" style="110" customWidth="1"/>
    <col min="13813" max="13813" width="9.85546875" style="110" customWidth="1"/>
    <col min="13814" max="13817" width="0" style="110" hidden="1" customWidth="1"/>
    <col min="13818" max="13818" width="1.5703125" style="110" customWidth="1"/>
    <col min="13819" max="13821" width="0" style="110" hidden="1" customWidth="1"/>
    <col min="13822" max="13822" width="10.42578125" style="110" customWidth="1"/>
    <col min="13823" max="13824" width="11" style="110" customWidth="1"/>
    <col min="13825" max="13825" width="9.42578125" style="110" customWidth="1"/>
    <col min="13826" max="13826" width="10" style="110" customWidth="1"/>
    <col min="13827" max="13827" width="11" style="110" customWidth="1"/>
    <col min="13828" max="13828" width="9.5703125" style="110" customWidth="1"/>
    <col min="13829" max="13829" width="10.140625" style="110" customWidth="1"/>
    <col min="13830" max="13869" width="10.7109375" style="110" customWidth="1"/>
    <col min="13870" max="13870" width="1.85546875" style="110" bestFit="1" customWidth="1"/>
    <col min="13871" max="13871" width="34.5703125" style="110" bestFit="1" customWidth="1"/>
    <col min="13872" max="13873" width="10.7109375" style="110" customWidth="1"/>
    <col min="13874" max="13874" width="2.7109375" style="110" bestFit="1" customWidth="1"/>
    <col min="13875" max="13875" width="11.5703125" style="110" bestFit="1" customWidth="1"/>
    <col min="13876" max="14052" width="10.7109375" style="110"/>
    <col min="14053" max="14053" width="5.28515625" style="110" customWidth="1"/>
    <col min="14054" max="14054" width="6.42578125" style="110" customWidth="1"/>
    <col min="14055" max="14055" width="22" style="110" customWidth="1"/>
    <col min="14056" max="14056" width="7.5703125" style="110" bestFit="1" customWidth="1"/>
    <col min="14057" max="14057" width="4.42578125" style="110" customWidth="1"/>
    <col min="14058" max="14058" width="7.42578125" style="110" bestFit="1" customWidth="1"/>
    <col min="14059" max="14059" width="2.85546875" style="110" bestFit="1" customWidth="1"/>
    <col min="14060" max="14060" width="7" style="110" bestFit="1" customWidth="1"/>
    <col min="14061" max="14061" width="5.7109375" style="110" bestFit="1" customWidth="1"/>
    <col min="14062" max="14062" width="7.85546875" style="110" bestFit="1" customWidth="1"/>
    <col min="14063" max="14064" width="0" style="110" hidden="1" customWidth="1"/>
    <col min="14065" max="14065" width="12.5703125" style="110" customWidth="1"/>
    <col min="14066" max="14066" width="0" style="110" hidden="1" customWidth="1"/>
    <col min="14067" max="14067" width="11" style="110" customWidth="1"/>
    <col min="14068" max="14068" width="9.140625" style="110" customWidth="1"/>
    <col min="14069" max="14069" width="9.85546875" style="110" customWidth="1"/>
    <col min="14070" max="14073" width="0" style="110" hidden="1" customWidth="1"/>
    <col min="14074" max="14074" width="1.5703125" style="110" customWidth="1"/>
    <col min="14075" max="14077" width="0" style="110" hidden="1" customWidth="1"/>
    <col min="14078" max="14078" width="10.42578125" style="110" customWidth="1"/>
    <col min="14079" max="14080" width="11" style="110" customWidth="1"/>
    <col min="14081" max="14081" width="9.42578125" style="110" customWidth="1"/>
    <col min="14082" max="14082" width="10" style="110" customWidth="1"/>
    <col min="14083" max="14083" width="11" style="110" customWidth="1"/>
    <col min="14084" max="14084" width="9.5703125" style="110" customWidth="1"/>
    <col min="14085" max="14085" width="10.140625" style="110" customWidth="1"/>
    <col min="14086" max="14125" width="10.7109375" style="110" customWidth="1"/>
    <col min="14126" max="14126" width="1.85546875" style="110" bestFit="1" customWidth="1"/>
    <col min="14127" max="14127" width="34.5703125" style="110" bestFit="1" customWidth="1"/>
    <col min="14128" max="14129" width="10.7109375" style="110" customWidth="1"/>
    <col min="14130" max="14130" width="2.7109375" style="110" bestFit="1" customWidth="1"/>
    <col min="14131" max="14131" width="11.5703125" style="110" bestFit="1" customWidth="1"/>
    <col min="14132" max="14308" width="10.7109375" style="110"/>
    <col min="14309" max="14309" width="5.28515625" style="110" customWidth="1"/>
    <col min="14310" max="14310" width="6.42578125" style="110" customWidth="1"/>
    <col min="14311" max="14311" width="22" style="110" customWidth="1"/>
    <col min="14312" max="14312" width="7.5703125" style="110" bestFit="1" customWidth="1"/>
    <col min="14313" max="14313" width="4.42578125" style="110" customWidth="1"/>
    <col min="14314" max="14314" width="7.42578125" style="110" bestFit="1" customWidth="1"/>
    <col min="14315" max="14315" width="2.85546875" style="110" bestFit="1" customWidth="1"/>
    <col min="14316" max="14316" width="7" style="110" bestFit="1" customWidth="1"/>
    <col min="14317" max="14317" width="5.7109375" style="110" bestFit="1" customWidth="1"/>
    <col min="14318" max="14318" width="7.85546875" style="110" bestFit="1" customWidth="1"/>
    <col min="14319" max="14320" width="0" style="110" hidden="1" customWidth="1"/>
    <col min="14321" max="14321" width="12.5703125" style="110" customWidth="1"/>
    <col min="14322" max="14322" width="0" style="110" hidden="1" customWidth="1"/>
    <col min="14323" max="14323" width="11" style="110" customWidth="1"/>
    <col min="14324" max="14324" width="9.140625" style="110" customWidth="1"/>
    <col min="14325" max="14325" width="9.85546875" style="110" customWidth="1"/>
    <col min="14326" max="14329" width="0" style="110" hidden="1" customWidth="1"/>
    <col min="14330" max="14330" width="1.5703125" style="110" customWidth="1"/>
    <col min="14331" max="14333" width="0" style="110" hidden="1" customWidth="1"/>
    <col min="14334" max="14334" width="10.42578125" style="110" customWidth="1"/>
    <col min="14335" max="14336" width="11" style="110" customWidth="1"/>
    <col min="14337" max="14337" width="9.42578125" style="110" customWidth="1"/>
    <col min="14338" max="14338" width="10" style="110" customWidth="1"/>
    <col min="14339" max="14339" width="11" style="110" customWidth="1"/>
    <col min="14340" max="14340" width="9.5703125" style="110" customWidth="1"/>
    <col min="14341" max="14341" width="10.140625" style="110" customWidth="1"/>
    <col min="14342" max="14381" width="10.7109375" style="110" customWidth="1"/>
    <col min="14382" max="14382" width="1.85546875" style="110" bestFit="1" customWidth="1"/>
    <col min="14383" max="14383" width="34.5703125" style="110" bestFit="1" customWidth="1"/>
    <col min="14384" max="14385" width="10.7109375" style="110" customWidth="1"/>
    <col min="14386" max="14386" width="2.7109375" style="110" bestFit="1" customWidth="1"/>
    <col min="14387" max="14387" width="11.5703125" style="110" bestFit="1" customWidth="1"/>
    <col min="14388" max="14564" width="10.7109375" style="110"/>
    <col min="14565" max="14565" width="5.28515625" style="110" customWidth="1"/>
    <col min="14566" max="14566" width="6.42578125" style="110" customWidth="1"/>
    <col min="14567" max="14567" width="22" style="110" customWidth="1"/>
    <col min="14568" max="14568" width="7.5703125" style="110" bestFit="1" customWidth="1"/>
    <col min="14569" max="14569" width="4.42578125" style="110" customWidth="1"/>
    <col min="14570" max="14570" width="7.42578125" style="110" bestFit="1" customWidth="1"/>
    <col min="14571" max="14571" width="2.85546875" style="110" bestFit="1" customWidth="1"/>
    <col min="14572" max="14572" width="7" style="110" bestFit="1" customWidth="1"/>
    <col min="14573" max="14573" width="5.7109375" style="110" bestFit="1" customWidth="1"/>
    <col min="14574" max="14574" width="7.85546875" style="110" bestFit="1" customWidth="1"/>
    <col min="14575" max="14576" width="0" style="110" hidden="1" customWidth="1"/>
    <col min="14577" max="14577" width="12.5703125" style="110" customWidth="1"/>
    <col min="14578" max="14578" width="0" style="110" hidden="1" customWidth="1"/>
    <col min="14579" max="14579" width="11" style="110" customWidth="1"/>
    <col min="14580" max="14580" width="9.140625" style="110" customWidth="1"/>
    <col min="14581" max="14581" width="9.85546875" style="110" customWidth="1"/>
    <col min="14582" max="14585" width="0" style="110" hidden="1" customWidth="1"/>
    <col min="14586" max="14586" width="1.5703125" style="110" customWidth="1"/>
    <col min="14587" max="14589" width="0" style="110" hidden="1" customWidth="1"/>
    <col min="14590" max="14590" width="10.42578125" style="110" customWidth="1"/>
    <col min="14591" max="14592" width="11" style="110" customWidth="1"/>
    <col min="14593" max="14593" width="9.42578125" style="110" customWidth="1"/>
    <col min="14594" max="14594" width="10" style="110" customWidth="1"/>
    <col min="14595" max="14595" width="11" style="110" customWidth="1"/>
    <col min="14596" max="14596" width="9.5703125" style="110" customWidth="1"/>
    <col min="14597" max="14597" width="10.140625" style="110" customWidth="1"/>
    <col min="14598" max="14637" width="10.7109375" style="110" customWidth="1"/>
    <col min="14638" max="14638" width="1.85546875" style="110" bestFit="1" customWidth="1"/>
    <col min="14639" max="14639" width="34.5703125" style="110" bestFit="1" customWidth="1"/>
    <col min="14640" max="14641" width="10.7109375" style="110" customWidth="1"/>
    <col min="14642" max="14642" width="2.7109375" style="110" bestFit="1" customWidth="1"/>
    <col min="14643" max="14643" width="11.5703125" style="110" bestFit="1" customWidth="1"/>
    <col min="14644" max="14820" width="10.7109375" style="110"/>
    <col min="14821" max="14821" width="5.28515625" style="110" customWidth="1"/>
    <col min="14822" max="14822" width="6.42578125" style="110" customWidth="1"/>
    <col min="14823" max="14823" width="22" style="110" customWidth="1"/>
    <col min="14824" max="14824" width="7.5703125" style="110" bestFit="1" customWidth="1"/>
    <col min="14825" max="14825" width="4.42578125" style="110" customWidth="1"/>
    <col min="14826" max="14826" width="7.42578125" style="110" bestFit="1" customWidth="1"/>
    <col min="14827" max="14827" width="2.85546875" style="110" bestFit="1" customWidth="1"/>
    <col min="14828" max="14828" width="7" style="110" bestFit="1" customWidth="1"/>
    <col min="14829" max="14829" width="5.7109375" style="110" bestFit="1" customWidth="1"/>
    <col min="14830" max="14830" width="7.85546875" style="110" bestFit="1" customWidth="1"/>
    <col min="14831" max="14832" width="0" style="110" hidden="1" customWidth="1"/>
    <col min="14833" max="14833" width="12.5703125" style="110" customWidth="1"/>
    <col min="14834" max="14834" width="0" style="110" hidden="1" customWidth="1"/>
    <col min="14835" max="14835" width="11" style="110" customWidth="1"/>
    <col min="14836" max="14836" width="9.140625" style="110" customWidth="1"/>
    <col min="14837" max="14837" width="9.85546875" style="110" customWidth="1"/>
    <col min="14838" max="14841" width="0" style="110" hidden="1" customWidth="1"/>
    <col min="14842" max="14842" width="1.5703125" style="110" customWidth="1"/>
    <col min="14843" max="14845" width="0" style="110" hidden="1" customWidth="1"/>
    <col min="14846" max="14846" width="10.42578125" style="110" customWidth="1"/>
    <col min="14847" max="14848" width="11" style="110" customWidth="1"/>
    <col min="14849" max="14849" width="9.42578125" style="110" customWidth="1"/>
    <col min="14850" max="14850" width="10" style="110" customWidth="1"/>
    <col min="14851" max="14851" width="11" style="110" customWidth="1"/>
    <col min="14852" max="14852" width="9.5703125" style="110" customWidth="1"/>
    <col min="14853" max="14853" width="10.140625" style="110" customWidth="1"/>
    <col min="14854" max="14893" width="10.7109375" style="110" customWidth="1"/>
    <col min="14894" max="14894" width="1.85546875" style="110" bestFit="1" customWidth="1"/>
    <col min="14895" max="14895" width="34.5703125" style="110" bestFit="1" customWidth="1"/>
    <col min="14896" max="14897" width="10.7109375" style="110" customWidth="1"/>
    <col min="14898" max="14898" width="2.7109375" style="110" bestFit="1" customWidth="1"/>
    <col min="14899" max="14899" width="11.5703125" style="110" bestFit="1" customWidth="1"/>
    <col min="14900" max="15076" width="10.7109375" style="110"/>
    <col min="15077" max="15077" width="5.28515625" style="110" customWidth="1"/>
    <col min="15078" max="15078" width="6.42578125" style="110" customWidth="1"/>
    <col min="15079" max="15079" width="22" style="110" customWidth="1"/>
    <col min="15080" max="15080" width="7.5703125" style="110" bestFit="1" customWidth="1"/>
    <col min="15081" max="15081" width="4.42578125" style="110" customWidth="1"/>
    <col min="15082" max="15082" width="7.42578125" style="110" bestFit="1" customWidth="1"/>
    <col min="15083" max="15083" width="2.85546875" style="110" bestFit="1" customWidth="1"/>
    <col min="15084" max="15084" width="7" style="110" bestFit="1" customWidth="1"/>
    <col min="15085" max="15085" width="5.7109375" style="110" bestFit="1" customWidth="1"/>
    <col min="15086" max="15086" width="7.85546875" style="110" bestFit="1" customWidth="1"/>
    <col min="15087" max="15088" width="0" style="110" hidden="1" customWidth="1"/>
    <col min="15089" max="15089" width="12.5703125" style="110" customWidth="1"/>
    <col min="15090" max="15090" width="0" style="110" hidden="1" customWidth="1"/>
    <col min="15091" max="15091" width="11" style="110" customWidth="1"/>
    <col min="15092" max="15092" width="9.140625" style="110" customWidth="1"/>
    <col min="15093" max="15093" width="9.85546875" style="110" customWidth="1"/>
    <col min="15094" max="15097" width="0" style="110" hidden="1" customWidth="1"/>
    <col min="15098" max="15098" width="1.5703125" style="110" customWidth="1"/>
    <col min="15099" max="15101" width="0" style="110" hidden="1" customWidth="1"/>
    <col min="15102" max="15102" width="10.42578125" style="110" customWidth="1"/>
    <col min="15103" max="15104" width="11" style="110" customWidth="1"/>
    <col min="15105" max="15105" width="9.42578125" style="110" customWidth="1"/>
    <col min="15106" max="15106" width="10" style="110" customWidth="1"/>
    <col min="15107" max="15107" width="11" style="110" customWidth="1"/>
    <col min="15108" max="15108" width="9.5703125" style="110" customWidth="1"/>
    <col min="15109" max="15109" width="10.140625" style="110" customWidth="1"/>
    <col min="15110" max="15149" width="10.7109375" style="110" customWidth="1"/>
    <col min="15150" max="15150" width="1.85546875" style="110" bestFit="1" customWidth="1"/>
    <col min="15151" max="15151" width="34.5703125" style="110" bestFit="1" customWidth="1"/>
    <col min="15152" max="15153" width="10.7109375" style="110" customWidth="1"/>
    <col min="15154" max="15154" width="2.7109375" style="110" bestFit="1" customWidth="1"/>
    <col min="15155" max="15155" width="11.5703125" style="110" bestFit="1" customWidth="1"/>
    <col min="15156" max="15332" width="10.7109375" style="110"/>
    <col min="15333" max="15333" width="5.28515625" style="110" customWidth="1"/>
    <col min="15334" max="15334" width="6.42578125" style="110" customWidth="1"/>
    <col min="15335" max="15335" width="22" style="110" customWidth="1"/>
    <col min="15336" max="15336" width="7.5703125" style="110" bestFit="1" customWidth="1"/>
    <col min="15337" max="15337" width="4.42578125" style="110" customWidth="1"/>
    <col min="15338" max="15338" width="7.42578125" style="110" bestFit="1" customWidth="1"/>
    <col min="15339" max="15339" width="2.85546875" style="110" bestFit="1" customWidth="1"/>
    <col min="15340" max="15340" width="7" style="110" bestFit="1" customWidth="1"/>
    <col min="15341" max="15341" width="5.7109375" style="110" bestFit="1" customWidth="1"/>
    <col min="15342" max="15342" width="7.85546875" style="110" bestFit="1" customWidth="1"/>
    <col min="15343" max="15344" width="0" style="110" hidden="1" customWidth="1"/>
    <col min="15345" max="15345" width="12.5703125" style="110" customWidth="1"/>
    <col min="15346" max="15346" width="0" style="110" hidden="1" customWidth="1"/>
    <col min="15347" max="15347" width="11" style="110" customWidth="1"/>
    <col min="15348" max="15348" width="9.140625" style="110" customWidth="1"/>
    <col min="15349" max="15349" width="9.85546875" style="110" customWidth="1"/>
    <col min="15350" max="15353" width="0" style="110" hidden="1" customWidth="1"/>
    <col min="15354" max="15354" width="1.5703125" style="110" customWidth="1"/>
    <col min="15355" max="15357" width="0" style="110" hidden="1" customWidth="1"/>
    <col min="15358" max="15358" width="10.42578125" style="110" customWidth="1"/>
    <col min="15359" max="15360" width="11" style="110" customWidth="1"/>
    <col min="15361" max="15361" width="9.42578125" style="110" customWidth="1"/>
    <col min="15362" max="15362" width="10" style="110" customWidth="1"/>
    <col min="15363" max="15363" width="11" style="110" customWidth="1"/>
    <col min="15364" max="15364" width="9.5703125" style="110" customWidth="1"/>
    <col min="15365" max="15365" width="10.140625" style="110" customWidth="1"/>
    <col min="15366" max="15405" width="10.7109375" style="110" customWidth="1"/>
    <col min="15406" max="15406" width="1.85546875" style="110" bestFit="1" customWidth="1"/>
    <col min="15407" max="15407" width="34.5703125" style="110" bestFit="1" customWidth="1"/>
    <col min="15408" max="15409" width="10.7109375" style="110" customWidth="1"/>
    <col min="15410" max="15410" width="2.7109375" style="110" bestFit="1" customWidth="1"/>
    <col min="15411" max="15411" width="11.5703125" style="110" bestFit="1" customWidth="1"/>
    <col min="15412" max="15588" width="10.7109375" style="110"/>
    <col min="15589" max="15589" width="5.28515625" style="110" customWidth="1"/>
    <col min="15590" max="15590" width="6.42578125" style="110" customWidth="1"/>
    <col min="15591" max="15591" width="22" style="110" customWidth="1"/>
    <col min="15592" max="15592" width="7.5703125" style="110" bestFit="1" customWidth="1"/>
    <col min="15593" max="15593" width="4.42578125" style="110" customWidth="1"/>
    <col min="15594" max="15594" width="7.42578125" style="110" bestFit="1" customWidth="1"/>
    <col min="15595" max="15595" width="2.85546875" style="110" bestFit="1" customWidth="1"/>
    <col min="15596" max="15596" width="7" style="110" bestFit="1" customWidth="1"/>
    <col min="15597" max="15597" width="5.7109375" style="110" bestFit="1" customWidth="1"/>
    <col min="15598" max="15598" width="7.85546875" style="110" bestFit="1" customWidth="1"/>
    <col min="15599" max="15600" width="0" style="110" hidden="1" customWidth="1"/>
    <col min="15601" max="15601" width="12.5703125" style="110" customWidth="1"/>
    <col min="15602" max="15602" width="0" style="110" hidden="1" customWidth="1"/>
    <col min="15603" max="15603" width="11" style="110" customWidth="1"/>
    <col min="15604" max="15604" width="9.140625" style="110" customWidth="1"/>
    <col min="15605" max="15605" width="9.85546875" style="110" customWidth="1"/>
    <col min="15606" max="15609" width="0" style="110" hidden="1" customWidth="1"/>
    <col min="15610" max="15610" width="1.5703125" style="110" customWidth="1"/>
    <col min="15611" max="15613" width="0" style="110" hidden="1" customWidth="1"/>
    <col min="15614" max="15614" width="10.42578125" style="110" customWidth="1"/>
    <col min="15615" max="15616" width="11" style="110" customWidth="1"/>
    <col min="15617" max="15617" width="9.42578125" style="110" customWidth="1"/>
    <col min="15618" max="15618" width="10" style="110" customWidth="1"/>
    <col min="15619" max="15619" width="11" style="110" customWidth="1"/>
    <col min="15620" max="15620" width="9.5703125" style="110" customWidth="1"/>
    <col min="15621" max="15621" width="10.140625" style="110" customWidth="1"/>
    <col min="15622" max="15661" width="10.7109375" style="110" customWidth="1"/>
    <col min="15662" max="15662" width="1.85546875" style="110" bestFit="1" customWidth="1"/>
    <col min="15663" max="15663" width="34.5703125" style="110" bestFit="1" customWidth="1"/>
    <col min="15664" max="15665" width="10.7109375" style="110" customWidth="1"/>
    <col min="15666" max="15666" width="2.7109375" style="110" bestFit="1" customWidth="1"/>
    <col min="15667" max="15667" width="11.5703125" style="110" bestFit="1" customWidth="1"/>
    <col min="15668" max="15844" width="10.7109375" style="110"/>
    <col min="15845" max="15845" width="5.28515625" style="110" customWidth="1"/>
    <col min="15846" max="15846" width="6.42578125" style="110" customWidth="1"/>
    <col min="15847" max="15847" width="22" style="110" customWidth="1"/>
    <col min="15848" max="15848" width="7.5703125" style="110" bestFit="1" customWidth="1"/>
    <col min="15849" max="15849" width="4.42578125" style="110" customWidth="1"/>
    <col min="15850" max="15850" width="7.42578125" style="110" bestFit="1" customWidth="1"/>
    <col min="15851" max="15851" width="2.85546875" style="110" bestFit="1" customWidth="1"/>
    <col min="15852" max="15852" width="7" style="110" bestFit="1" customWidth="1"/>
    <col min="15853" max="15853" width="5.7109375" style="110" bestFit="1" customWidth="1"/>
    <col min="15854" max="15854" width="7.85546875" style="110" bestFit="1" customWidth="1"/>
    <col min="15855" max="15856" width="0" style="110" hidden="1" customWidth="1"/>
    <col min="15857" max="15857" width="12.5703125" style="110" customWidth="1"/>
    <col min="15858" max="15858" width="0" style="110" hidden="1" customWidth="1"/>
    <col min="15859" max="15859" width="11" style="110" customWidth="1"/>
    <col min="15860" max="15860" width="9.140625" style="110" customWidth="1"/>
    <col min="15861" max="15861" width="9.85546875" style="110" customWidth="1"/>
    <col min="15862" max="15865" width="0" style="110" hidden="1" customWidth="1"/>
    <col min="15866" max="15866" width="1.5703125" style="110" customWidth="1"/>
    <col min="15867" max="15869" width="0" style="110" hidden="1" customWidth="1"/>
    <col min="15870" max="15870" width="10.42578125" style="110" customWidth="1"/>
    <col min="15871" max="15872" width="11" style="110" customWidth="1"/>
    <col min="15873" max="15873" width="9.42578125" style="110" customWidth="1"/>
    <col min="15874" max="15874" width="10" style="110" customWidth="1"/>
    <col min="15875" max="15875" width="11" style="110" customWidth="1"/>
    <col min="15876" max="15876" width="9.5703125" style="110" customWidth="1"/>
    <col min="15877" max="15877" width="10.140625" style="110" customWidth="1"/>
    <col min="15878" max="15917" width="10.7109375" style="110" customWidth="1"/>
    <col min="15918" max="15918" width="1.85546875" style="110" bestFit="1" customWidth="1"/>
    <col min="15919" max="15919" width="34.5703125" style="110" bestFit="1" customWidth="1"/>
    <col min="15920" max="15921" width="10.7109375" style="110" customWidth="1"/>
    <col min="15922" max="15922" width="2.7109375" style="110" bestFit="1" customWidth="1"/>
    <col min="15923" max="15923" width="11.5703125" style="110" bestFit="1" customWidth="1"/>
    <col min="15924" max="16100" width="10.7109375" style="110"/>
    <col min="16101" max="16101" width="5.28515625" style="110" customWidth="1"/>
    <col min="16102" max="16102" width="6.42578125" style="110" customWidth="1"/>
    <col min="16103" max="16103" width="22" style="110" customWidth="1"/>
    <col min="16104" max="16104" width="7.5703125" style="110" bestFit="1" customWidth="1"/>
    <col min="16105" max="16105" width="4.42578125" style="110" customWidth="1"/>
    <col min="16106" max="16106" width="7.42578125" style="110" bestFit="1" customWidth="1"/>
    <col min="16107" max="16107" width="2.85546875" style="110" bestFit="1" customWidth="1"/>
    <col min="16108" max="16108" width="7" style="110" bestFit="1" customWidth="1"/>
    <col min="16109" max="16109" width="5.7109375" style="110" bestFit="1" customWidth="1"/>
    <col min="16110" max="16110" width="7.85546875" style="110" bestFit="1" customWidth="1"/>
    <col min="16111" max="16112" width="0" style="110" hidden="1" customWidth="1"/>
    <col min="16113" max="16113" width="12.5703125" style="110" customWidth="1"/>
    <col min="16114" max="16114" width="0" style="110" hidden="1" customWidth="1"/>
    <col min="16115" max="16115" width="11" style="110" customWidth="1"/>
    <col min="16116" max="16116" width="9.140625" style="110" customWidth="1"/>
    <col min="16117" max="16117" width="9.85546875" style="110" customWidth="1"/>
    <col min="16118" max="16121" width="0" style="110" hidden="1" customWidth="1"/>
    <col min="16122" max="16122" width="1.5703125" style="110" customWidth="1"/>
    <col min="16123" max="16125" width="0" style="110" hidden="1" customWidth="1"/>
    <col min="16126" max="16126" width="10.42578125" style="110" customWidth="1"/>
    <col min="16127" max="16128" width="11" style="110" customWidth="1"/>
    <col min="16129" max="16129" width="9.42578125" style="110" customWidth="1"/>
    <col min="16130" max="16130" width="10" style="110" customWidth="1"/>
    <col min="16131" max="16131" width="11" style="110" customWidth="1"/>
    <col min="16132" max="16132" width="9.5703125" style="110" customWidth="1"/>
    <col min="16133" max="16133" width="10.140625" style="110" customWidth="1"/>
    <col min="16134" max="16173" width="10.7109375" style="110" customWidth="1"/>
    <col min="16174" max="16174" width="1.85546875" style="110" bestFit="1" customWidth="1"/>
    <col min="16175" max="16175" width="34.5703125" style="110" bestFit="1" customWidth="1"/>
    <col min="16176" max="16177" width="10.7109375" style="110" customWidth="1"/>
    <col min="16178" max="16178" width="2.7109375" style="110" bestFit="1" customWidth="1"/>
    <col min="16179" max="16179" width="11.5703125" style="110" bestFit="1" customWidth="1"/>
    <col min="16180" max="16384" width="10.7109375" style="110"/>
  </cols>
  <sheetData>
    <row r="1" spans="1:51">
      <c r="B1" s="111" t="s">
        <v>44</v>
      </c>
      <c r="F1" s="254"/>
      <c r="G1" s="254"/>
      <c r="H1" s="112"/>
      <c r="N1" s="115"/>
      <c r="O1" s="115"/>
    </row>
    <row r="2" spans="1:51">
      <c r="B2" s="111" t="s">
        <v>45</v>
      </c>
      <c r="F2" s="254"/>
      <c r="G2" s="254"/>
      <c r="N2" s="117">
        <v>0</v>
      </c>
      <c r="O2" s="118" t="s">
        <v>46</v>
      </c>
      <c r="AU2" s="110" t="s">
        <v>47</v>
      </c>
    </row>
    <row r="3" spans="1:51">
      <c r="B3" s="255">
        <f>'2120 Depr Summary'!H5</f>
        <v>43100</v>
      </c>
      <c r="C3" s="255"/>
      <c r="N3" s="117">
        <v>12</v>
      </c>
      <c r="O3" s="118" t="s">
        <v>48</v>
      </c>
    </row>
    <row r="4" spans="1:51" ht="11.25" customHeight="1">
      <c r="D4" s="7"/>
      <c r="N4" s="120">
        <v>2017</v>
      </c>
      <c r="O4" s="118" t="s">
        <v>354</v>
      </c>
      <c r="AT4" s="110">
        <v>1</v>
      </c>
      <c r="AU4" s="110" t="s">
        <v>54</v>
      </c>
      <c r="AX4" s="110">
        <v>12</v>
      </c>
      <c r="AY4" s="110" t="s">
        <v>55</v>
      </c>
    </row>
    <row r="5" spans="1:51" ht="11.25" customHeight="1">
      <c r="N5" s="120">
        <v>2018</v>
      </c>
      <c r="O5" s="118" t="s">
        <v>355</v>
      </c>
      <c r="AU5" s="110">
        <v>1993</v>
      </c>
      <c r="AX5" s="110">
        <v>0</v>
      </c>
      <c r="AY5" s="110" t="s">
        <v>59</v>
      </c>
    </row>
    <row r="6" spans="1:51">
      <c r="AX6" s="110">
        <v>93</v>
      </c>
      <c r="AY6" s="110" t="s">
        <v>51</v>
      </c>
    </row>
    <row r="7" spans="1:51">
      <c r="U7" s="121"/>
      <c r="AX7" s="110">
        <v>94</v>
      </c>
      <c r="AY7" s="110" t="s">
        <v>64</v>
      </c>
    </row>
    <row r="8" spans="1:51">
      <c r="C8" s="115"/>
      <c r="D8" s="115"/>
      <c r="E8" s="115"/>
      <c r="F8" s="115"/>
      <c r="G8" s="122"/>
      <c r="H8" s="115"/>
      <c r="I8" s="115"/>
      <c r="J8" s="115"/>
      <c r="K8" s="123"/>
      <c r="S8" s="119" t="s">
        <v>2</v>
      </c>
      <c r="T8" s="119" t="s">
        <v>66</v>
      </c>
      <c r="U8" s="121"/>
    </row>
    <row r="9" spans="1:51">
      <c r="B9" s="121"/>
      <c r="C9" s="121" t="s">
        <v>25</v>
      </c>
      <c r="D9" s="124" t="s">
        <v>67</v>
      </c>
      <c r="E9" s="121" t="s">
        <v>68</v>
      </c>
      <c r="F9" s="121"/>
      <c r="G9" s="125" t="s">
        <v>7</v>
      </c>
      <c r="H9" s="115"/>
      <c r="I9" s="121" t="s">
        <v>25</v>
      </c>
      <c r="J9" s="121"/>
      <c r="K9" s="126" t="s">
        <v>69</v>
      </c>
      <c r="L9" s="127" t="s">
        <v>25</v>
      </c>
      <c r="M9" s="119" t="s">
        <v>70</v>
      </c>
      <c r="N9" s="124" t="s">
        <v>25</v>
      </c>
      <c r="O9" s="124"/>
      <c r="P9" s="121"/>
      <c r="Q9" s="121"/>
      <c r="S9" s="119" t="s">
        <v>72</v>
      </c>
      <c r="T9" s="119" t="s">
        <v>72</v>
      </c>
      <c r="U9" s="121" t="s">
        <v>4</v>
      </c>
    </row>
    <row r="10" spans="1:51">
      <c r="B10" s="121"/>
      <c r="C10" s="121" t="s">
        <v>75</v>
      </c>
      <c r="D10" s="124"/>
      <c r="E10" s="121" t="s">
        <v>76</v>
      </c>
      <c r="F10" s="121"/>
      <c r="G10" s="125" t="s">
        <v>77</v>
      </c>
      <c r="H10" s="115"/>
      <c r="I10" s="121" t="s">
        <v>78</v>
      </c>
      <c r="J10" s="121" t="s">
        <v>79</v>
      </c>
      <c r="K10" s="126" t="s">
        <v>80</v>
      </c>
      <c r="L10" s="127" t="s">
        <v>70</v>
      </c>
      <c r="M10" s="119" t="s">
        <v>65</v>
      </c>
      <c r="N10" s="121" t="s">
        <v>8</v>
      </c>
      <c r="O10" s="121" t="s">
        <v>82</v>
      </c>
      <c r="P10" s="121" t="s">
        <v>315</v>
      </c>
      <c r="Q10" s="121" t="s">
        <v>84</v>
      </c>
      <c r="R10" s="121"/>
      <c r="S10" s="121" t="s">
        <v>87</v>
      </c>
      <c r="T10" s="121" t="s">
        <v>87</v>
      </c>
      <c r="U10" s="121" t="s">
        <v>11</v>
      </c>
      <c r="AT10" s="110">
        <v>2</v>
      </c>
      <c r="AU10" s="110" t="s">
        <v>91</v>
      </c>
    </row>
    <row r="11" spans="1:51">
      <c r="A11" s="128" t="s">
        <v>92</v>
      </c>
      <c r="B11" s="128" t="s">
        <v>93</v>
      </c>
      <c r="C11" s="128" t="s">
        <v>94</v>
      </c>
      <c r="D11" s="129" t="s">
        <v>95</v>
      </c>
      <c r="E11" s="128" t="s">
        <v>69</v>
      </c>
      <c r="F11" s="128" t="s">
        <v>96</v>
      </c>
      <c r="G11" s="130" t="s">
        <v>71</v>
      </c>
      <c r="H11" s="115" t="s">
        <v>97</v>
      </c>
      <c r="I11" s="128" t="s">
        <v>98</v>
      </c>
      <c r="J11" s="128" t="s">
        <v>99</v>
      </c>
      <c r="K11" s="131" t="s">
        <v>8</v>
      </c>
      <c r="L11" s="133" t="s">
        <v>6</v>
      </c>
      <c r="M11" s="132" t="s">
        <v>97</v>
      </c>
      <c r="N11" s="128" t="s">
        <v>6</v>
      </c>
      <c r="O11" s="128" t="s">
        <v>8</v>
      </c>
      <c r="P11" s="121" t="s">
        <v>8</v>
      </c>
      <c r="Q11" s="121" t="s">
        <v>100</v>
      </c>
      <c r="R11" s="121"/>
      <c r="S11" s="134">
        <f>'2120 Depr Summary'!F5</f>
        <v>42736</v>
      </c>
      <c r="T11" s="134">
        <f>+B3</f>
        <v>43100</v>
      </c>
      <c r="U11" s="135">
        <f>+B3</f>
        <v>43100</v>
      </c>
    </row>
    <row r="12" spans="1:51">
      <c r="C12" s="110" t="s">
        <v>105</v>
      </c>
      <c r="D12" s="136" t="s">
        <v>106</v>
      </c>
      <c r="E12" s="119">
        <v>2001</v>
      </c>
      <c r="F12" s="110">
        <v>1</v>
      </c>
      <c r="G12" s="137">
        <v>0</v>
      </c>
      <c r="H12" s="119"/>
      <c r="I12" s="119" t="s">
        <v>103</v>
      </c>
      <c r="J12" s="119">
        <v>7</v>
      </c>
      <c r="K12" s="123">
        <f t="shared" ref="K12:K33" si="0">E12+J12</f>
        <v>2008</v>
      </c>
      <c r="L12" s="138">
        <v>2788.98</v>
      </c>
      <c r="M12" s="138">
        <v>0</v>
      </c>
      <c r="N12" s="139">
        <f t="shared" ref="N12:N34" si="1">L12-L12*G12</f>
        <v>2788.98</v>
      </c>
      <c r="O12" s="139">
        <f t="shared" ref="O12:O34" si="2">N12/J12/12</f>
        <v>33.202142857142853</v>
      </c>
      <c r="P12" s="139">
        <f t="shared" ref="P12:P34" si="3">+O12*12</f>
        <v>398.42571428571421</v>
      </c>
      <c r="Q12" s="139">
        <f>+IF(K12&lt;=$N$4,0,IF(K12=$N$4+1,O12*F12,P12))</f>
        <v>0</v>
      </c>
      <c r="R12" s="139"/>
      <c r="S12" s="139">
        <f t="shared" ref="S12:S34" si="4">+IF(Q12=0,N12,IF($N$4-E12&lt;1,0,(($N$4-E12)*P12)))</f>
        <v>2788.98</v>
      </c>
      <c r="T12" s="139">
        <f t="shared" ref="T12:T34" si="5">+IF(Q12=0,S12,S12+Q12)</f>
        <v>2788.98</v>
      </c>
      <c r="U12" s="139">
        <f t="shared" ref="U12:U34" si="6">+IF(Q12=0,0,((L12-S12)+(L12-T12))/2)</f>
        <v>0</v>
      </c>
    </row>
    <row r="13" spans="1:51">
      <c r="A13" s="110">
        <v>1</v>
      </c>
      <c r="B13" s="110">
        <v>67</v>
      </c>
      <c r="C13" s="110" t="s">
        <v>109</v>
      </c>
      <c r="D13" s="136" t="s">
        <v>110</v>
      </c>
      <c r="E13" s="119">
        <v>2003</v>
      </c>
      <c r="F13" s="110">
        <v>8</v>
      </c>
      <c r="G13" s="137">
        <v>0</v>
      </c>
      <c r="H13" s="119"/>
      <c r="I13" s="119" t="s">
        <v>103</v>
      </c>
      <c r="J13" s="119">
        <v>7</v>
      </c>
      <c r="K13" s="123">
        <f t="shared" si="0"/>
        <v>2010</v>
      </c>
      <c r="L13" s="138">
        <f>+'2120 Depr - Orig'!P17</f>
        <v>72055.199999999997</v>
      </c>
      <c r="M13" s="138">
        <v>0</v>
      </c>
      <c r="N13" s="139">
        <f t="shared" si="1"/>
        <v>72055.199999999997</v>
      </c>
      <c r="O13" s="139">
        <f t="shared" si="2"/>
        <v>857.80000000000007</v>
      </c>
      <c r="P13" s="139">
        <f t="shared" si="3"/>
        <v>10293.6</v>
      </c>
      <c r="Q13" s="139">
        <f t="shared" ref="Q13:Q34" si="7">+IF(K13&lt;=$N$4,0,IF(K13=$N$4+1,O13*F13,P13))</f>
        <v>0</v>
      </c>
      <c r="R13" s="139"/>
      <c r="S13" s="139">
        <f t="shared" si="4"/>
        <v>72055.199999999997</v>
      </c>
      <c r="T13" s="139">
        <f t="shared" si="5"/>
        <v>72055.199999999997</v>
      </c>
      <c r="U13" s="139">
        <f t="shared" si="6"/>
        <v>0</v>
      </c>
    </row>
    <row r="14" spans="1:51" s="196" customFormat="1">
      <c r="B14" s="196">
        <v>67</v>
      </c>
      <c r="D14" s="197" t="s">
        <v>329</v>
      </c>
      <c r="E14" s="198">
        <v>2017</v>
      </c>
      <c r="F14" s="196">
        <v>1</v>
      </c>
      <c r="G14" s="199">
        <v>0</v>
      </c>
      <c r="H14" s="198"/>
      <c r="I14" s="198" t="s">
        <v>103</v>
      </c>
      <c r="J14" s="198">
        <f>+IF(K13-$N$4&gt;=3,K13-$N$4,3)</f>
        <v>3</v>
      </c>
      <c r="K14" s="200">
        <f t="shared" ref="K14" si="8">E14+J14</f>
        <v>2020</v>
      </c>
      <c r="L14" s="201">
        <f>+'2120 Depr - Orig'!N17-'Truck Depr - w Salvage '!L13</f>
        <v>18013.800000000003</v>
      </c>
      <c r="M14" s="201">
        <v>0</v>
      </c>
      <c r="N14" s="202">
        <f t="shared" si="1"/>
        <v>18013.800000000003</v>
      </c>
      <c r="O14" s="202">
        <f t="shared" si="2"/>
        <v>500.38333333333344</v>
      </c>
      <c r="P14" s="202">
        <f t="shared" si="3"/>
        <v>6004.6000000000013</v>
      </c>
      <c r="Q14" s="202">
        <f t="shared" si="7"/>
        <v>6004.6000000000013</v>
      </c>
      <c r="R14" s="202"/>
      <c r="S14" s="202">
        <f t="shared" si="4"/>
        <v>0</v>
      </c>
      <c r="T14" s="202">
        <f t="shared" si="5"/>
        <v>6004.6000000000013</v>
      </c>
      <c r="U14" s="202">
        <f>+IF(U13=0,0,IF(Q14=0,0,((L14-S14)+(L14-T14))/2))</f>
        <v>0</v>
      </c>
    </row>
    <row r="15" spans="1:51">
      <c r="A15" s="110">
        <v>1</v>
      </c>
      <c r="B15" s="110">
        <v>5</v>
      </c>
      <c r="C15" s="110" t="s">
        <v>107</v>
      </c>
      <c r="D15" s="136" t="s">
        <v>111</v>
      </c>
      <c r="E15" s="119">
        <v>2004</v>
      </c>
      <c r="F15" s="110">
        <v>3</v>
      </c>
      <c r="G15" s="137">
        <v>0</v>
      </c>
      <c r="H15" s="119"/>
      <c r="I15" s="119" t="s">
        <v>103</v>
      </c>
      <c r="J15" s="119">
        <v>7</v>
      </c>
      <c r="K15" s="123">
        <f t="shared" si="0"/>
        <v>2011</v>
      </c>
      <c r="L15" s="138">
        <f>+'2120 Depr - Orig'!P18</f>
        <v>76000</v>
      </c>
      <c r="M15" s="138">
        <v>0</v>
      </c>
      <c r="N15" s="139">
        <f t="shared" si="1"/>
        <v>76000</v>
      </c>
      <c r="O15" s="139">
        <f t="shared" si="2"/>
        <v>904.7619047619047</v>
      </c>
      <c r="P15" s="139">
        <f t="shared" si="3"/>
        <v>10857.142857142857</v>
      </c>
      <c r="Q15" s="139">
        <f t="shared" si="7"/>
        <v>0</v>
      </c>
      <c r="R15" s="139"/>
      <c r="S15" s="139">
        <f t="shared" si="4"/>
        <v>76000</v>
      </c>
      <c r="T15" s="139">
        <f t="shared" si="5"/>
        <v>76000</v>
      </c>
      <c r="U15" s="139">
        <f t="shared" si="6"/>
        <v>0</v>
      </c>
    </row>
    <row r="16" spans="1:51" s="196" customFormat="1">
      <c r="B16" s="196">
        <v>5</v>
      </c>
      <c r="D16" s="197" t="s">
        <v>330</v>
      </c>
      <c r="E16" s="198">
        <v>2017</v>
      </c>
      <c r="F16" s="196">
        <v>1</v>
      </c>
      <c r="G16" s="199">
        <v>0</v>
      </c>
      <c r="H16" s="198"/>
      <c r="I16" s="198" t="s">
        <v>103</v>
      </c>
      <c r="J16" s="198">
        <f>+IF(K15-$N$4&gt;=3,K15-$N$4,3)</f>
        <v>3</v>
      </c>
      <c r="K16" s="200">
        <f t="shared" si="0"/>
        <v>2020</v>
      </c>
      <c r="L16" s="201">
        <f>+'2120 Depr - Orig'!N18-'Truck Depr - w Salvage '!L15</f>
        <v>19000</v>
      </c>
      <c r="M16" s="201">
        <v>0</v>
      </c>
      <c r="N16" s="202">
        <f t="shared" si="1"/>
        <v>19000</v>
      </c>
      <c r="O16" s="202">
        <f t="shared" si="2"/>
        <v>527.77777777777771</v>
      </c>
      <c r="P16" s="202">
        <f t="shared" si="3"/>
        <v>6333.3333333333321</v>
      </c>
      <c r="Q16" s="202">
        <f t="shared" si="7"/>
        <v>6333.3333333333321</v>
      </c>
      <c r="R16" s="202"/>
      <c r="S16" s="202">
        <f t="shared" si="4"/>
        <v>0</v>
      </c>
      <c r="T16" s="202">
        <f t="shared" si="5"/>
        <v>6333.3333333333321</v>
      </c>
      <c r="U16" s="202">
        <f>+IF(U15=0,0,IF(Q16=0,0,((L16-S16)+(L16-T16))/2))</f>
        <v>0</v>
      </c>
    </row>
    <row r="17" spans="1:21">
      <c r="A17" s="110">
        <v>1</v>
      </c>
      <c r="B17" s="110">
        <v>67</v>
      </c>
      <c r="C17" s="119" t="s">
        <v>112</v>
      </c>
      <c r="D17" s="136" t="s">
        <v>113</v>
      </c>
      <c r="E17" s="119">
        <v>2007</v>
      </c>
      <c r="F17" s="110">
        <v>7</v>
      </c>
      <c r="G17" s="137">
        <v>0</v>
      </c>
      <c r="H17" s="119"/>
      <c r="I17" s="119" t="s">
        <v>103</v>
      </c>
      <c r="J17" s="119">
        <v>3</v>
      </c>
      <c r="K17" s="123">
        <f t="shared" si="0"/>
        <v>2010</v>
      </c>
      <c r="L17" s="138">
        <v>7423</v>
      </c>
      <c r="M17" s="138">
        <v>0</v>
      </c>
      <c r="N17" s="139">
        <f t="shared" si="1"/>
        <v>7423</v>
      </c>
      <c r="O17" s="139">
        <f t="shared" si="2"/>
        <v>206.19444444444446</v>
      </c>
      <c r="P17" s="139">
        <f t="shared" si="3"/>
        <v>2474.3333333333335</v>
      </c>
      <c r="Q17" s="139">
        <f t="shared" si="7"/>
        <v>0</v>
      </c>
      <c r="R17" s="139"/>
      <c r="S17" s="139">
        <f t="shared" si="4"/>
        <v>7423</v>
      </c>
      <c r="T17" s="139">
        <f t="shared" si="5"/>
        <v>7423</v>
      </c>
      <c r="U17" s="139">
        <f t="shared" si="6"/>
        <v>0</v>
      </c>
    </row>
    <row r="18" spans="1:21">
      <c r="A18" s="110">
        <v>1</v>
      </c>
      <c r="B18" s="110">
        <v>8</v>
      </c>
      <c r="C18" s="110" t="s">
        <v>114</v>
      </c>
      <c r="D18" s="136" t="s">
        <v>115</v>
      </c>
      <c r="E18" s="119">
        <v>2008</v>
      </c>
      <c r="F18" s="110">
        <v>8</v>
      </c>
      <c r="G18" s="137">
        <v>0</v>
      </c>
      <c r="H18" s="119"/>
      <c r="I18" s="119" t="s">
        <v>103</v>
      </c>
      <c r="J18" s="119">
        <v>7</v>
      </c>
      <c r="K18" s="123">
        <f>E18+J18</f>
        <v>2015</v>
      </c>
      <c r="L18" s="138">
        <f>+'2120 Depr - Orig'!P20</f>
        <v>138339.96000000002</v>
      </c>
      <c r="M18" s="138">
        <v>0</v>
      </c>
      <c r="N18" s="139">
        <f t="shared" si="1"/>
        <v>138339.96000000002</v>
      </c>
      <c r="O18" s="139">
        <f t="shared" si="2"/>
        <v>1646.9042857142858</v>
      </c>
      <c r="P18" s="139">
        <f t="shared" si="3"/>
        <v>19762.85142857143</v>
      </c>
      <c r="Q18" s="139">
        <f t="shared" si="7"/>
        <v>0</v>
      </c>
      <c r="R18" s="139"/>
      <c r="S18" s="139">
        <f t="shared" si="4"/>
        <v>138339.96000000002</v>
      </c>
      <c r="T18" s="139">
        <f t="shared" si="5"/>
        <v>138339.96000000002</v>
      </c>
      <c r="U18" s="139">
        <f t="shared" si="6"/>
        <v>0</v>
      </c>
    </row>
    <row r="19" spans="1:21" s="196" customFormat="1">
      <c r="B19" s="196">
        <v>8</v>
      </c>
      <c r="D19" s="197" t="s">
        <v>331</v>
      </c>
      <c r="E19" s="198">
        <v>2017</v>
      </c>
      <c r="F19" s="196">
        <v>1</v>
      </c>
      <c r="G19" s="199">
        <v>0</v>
      </c>
      <c r="H19" s="198"/>
      <c r="I19" s="198" t="s">
        <v>103</v>
      </c>
      <c r="J19" s="198">
        <f>+IF(K18-$N$4&gt;=3,K18-$N$4,3)</f>
        <v>3</v>
      </c>
      <c r="K19" s="200">
        <f t="shared" ref="K19" si="9">E19+J19</f>
        <v>2020</v>
      </c>
      <c r="L19" s="201">
        <f>+'2120 Depr - Orig'!N20-'Truck Depr - w Salvage '!L18</f>
        <v>34584.989999999991</v>
      </c>
      <c r="M19" s="201">
        <v>0</v>
      </c>
      <c r="N19" s="202">
        <f t="shared" si="1"/>
        <v>34584.989999999991</v>
      </c>
      <c r="O19" s="202">
        <f t="shared" si="2"/>
        <v>960.69416666666632</v>
      </c>
      <c r="P19" s="202">
        <f t="shared" si="3"/>
        <v>11528.329999999996</v>
      </c>
      <c r="Q19" s="202">
        <f t="shared" si="7"/>
        <v>11528.329999999996</v>
      </c>
      <c r="R19" s="202"/>
      <c r="S19" s="202">
        <f t="shared" si="4"/>
        <v>0</v>
      </c>
      <c r="T19" s="202">
        <f t="shared" si="5"/>
        <v>11528.329999999996</v>
      </c>
      <c r="U19" s="202">
        <f>+IF(U18=0,0,IF(Q19=0,0,((L19-S19)+(L19-T19))/2))</f>
        <v>0</v>
      </c>
    </row>
    <row r="20" spans="1:21">
      <c r="B20" s="7">
        <v>10</v>
      </c>
      <c r="C20" s="110" t="s">
        <v>114</v>
      </c>
      <c r="D20" s="136" t="s">
        <v>116</v>
      </c>
      <c r="E20" s="119">
        <v>2009</v>
      </c>
      <c r="F20" s="110">
        <v>12</v>
      </c>
      <c r="G20" s="137">
        <v>0</v>
      </c>
      <c r="H20" s="119"/>
      <c r="I20" s="119" t="s">
        <v>103</v>
      </c>
      <c r="J20" s="119">
        <v>7</v>
      </c>
      <c r="K20" s="123">
        <f t="shared" si="0"/>
        <v>2016</v>
      </c>
      <c r="L20" s="138">
        <f>+'2120 Depr - Orig'!P21</f>
        <v>148582.67199999999</v>
      </c>
      <c r="M20" s="138">
        <v>0</v>
      </c>
      <c r="N20" s="139">
        <f t="shared" si="1"/>
        <v>148582.67199999999</v>
      </c>
      <c r="O20" s="139">
        <f t="shared" si="2"/>
        <v>1768.8413333333331</v>
      </c>
      <c r="P20" s="139">
        <f t="shared" si="3"/>
        <v>21226.095999999998</v>
      </c>
      <c r="Q20" s="139">
        <f t="shared" si="7"/>
        <v>0</v>
      </c>
      <c r="R20" s="139"/>
      <c r="S20" s="139">
        <f t="shared" si="4"/>
        <v>148582.67199999999</v>
      </c>
      <c r="T20" s="139">
        <f t="shared" si="5"/>
        <v>148582.67199999999</v>
      </c>
      <c r="U20" s="139">
        <f t="shared" si="6"/>
        <v>0</v>
      </c>
    </row>
    <row r="21" spans="1:21" s="196" customFormat="1">
      <c r="B21" s="196">
        <v>10</v>
      </c>
      <c r="D21" s="197" t="s">
        <v>332</v>
      </c>
      <c r="E21" s="198">
        <v>2017</v>
      </c>
      <c r="F21" s="196">
        <v>1</v>
      </c>
      <c r="G21" s="199">
        <v>0</v>
      </c>
      <c r="H21" s="198"/>
      <c r="I21" s="198" t="s">
        <v>103</v>
      </c>
      <c r="J21" s="198">
        <f>+IF(K20-$N$4&gt;=3,K20-$N$4,3)</f>
        <v>3</v>
      </c>
      <c r="K21" s="200">
        <f t="shared" si="0"/>
        <v>2020</v>
      </c>
      <c r="L21" s="201">
        <f>+'2120 Depr - Orig'!N21-'Truck Depr - w Salvage '!L20</f>
        <v>37145.668000000005</v>
      </c>
      <c r="M21" s="201">
        <v>0</v>
      </c>
      <c r="N21" s="202">
        <f t="shared" si="1"/>
        <v>37145.668000000005</v>
      </c>
      <c r="O21" s="202">
        <f t="shared" si="2"/>
        <v>1031.8241111111113</v>
      </c>
      <c r="P21" s="202">
        <f t="shared" si="3"/>
        <v>12381.889333333336</v>
      </c>
      <c r="Q21" s="202">
        <f t="shared" si="7"/>
        <v>12381.889333333336</v>
      </c>
      <c r="R21" s="202"/>
      <c r="S21" s="202">
        <f t="shared" si="4"/>
        <v>0</v>
      </c>
      <c r="T21" s="202">
        <f t="shared" si="5"/>
        <v>12381.889333333336</v>
      </c>
      <c r="U21" s="202">
        <f>+IF(U20=0,0,IF(Q21=0,0,((L21-S21)+(L21-T21))/2))</f>
        <v>0</v>
      </c>
    </row>
    <row r="22" spans="1:21">
      <c r="B22" s="7"/>
      <c r="C22" s="110" t="s">
        <v>117</v>
      </c>
      <c r="D22" s="136" t="s">
        <v>118</v>
      </c>
      <c r="E22" s="119">
        <v>2010</v>
      </c>
      <c r="F22" s="110">
        <v>1</v>
      </c>
      <c r="G22" s="137">
        <v>0</v>
      </c>
      <c r="H22" s="119"/>
      <c r="I22" s="119" t="s">
        <v>103</v>
      </c>
      <c r="J22" s="119">
        <v>7</v>
      </c>
      <c r="K22" s="123">
        <f t="shared" si="0"/>
        <v>2017</v>
      </c>
      <c r="L22" s="138">
        <f>+'2120 Depr - Orig'!P22</f>
        <v>10563.688</v>
      </c>
      <c r="M22" s="138">
        <v>0</v>
      </c>
      <c r="N22" s="139">
        <f t="shared" si="1"/>
        <v>10563.688</v>
      </c>
      <c r="O22" s="139">
        <f t="shared" si="2"/>
        <v>125.75819047619048</v>
      </c>
      <c r="P22" s="139">
        <f t="shared" si="3"/>
        <v>1509.0982857142858</v>
      </c>
      <c r="Q22" s="139">
        <f t="shared" si="7"/>
        <v>0</v>
      </c>
      <c r="R22" s="139"/>
      <c r="S22" s="139">
        <f t="shared" si="4"/>
        <v>10563.688</v>
      </c>
      <c r="T22" s="139">
        <f t="shared" si="5"/>
        <v>10563.688</v>
      </c>
      <c r="U22" s="139">
        <f t="shared" si="6"/>
        <v>0</v>
      </c>
    </row>
    <row r="23" spans="1:21" s="196" customFormat="1">
      <c r="D23" s="197" t="s">
        <v>333</v>
      </c>
      <c r="E23" s="198">
        <v>2017</v>
      </c>
      <c r="F23" s="196">
        <v>1</v>
      </c>
      <c r="G23" s="199">
        <v>0</v>
      </c>
      <c r="H23" s="198"/>
      <c r="I23" s="198" t="s">
        <v>103</v>
      </c>
      <c r="J23" s="198">
        <f>+IF(K22-$N$4&gt;=3,K22-$N$4,3)</f>
        <v>3</v>
      </c>
      <c r="K23" s="200">
        <f t="shared" ref="K23" si="10">E23+J23</f>
        <v>2020</v>
      </c>
      <c r="L23" s="201">
        <f>+'2120 Depr - Orig'!N22-'Truck Depr - w Salvage '!L22</f>
        <v>2640.9220000000005</v>
      </c>
      <c r="M23" s="201">
        <v>0</v>
      </c>
      <c r="N23" s="202">
        <f t="shared" si="1"/>
        <v>2640.9220000000005</v>
      </c>
      <c r="O23" s="202">
        <f t="shared" si="2"/>
        <v>73.358944444444461</v>
      </c>
      <c r="P23" s="202">
        <f t="shared" si="3"/>
        <v>880.30733333333353</v>
      </c>
      <c r="Q23" s="202">
        <f t="shared" si="7"/>
        <v>880.30733333333353</v>
      </c>
      <c r="R23" s="202"/>
      <c r="S23" s="202">
        <f t="shared" si="4"/>
        <v>0</v>
      </c>
      <c r="T23" s="202">
        <f t="shared" si="5"/>
        <v>880.30733333333353</v>
      </c>
      <c r="U23" s="202">
        <f>+IF(U22=0,0,IF(Q23=0,0,((L23-S23)+(L23-T23))/2))</f>
        <v>0</v>
      </c>
    </row>
    <row r="24" spans="1:21">
      <c r="A24" s="110">
        <v>1</v>
      </c>
      <c r="D24" s="136" t="s">
        <v>119</v>
      </c>
      <c r="E24" s="119">
        <v>2010</v>
      </c>
      <c r="F24" s="110">
        <v>8</v>
      </c>
      <c r="G24" s="137">
        <v>0</v>
      </c>
      <c r="H24" s="119"/>
      <c r="I24" s="119" t="s">
        <v>103</v>
      </c>
      <c r="J24" s="119">
        <v>7</v>
      </c>
      <c r="K24" s="123">
        <f t="shared" si="0"/>
        <v>2017</v>
      </c>
      <c r="L24" s="138">
        <f>+'2120 Depr - Orig'!P23</f>
        <v>11390.072</v>
      </c>
      <c r="M24" s="138">
        <v>0</v>
      </c>
      <c r="N24" s="139">
        <f t="shared" si="1"/>
        <v>11390.072</v>
      </c>
      <c r="O24" s="139">
        <f t="shared" si="2"/>
        <v>135.59609523809524</v>
      </c>
      <c r="P24" s="139">
        <f t="shared" si="3"/>
        <v>1627.1531428571429</v>
      </c>
      <c r="Q24" s="139">
        <f t="shared" si="7"/>
        <v>0</v>
      </c>
      <c r="R24" s="139"/>
      <c r="S24" s="139">
        <f t="shared" si="4"/>
        <v>11390.072</v>
      </c>
      <c r="T24" s="139">
        <f t="shared" si="5"/>
        <v>11390.072</v>
      </c>
      <c r="U24" s="139">
        <f t="shared" si="6"/>
        <v>0</v>
      </c>
    </row>
    <row r="25" spans="1:21" s="196" customFormat="1">
      <c r="D25" s="197" t="s">
        <v>334</v>
      </c>
      <c r="E25" s="198">
        <v>2017</v>
      </c>
      <c r="F25" s="196">
        <v>1</v>
      </c>
      <c r="G25" s="199">
        <v>0</v>
      </c>
      <c r="H25" s="198"/>
      <c r="I25" s="198" t="s">
        <v>103</v>
      </c>
      <c r="J25" s="198">
        <f>+IF(K24-$N$4&gt;=3,K24-$N$4,3)</f>
        <v>3</v>
      </c>
      <c r="K25" s="200">
        <f t="shared" si="0"/>
        <v>2020</v>
      </c>
      <c r="L25" s="201">
        <f>+'2120 Depr - Orig'!N23-'Truck Depr - w Salvage '!L24</f>
        <v>2847.518</v>
      </c>
      <c r="M25" s="201">
        <v>0</v>
      </c>
      <c r="N25" s="202">
        <f t="shared" si="1"/>
        <v>2847.518</v>
      </c>
      <c r="O25" s="202">
        <f t="shared" si="2"/>
        <v>79.097722222222231</v>
      </c>
      <c r="P25" s="202">
        <f t="shared" si="3"/>
        <v>949.17266666666683</v>
      </c>
      <c r="Q25" s="202">
        <f t="shared" si="7"/>
        <v>949.17266666666683</v>
      </c>
      <c r="R25" s="202"/>
      <c r="S25" s="202">
        <f t="shared" si="4"/>
        <v>0</v>
      </c>
      <c r="T25" s="202">
        <f t="shared" si="5"/>
        <v>949.17266666666683</v>
      </c>
      <c r="U25" s="202">
        <f>+IF(U24=0,0,IF(Q25=0,0,((L25-S25)+(L25-T25))/2))</f>
        <v>0</v>
      </c>
    </row>
    <row r="26" spans="1:21">
      <c r="A26" s="110">
        <v>1</v>
      </c>
      <c r="B26" s="110">
        <v>11</v>
      </c>
      <c r="C26" s="110" t="s">
        <v>122</v>
      </c>
      <c r="D26" s="136" t="s">
        <v>123</v>
      </c>
      <c r="E26" s="119">
        <v>2012</v>
      </c>
      <c r="F26" s="110">
        <v>7</v>
      </c>
      <c r="G26" s="137">
        <v>0</v>
      </c>
      <c r="H26" s="119"/>
      <c r="I26" s="119" t="s">
        <v>103</v>
      </c>
      <c r="J26" s="119">
        <v>5</v>
      </c>
      <c r="K26" s="123">
        <f t="shared" si="0"/>
        <v>2017</v>
      </c>
      <c r="L26" s="138">
        <f>+'2120 Depr - Orig'!P25</f>
        <v>116209.48999999999</v>
      </c>
      <c r="M26" s="138">
        <v>0</v>
      </c>
      <c r="N26" s="139">
        <f t="shared" si="1"/>
        <v>116209.48999999999</v>
      </c>
      <c r="O26" s="139">
        <f t="shared" si="2"/>
        <v>1936.8248333333331</v>
      </c>
      <c r="P26" s="139">
        <f t="shared" si="3"/>
        <v>23241.897999999997</v>
      </c>
      <c r="Q26" s="139">
        <f t="shared" si="7"/>
        <v>0</v>
      </c>
      <c r="R26" s="139"/>
      <c r="S26" s="139">
        <f t="shared" si="4"/>
        <v>116209.48999999999</v>
      </c>
      <c r="T26" s="139">
        <f t="shared" si="5"/>
        <v>116209.48999999999</v>
      </c>
      <c r="U26" s="139">
        <f t="shared" si="6"/>
        <v>0</v>
      </c>
    </row>
    <row r="27" spans="1:21" s="196" customFormat="1">
      <c r="B27" s="196">
        <v>11</v>
      </c>
      <c r="D27" s="197" t="s">
        <v>335</v>
      </c>
      <c r="E27" s="198">
        <v>2017</v>
      </c>
      <c r="F27" s="196">
        <v>1</v>
      </c>
      <c r="G27" s="199">
        <v>0</v>
      </c>
      <c r="H27" s="198"/>
      <c r="I27" s="198" t="s">
        <v>103</v>
      </c>
      <c r="J27" s="198">
        <f>+IF(K26-$N$4&gt;=3,K26-$N$4,3)</f>
        <v>3</v>
      </c>
      <c r="K27" s="200">
        <f t="shared" si="0"/>
        <v>2020</v>
      </c>
      <c r="L27" s="201">
        <f>+'2120 Depr - Orig'!N25-'Truck Depr - w Salvage '!L26</f>
        <v>57237.510000000009</v>
      </c>
      <c r="M27" s="201">
        <v>0</v>
      </c>
      <c r="N27" s="202">
        <f t="shared" si="1"/>
        <v>57237.510000000009</v>
      </c>
      <c r="O27" s="202">
        <f t="shared" si="2"/>
        <v>1589.9308333333336</v>
      </c>
      <c r="P27" s="202">
        <f t="shared" si="3"/>
        <v>19079.170000000002</v>
      </c>
      <c r="Q27" s="202">
        <f t="shared" si="7"/>
        <v>19079.170000000002</v>
      </c>
      <c r="R27" s="202"/>
      <c r="S27" s="202">
        <f t="shared" si="4"/>
        <v>0</v>
      </c>
      <c r="T27" s="202">
        <f t="shared" si="5"/>
        <v>19079.170000000002</v>
      </c>
      <c r="U27" s="202">
        <f>+IF(U26=0,0,IF(Q27=0,0,((L27-S27)+(L27-T27))/2))</f>
        <v>0</v>
      </c>
    </row>
    <row r="28" spans="1:21">
      <c r="A28" s="110">
        <v>118506</v>
      </c>
      <c r="B28" s="110">
        <v>11</v>
      </c>
      <c r="C28" s="110" t="s">
        <v>122</v>
      </c>
      <c r="D28" s="136" t="s">
        <v>124</v>
      </c>
      <c r="E28" s="119">
        <v>2014</v>
      </c>
      <c r="F28" s="110">
        <v>11</v>
      </c>
      <c r="G28" s="137">
        <v>0</v>
      </c>
      <c r="H28" s="119"/>
      <c r="I28" s="119" t="s">
        <v>103</v>
      </c>
      <c r="J28" s="119">
        <v>3</v>
      </c>
      <c r="K28" s="123">
        <f t="shared" si="0"/>
        <v>2017</v>
      </c>
      <c r="L28" s="138">
        <v>18065.71</v>
      </c>
      <c r="M28" s="138">
        <v>0</v>
      </c>
      <c r="N28" s="139">
        <f t="shared" si="1"/>
        <v>18065.71</v>
      </c>
      <c r="O28" s="139">
        <f t="shared" si="2"/>
        <v>501.82527777777773</v>
      </c>
      <c r="P28" s="139">
        <f t="shared" si="3"/>
        <v>6021.9033333333327</v>
      </c>
      <c r="Q28" s="139">
        <f t="shared" si="7"/>
        <v>0</v>
      </c>
      <c r="R28" s="139"/>
      <c r="S28" s="139">
        <f t="shared" si="4"/>
        <v>18065.71</v>
      </c>
      <c r="T28" s="139">
        <f t="shared" si="5"/>
        <v>18065.71</v>
      </c>
      <c r="U28" s="139">
        <f t="shared" si="6"/>
        <v>0</v>
      </c>
    </row>
    <row r="29" spans="1:21">
      <c r="A29" s="110">
        <v>125547</v>
      </c>
      <c r="B29" s="110">
        <v>14</v>
      </c>
      <c r="C29" s="110" t="s">
        <v>122</v>
      </c>
      <c r="D29" s="136" t="s">
        <v>125</v>
      </c>
      <c r="E29" s="119">
        <v>2015</v>
      </c>
      <c r="F29" s="110">
        <v>9</v>
      </c>
      <c r="G29" s="137">
        <v>0</v>
      </c>
      <c r="H29" s="119"/>
      <c r="I29" s="119" t="s">
        <v>103</v>
      </c>
      <c r="J29" s="119">
        <v>7</v>
      </c>
      <c r="K29" s="123">
        <f t="shared" si="0"/>
        <v>2022</v>
      </c>
      <c r="L29" s="138">
        <f>+'2120 Depr - Orig'!P27</f>
        <v>193211.45600000001</v>
      </c>
      <c r="M29" s="138"/>
      <c r="N29" s="139">
        <f t="shared" si="1"/>
        <v>193211.45600000001</v>
      </c>
      <c r="O29" s="139">
        <f t="shared" si="2"/>
        <v>2300.1363809523809</v>
      </c>
      <c r="P29" s="139">
        <f t="shared" si="3"/>
        <v>27601.636571428571</v>
      </c>
      <c r="Q29" s="139">
        <f t="shared" si="7"/>
        <v>27601.636571428571</v>
      </c>
      <c r="R29" s="139"/>
      <c r="S29" s="139">
        <f t="shared" si="4"/>
        <v>55203.273142857142</v>
      </c>
      <c r="T29" s="139">
        <f t="shared" si="5"/>
        <v>82804.909714285721</v>
      </c>
      <c r="U29" s="139">
        <f t="shared" si="6"/>
        <v>124207.36457142858</v>
      </c>
    </row>
    <row r="30" spans="1:21" s="196" customFormat="1">
      <c r="B30" s="196">
        <v>14</v>
      </c>
      <c r="D30" s="197" t="s">
        <v>336</v>
      </c>
      <c r="E30" s="198">
        <v>2017</v>
      </c>
      <c r="F30" s="196">
        <v>1</v>
      </c>
      <c r="G30" s="199">
        <v>0</v>
      </c>
      <c r="H30" s="198"/>
      <c r="I30" s="198" t="s">
        <v>103</v>
      </c>
      <c r="J30" s="198">
        <f>+IF(K29-$N$4&gt;=3,K29-$N$4,3)</f>
        <v>5</v>
      </c>
      <c r="K30" s="200">
        <f t="shared" ref="K30" si="11">E30+J30</f>
        <v>2022</v>
      </c>
      <c r="L30" s="201">
        <f>+'2120 Depr - Orig'!N27-'Truck Depr - w Salvage '!L29</f>
        <v>48302.864000000001</v>
      </c>
      <c r="M30" s="201">
        <v>0</v>
      </c>
      <c r="N30" s="202">
        <f t="shared" si="1"/>
        <v>48302.864000000001</v>
      </c>
      <c r="O30" s="202">
        <f t="shared" si="2"/>
        <v>805.04773333333333</v>
      </c>
      <c r="P30" s="202">
        <f t="shared" si="3"/>
        <v>9660.5727999999999</v>
      </c>
      <c r="Q30" s="202">
        <f t="shared" si="7"/>
        <v>9660.5727999999999</v>
      </c>
      <c r="R30" s="202"/>
      <c r="S30" s="202">
        <f t="shared" si="4"/>
        <v>0</v>
      </c>
      <c r="T30" s="202">
        <f t="shared" si="5"/>
        <v>9660.5727999999999</v>
      </c>
      <c r="U30" s="202">
        <f>+IF(U29=0,0,IF(Q30=0,0,((L30-S30)+(L30-T30))/2))</f>
        <v>43472.577600000004</v>
      </c>
    </row>
    <row r="31" spans="1:21">
      <c r="A31" s="110">
        <v>129371</v>
      </c>
      <c r="B31" s="110">
        <v>16</v>
      </c>
      <c r="C31" s="110" t="s">
        <v>122</v>
      </c>
      <c r="D31" s="136" t="s">
        <v>127</v>
      </c>
      <c r="E31" s="119">
        <v>2016</v>
      </c>
      <c r="F31" s="110">
        <v>1</v>
      </c>
      <c r="G31" s="137">
        <v>0</v>
      </c>
      <c r="H31" s="119"/>
      <c r="I31" s="119" t="s">
        <v>103</v>
      </c>
      <c r="J31" s="119">
        <v>7</v>
      </c>
      <c r="K31" s="123">
        <f t="shared" si="0"/>
        <v>2023</v>
      </c>
      <c r="L31" s="138">
        <f>+'2120 Depr - Orig'!P29</f>
        <v>204637.45600000001</v>
      </c>
      <c r="M31" s="138"/>
      <c r="N31" s="139">
        <f t="shared" si="1"/>
        <v>204637.45600000001</v>
      </c>
      <c r="O31" s="139">
        <f t="shared" si="2"/>
        <v>2436.1601904761906</v>
      </c>
      <c r="P31" s="139">
        <f t="shared" si="3"/>
        <v>29233.922285714289</v>
      </c>
      <c r="Q31" s="139">
        <f t="shared" si="7"/>
        <v>29233.922285714289</v>
      </c>
      <c r="R31" s="139"/>
      <c r="S31" s="139">
        <f t="shared" si="4"/>
        <v>29233.922285714289</v>
      </c>
      <c r="T31" s="139">
        <f t="shared" si="5"/>
        <v>58467.844571428577</v>
      </c>
      <c r="U31" s="139">
        <f t="shared" si="6"/>
        <v>160786.57257142855</v>
      </c>
    </row>
    <row r="32" spans="1:21" s="196" customFormat="1">
      <c r="B32" s="196">
        <v>16</v>
      </c>
      <c r="D32" s="197" t="s">
        <v>337</v>
      </c>
      <c r="E32" s="198">
        <v>2017</v>
      </c>
      <c r="F32" s="196">
        <v>1</v>
      </c>
      <c r="G32" s="199">
        <v>0</v>
      </c>
      <c r="H32" s="198"/>
      <c r="I32" s="198" t="s">
        <v>103</v>
      </c>
      <c r="J32" s="198">
        <f>+IF(K31-$N$4&gt;=3,K31-$N$4,3)</f>
        <v>6</v>
      </c>
      <c r="K32" s="200">
        <f t="shared" ref="K32" si="12">E32+J32</f>
        <v>2023</v>
      </c>
      <c r="L32" s="201">
        <f>+'2120 Depr - Orig'!N29-'Truck Depr - w Salvage '!L31</f>
        <v>51159.364000000001</v>
      </c>
      <c r="M32" s="201">
        <v>0</v>
      </c>
      <c r="N32" s="202">
        <f t="shared" si="1"/>
        <v>51159.364000000001</v>
      </c>
      <c r="O32" s="202">
        <f t="shared" si="2"/>
        <v>710.54672222222223</v>
      </c>
      <c r="P32" s="202">
        <f t="shared" si="3"/>
        <v>8526.5606666666663</v>
      </c>
      <c r="Q32" s="202">
        <f t="shared" si="7"/>
        <v>8526.5606666666663</v>
      </c>
      <c r="R32" s="202"/>
      <c r="S32" s="202">
        <f t="shared" si="4"/>
        <v>0</v>
      </c>
      <c r="T32" s="202">
        <f t="shared" si="5"/>
        <v>8526.5606666666663</v>
      </c>
      <c r="U32" s="202">
        <f>+IF(U31=0,0,IF(Q32=0,0,((L32-S32)+(L32-T32))/2))</f>
        <v>46896.083666666673</v>
      </c>
    </row>
    <row r="33" spans="1:23">
      <c r="A33" s="110" t="s">
        <v>302</v>
      </c>
      <c r="D33" s="136" t="s">
        <v>301</v>
      </c>
      <c r="E33" s="119">
        <v>2016</v>
      </c>
      <c r="F33" s="110">
        <v>6</v>
      </c>
      <c r="G33" s="137">
        <v>0</v>
      </c>
      <c r="H33" s="119"/>
      <c r="I33" s="119" t="s">
        <v>103</v>
      </c>
      <c r="J33" s="119">
        <v>1</v>
      </c>
      <c r="K33" s="123">
        <f t="shared" si="0"/>
        <v>2017</v>
      </c>
      <c r="L33" s="138">
        <f>2532.91+3828.11</f>
        <v>6361.02</v>
      </c>
      <c r="M33" s="138"/>
      <c r="N33" s="139">
        <f t="shared" si="1"/>
        <v>6361.02</v>
      </c>
      <c r="O33" s="139">
        <f t="shared" si="2"/>
        <v>530.08500000000004</v>
      </c>
      <c r="P33" s="139">
        <f t="shared" si="3"/>
        <v>6361.02</v>
      </c>
      <c r="Q33" s="139">
        <f t="shared" si="7"/>
        <v>0</v>
      </c>
      <c r="R33" s="139"/>
      <c r="S33" s="139">
        <f t="shared" si="4"/>
        <v>6361.02</v>
      </c>
      <c r="T33" s="139">
        <f t="shared" si="5"/>
        <v>6361.02</v>
      </c>
      <c r="U33" s="139">
        <f t="shared" si="6"/>
        <v>0</v>
      </c>
    </row>
    <row r="34" spans="1:23">
      <c r="A34" s="110" t="s">
        <v>309</v>
      </c>
      <c r="B34" s="110">
        <v>8</v>
      </c>
      <c r="D34" s="136" t="s">
        <v>310</v>
      </c>
      <c r="E34" s="119">
        <v>2017</v>
      </c>
      <c r="F34" s="110">
        <v>2</v>
      </c>
      <c r="G34" s="137">
        <v>0</v>
      </c>
      <c r="H34" s="119"/>
      <c r="I34" s="119" t="s">
        <v>103</v>
      </c>
      <c r="J34" s="119">
        <v>3</v>
      </c>
      <c r="K34" s="123">
        <f>E34+J34</f>
        <v>2020</v>
      </c>
      <c r="L34" s="138">
        <v>14019</v>
      </c>
      <c r="M34" s="138"/>
      <c r="N34" s="139">
        <f t="shared" si="1"/>
        <v>14019</v>
      </c>
      <c r="O34" s="139">
        <f t="shared" si="2"/>
        <v>389.41666666666669</v>
      </c>
      <c r="P34" s="139">
        <f t="shared" si="3"/>
        <v>4673</v>
      </c>
      <c r="Q34" s="139">
        <f t="shared" si="7"/>
        <v>4673</v>
      </c>
      <c r="R34" s="139"/>
      <c r="S34" s="139">
        <f t="shared" si="4"/>
        <v>0</v>
      </c>
      <c r="T34" s="139">
        <f t="shared" si="5"/>
        <v>4673</v>
      </c>
      <c r="U34" s="139">
        <f t="shared" si="6"/>
        <v>11682.5</v>
      </c>
    </row>
    <row r="35" spans="1:23">
      <c r="A35" s="237"/>
      <c r="B35" s="237"/>
      <c r="C35" s="237" t="s">
        <v>324</v>
      </c>
      <c r="D35" s="238" t="s">
        <v>323</v>
      </c>
      <c r="E35" s="239">
        <v>2018</v>
      </c>
      <c r="F35" s="237">
        <v>3</v>
      </c>
      <c r="G35" s="240">
        <v>0</v>
      </c>
      <c r="H35" s="239"/>
      <c r="I35" s="239" t="s">
        <v>103</v>
      </c>
      <c r="J35" s="239">
        <v>10</v>
      </c>
      <c r="K35" s="241">
        <f>E35+J35</f>
        <v>2028</v>
      </c>
      <c r="L35" s="242">
        <v>250392</v>
      </c>
      <c r="M35" s="242"/>
      <c r="N35" s="243">
        <f t="shared" ref="N35" si="13">L35-L35*G35</f>
        <v>250392</v>
      </c>
      <c r="O35" s="243">
        <f t="shared" ref="O35" si="14">N35/J35/12</f>
        <v>2086.6</v>
      </c>
      <c r="P35" s="243">
        <f t="shared" ref="P35" si="15">+O35*12</f>
        <v>25039.199999999997</v>
      </c>
      <c r="Q35" s="244">
        <f>+IF(K35&lt;=$N$4,0,IF(K35=$N$4+1,O35*F35,P35))+Q89</f>
        <v>31372.533333333329</v>
      </c>
      <c r="R35" s="243"/>
      <c r="S35" s="243">
        <f t="shared" ref="S35" si="16">+IF(Q35=0,N35,IF($N$4-E35&lt;1,0,(($N$4-E35)*P35)))</f>
        <v>0</v>
      </c>
      <c r="T35" s="243">
        <f t="shared" ref="T35" si="17">+IF(Q35=0,S35,S35+Q35)</f>
        <v>31372.533333333329</v>
      </c>
      <c r="U35" s="243">
        <f t="shared" ref="U35" si="18">+IF(Q35=0,0,((L35-S35)+(L35-T35))/2)</f>
        <v>234705.73333333334</v>
      </c>
      <c r="W35" s="236"/>
    </row>
    <row r="36" spans="1:23">
      <c r="A36" s="237"/>
      <c r="B36" s="237"/>
      <c r="C36" s="237" t="s">
        <v>325</v>
      </c>
      <c r="D36" s="238" t="s">
        <v>323</v>
      </c>
      <c r="E36" s="239">
        <v>2018</v>
      </c>
      <c r="F36" s="237">
        <v>4</v>
      </c>
      <c r="G36" s="240">
        <v>0</v>
      </c>
      <c r="H36" s="239"/>
      <c r="I36" s="239" t="s">
        <v>103</v>
      </c>
      <c r="J36" s="239">
        <v>10</v>
      </c>
      <c r="K36" s="241">
        <f>E36+J36</f>
        <v>2028</v>
      </c>
      <c r="L36" s="242">
        <v>250991</v>
      </c>
      <c r="M36" s="242"/>
      <c r="N36" s="243">
        <f t="shared" ref="N36" si="19">L36-L36*G36</f>
        <v>250991</v>
      </c>
      <c r="O36" s="243">
        <f t="shared" ref="O36" si="20">N36/J36/12</f>
        <v>2091.5916666666667</v>
      </c>
      <c r="P36" s="243">
        <f t="shared" ref="P36" si="21">+O36*12</f>
        <v>25099.1</v>
      </c>
      <c r="Q36" s="244">
        <f>+IF(K36&lt;=$N$4,0,IF(K36=$N$4+1,O36*F36,P36))+Q94</f>
        <v>31776.166666666664</v>
      </c>
      <c r="R36" s="243"/>
      <c r="S36" s="243">
        <f t="shared" ref="S36" si="22">+IF(Q36=0,N36,IF($N$4-E36&lt;1,0,(($N$4-E36)*P36)))</f>
        <v>0</v>
      </c>
      <c r="T36" s="243">
        <f t="shared" ref="T36" si="23">+IF(Q36=0,S36,S36+Q36)</f>
        <v>31776.166666666664</v>
      </c>
      <c r="U36" s="243">
        <f t="shared" ref="U36" si="24">+IF(Q36=0,0,((L36-S36)+(L36-T36))/2)</f>
        <v>235102.91666666669</v>
      </c>
    </row>
    <row r="37" spans="1:23">
      <c r="D37" s="136"/>
      <c r="E37" s="119"/>
      <c r="G37" s="137"/>
      <c r="H37" s="119"/>
      <c r="I37" s="119"/>
      <c r="J37" s="119"/>
      <c r="K37" s="123"/>
      <c r="L37" s="138"/>
      <c r="M37" s="138"/>
      <c r="N37" s="139"/>
      <c r="O37" s="139"/>
      <c r="P37" s="139"/>
      <c r="Q37" s="139"/>
      <c r="R37" s="139"/>
      <c r="S37" s="139"/>
      <c r="T37" s="139"/>
      <c r="U37" s="139"/>
    </row>
    <row r="38" spans="1:23" s="140" customFormat="1">
      <c r="D38" s="141" t="s">
        <v>128</v>
      </c>
      <c r="E38" s="141"/>
      <c r="F38" s="141"/>
      <c r="G38" s="142"/>
      <c r="H38" s="141"/>
      <c r="I38" s="141"/>
      <c r="J38" s="141"/>
      <c r="K38" s="143"/>
      <c r="L38" s="144">
        <f>SUM(L12:L37)</f>
        <v>1791963.34</v>
      </c>
      <c r="M38" s="144"/>
      <c r="N38" s="144">
        <f>SUM(N12:N37)</f>
        <v>1791963.34</v>
      </c>
      <c r="O38" s="144">
        <f>SUM(O12:O37)</f>
        <v>24230.359757142858</v>
      </c>
      <c r="P38" s="144">
        <f>SUM(P12:P37)</f>
        <v>290764.3170857142</v>
      </c>
      <c r="Q38" s="144">
        <f>SUM(Q12:Q37)</f>
        <v>200001.19499047616</v>
      </c>
      <c r="R38" s="144"/>
      <c r="S38" s="144">
        <f>SUM(S12:S37)</f>
        <v>692216.98742857145</v>
      </c>
      <c r="T38" s="144">
        <f>SUM(T12:T37)</f>
        <v>892218.18241904769</v>
      </c>
      <c r="U38" s="144">
        <f>SUM(U12:U37)</f>
        <v>856853.74840952386</v>
      </c>
    </row>
    <row r="39" spans="1:23" s="140" customFormat="1">
      <c r="G39" s="121"/>
      <c r="K39" s="145"/>
      <c r="L39" s="146"/>
      <c r="M39" s="146"/>
      <c r="N39" s="146"/>
      <c r="O39" s="146"/>
      <c r="P39" s="146"/>
      <c r="Q39" s="146"/>
      <c r="R39" s="146"/>
      <c r="S39" s="146"/>
      <c r="T39" s="146"/>
      <c r="U39" s="146"/>
    </row>
    <row r="40" spans="1:23" s="140" customFormat="1">
      <c r="G40" s="121"/>
      <c r="K40" s="145"/>
      <c r="L40" s="146"/>
      <c r="M40" s="146"/>
      <c r="N40" s="146"/>
      <c r="O40" s="146"/>
      <c r="P40" s="146"/>
      <c r="Q40" s="146"/>
      <c r="R40" s="146"/>
      <c r="S40" s="146"/>
      <c r="T40" s="146"/>
      <c r="U40" s="146"/>
    </row>
    <row r="41" spans="1:23">
      <c r="B41" s="140"/>
      <c r="D41" s="124" t="s">
        <v>129</v>
      </c>
      <c r="L41" s="147"/>
      <c r="M41" s="147"/>
      <c r="N41" s="147"/>
      <c r="O41" s="147"/>
      <c r="P41" s="147"/>
      <c r="Q41" s="147"/>
      <c r="R41" s="147"/>
      <c r="S41" s="147"/>
      <c r="T41" s="147"/>
      <c r="U41" s="147"/>
    </row>
    <row r="42" spans="1:23">
      <c r="B42" s="110">
        <v>7</v>
      </c>
      <c r="C42" s="110" t="s">
        <v>21</v>
      </c>
      <c r="D42" s="148" t="s">
        <v>130</v>
      </c>
      <c r="E42" s="119">
        <v>1987</v>
      </c>
      <c r="F42" s="110">
        <v>9</v>
      </c>
      <c r="G42" s="137">
        <v>0</v>
      </c>
      <c r="H42" s="119"/>
      <c r="I42" s="119" t="s">
        <v>103</v>
      </c>
      <c r="J42" s="119">
        <v>7</v>
      </c>
      <c r="K42" s="123">
        <f t="shared" ref="K42:K53" si="25">E42+J42</f>
        <v>1994</v>
      </c>
      <c r="L42" s="138">
        <f>+'2120 Depr - Orig'!P37</f>
        <v>37303.088000000003</v>
      </c>
      <c r="M42" s="138">
        <v>0</v>
      </c>
      <c r="N42" s="138">
        <f>L42-L42*G42</f>
        <v>37303.088000000003</v>
      </c>
      <c r="O42" s="138">
        <f>N42/J42/12</f>
        <v>444.08438095238103</v>
      </c>
      <c r="P42" s="138">
        <f t="shared" ref="P42:P52" si="26">+O42*12</f>
        <v>5329.0125714285723</v>
      </c>
      <c r="Q42" s="138">
        <f t="shared" ref="Q42:Q52" si="27">+IF(K42&lt;=$N$4,0,IF(K42=$N$4+1,O42*F42,P42))</f>
        <v>0</v>
      </c>
      <c r="R42" s="138"/>
      <c r="S42" s="138">
        <f t="shared" ref="S42" si="28">+IF(Q42=0,N42,IF($N$4-E42&lt;1,0,(($N$4-E42)*P42)))</f>
        <v>37303.088000000003</v>
      </c>
      <c r="T42" s="138">
        <f t="shared" ref="T42" si="29">+IF(Q42=0,S42,S42+Q42)</f>
        <v>37303.088000000003</v>
      </c>
      <c r="U42" s="138">
        <f t="shared" ref="U42" si="30">+IF(Q42=0,0,((L42-S42)+(L42-T42))/2)</f>
        <v>0</v>
      </c>
    </row>
    <row r="43" spans="1:23" s="196" customFormat="1">
      <c r="B43" s="245">
        <v>7</v>
      </c>
      <c r="D43" s="197" t="s">
        <v>338</v>
      </c>
      <c r="E43" s="198">
        <v>2017</v>
      </c>
      <c r="F43" s="196">
        <v>1</v>
      </c>
      <c r="G43" s="199">
        <v>0</v>
      </c>
      <c r="H43" s="198"/>
      <c r="I43" s="198" t="s">
        <v>103</v>
      </c>
      <c r="J43" s="198">
        <f>+IF(K42-$N$4&gt;=3,K42-$N$4,3)</f>
        <v>3</v>
      </c>
      <c r="K43" s="200">
        <f t="shared" si="25"/>
        <v>2020</v>
      </c>
      <c r="L43" s="201">
        <f>+'2120 Depr - Orig'!N37-'Truck Depr - w Salvage '!L42</f>
        <v>9325.7719999999972</v>
      </c>
      <c r="M43" s="201">
        <v>0</v>
      </c>
      <c r="N43" s="201">
        <f t="shared" ref="N43:N52" si="31">L43-L43*G43</f>
        <v>9325.7719999999972</v>
      </c>
      <c r="O43" s="201">
        <f t="shared" ref="O43:O52" si="32">N43/J43/12</f>
        <v>259.04922222222211</v>
      </c>
      <c r="P43" s="201">
        <f t="shared" si="26"/>
        <v>3108.5906666666651</v>
      </c>
      <c r="Q43" s="201">
        <f t="shared" si="27"/>
        <v>3108.5906666666651</v>
      </c>
      <c r="R43" s="201"/>
      <c r="S43" s="201">
        <f t="shared" ref="S43:S52" si="33">+IF(Q43=0,N43,IF($N$4-E43&lt;1,0,(($N$4-E43)*P43)))</f>
        <v>0</v>
      </c>
      <c r="T43" s="201">
        <f t="shared" ref="T43:T52" si="34">+IF(Q43=0,S43,S43+Q43)</f>
        <v>3108.5906666666651</v>
      </c>
      <c r="U43" s="202">
        <f>+IF(U42=0,0,IF(Q43=0,0,((L43-S43)+(L43-T43))/2))</f>
        <v>0</v>
      </c>
    </row>
    <row r="44" spans="1:23">
      <c r="B44" s="110">
        <v>7</v>
      </c>
      <c r="C44" s="110" t="s">
        <v>21</v>
      </c>
      <c r="D44" s="136" t="s">
        <v>131</v>
      </c>
      <c r="E44" s="119">
        <v>1987</v>
      </c>
      <c r="F44" s="110">
        <v>9</v>
      </c>
      <c r="G44" s="137">
        <v>0</v>
      </c>
      <c r="H44" s="119"/>
      <c r="I44" s="119" t="s">
        <v>103</v>
      </c>
      <c r="J44" s="119">
        <v>7</v>
      </c>
      <c r="K44" s="123">
        <f t="shared" si="25"/>
        <v>1994</v>
      </c>
      <c r="L44" s="149">
        <f>+'2120 Depr - Orig'!P38</f>
        <v>28031.447999999997</v>
      </c>
      <c r="M44" s="138">
        <v>0</v>
      </c>
      <c r="N44" s="149">
        <f t="shared" si="31"/>
        <v>28031.447999999997</v>
      </c>
      <c r="O44" s="149">
        <f t="shared" si="32"/>
        <v>333.70771428571425</v>
      </c>
      <c r="P44" s="149">
        <f t="shared" si="26"/>
        <v>4004.492571428571</v>
      </c>
      <c r="Q44" s="149">
        <f t="shared" si="27"/>
        <v>0</v>
      </c>
      <c r="R44" s="149"/>
      <c r="S44" s="149">
        <f t="shared" si="33"/>
        <v>28031.447999999997</v>
      </c>
      <c r="T44" s="149">
        <f t="shared" si="34"/>
        <v>28031.447999999997</v>
      </c>
      <c r="U44" s="149">
        <f t="shared" ref="U44:U52" si="35">+IF(Q44=0,0,((L44-S44)+(L44-T44))/2)</f>
        <v>0</v>
      </c>
    </row>
    <row r="45" spans="1:23" s="196" customFormat="1">
      <c r="B45" s="245">
        <v>7</v>
      </c>
      <c r="D45" s="197" t="s">
        <v>338</v>
      </c>
      <c r="E45" s="198">
        <v>2017</v>
      </c>
      <c r="F45" s="196">
        <v>1</v>
      </c>
      <c r="G45" s="199">
        <v>0</v>
      </c>
      <c r="H45" s="198"/>
      <c r="I45" s="198" t="s">
        <v>103</v>
      </c>
      <c r="J45" s="198">
        <f>+IF(K44-$N$4&gt;=3,K44-$N$4,3)</f>
        <v>3</v>
      </c>
      <c r="K45" s="200">
        <f t="shared" ref="K45" si="36">E45+J45</f>
        <v>2020</v>
      </c>
      <c r="L45" s="201">
        <f>+'2120 Depr - Orig'!N38-'Truck Depr - w Salvage '!L44</f>
        <v>7007.862000000001</v>
      </c>
      <c r="M45" s="201">
        <v>0</v>
      </c>
      <c r="N45" s="201">
        <f t="shared" si="31"/>
        <v>7007.862000000001</v>
      </c>
      <c r="O45" s="201">
        <f t="shared" si="32"/>
        <v>194.66283333333334</v>
      </c>
      <c r="P45" s="201">
        <f t="shared" si="26"/>
        <v>2335.9540000000002</v>
      </c>
      <c r="Q45" s="201">
        <f t="shared" si="27"/>
        <v>2335.9540000000002</v>
      </c>
      <c r="R45" s="201"/>
      <c r="S45" s="201">
        <f t="shared" si="33"/>
        <v>0</v>
      </c>
      <c r="T45" s="201">
        <f t="shared" si="34"/>
        <v>2335.9540000000002</v>
      </c>
      <c r="U45" s="202">
        <f>+IF(U44=0,0,IF(Q45=0,0,((L45-S45)+(L45-T45))/2))</f>
        <v>0</v>
      </c>
    </row>
    <row r="46" spans="1:23">
      <c r="B46" s="110">
        <v>7</v>
      </c>
      <c r="C46" s="110" t="s">
        <v>21</v>
      </c>
      <c r="D46" s="136" t="s">
        <v>132</v>
      </c>
      <c r="E46" s="119">
        <v>1995</v>
      </c>
      <c r="F46" s="110">
        <v>11</v>
      </c>
      <c r="G46" s="137">
        <v>0</v>
      </c>
      <c r="H46" s="119"/>
      <c r="I46" s="119" t="s">
        <v>103</v>
      </c>
      <c r="J46" s="119">
        <v>7</v>
      </c>
      <c r="K46" s="123">
        <f t="shared" si="25"/>
        <v>2002</v>
      </c>
      <c r="L46" s="138">
        <f>+'2120 Depr - Orig'!P39</f>
        <v>3021.7736999999997</v>
      </c>
      <c r="M46" s="138">
        <v>0</v>
      </c>
      <c r="N46" s="138">
        <f t="shared" si="31"/>
        <v>3021.7736999999997</v>
      </c>
      <c r="O46" s="138">
        <f t="shared" si="32"/>
        <v>35.97349642857143</v>
      </c>
      <c r="P46" s="138">
        <f t="shared" si="26"/>
        <v>431.68195714285719</v>
      </c>
      <c r="Q46" s="138">
        <f t="shared" si="27"/>
        <v>0</v>
      </c>
      <c r="R46" s="138"/>
      <c r="S46" s="138">
        <f t="shared" si="33"/>
        <v>3021.7736999999997</v>
      </c>
      <c r="T46" s="138">
        <f t="shared" si="34"/>
        <v>3021.7736999999997</v>
      </c>
      <c r="U46" s="138">
        <f t="shared" si="35"/>
        <v>0</v>
      </c>
    </row>
    <row r="47" spans="1:23" s="196" customFormat="1">
      <c r="B47" s="245">
        <v>7</v>
      </c>
      <c r="D47" s="197" t="s">
        <v>338</v>
      </c>
      <c r="E47" s="198">
        <v>2017</v>
      </c>
      <c r="F47" s="196">
        <v>1</v>
      </c>
      <c r="G47" s="199">
        <v>0</v>
      </c>
      <c r="H47" s="198"/>
      <c r="I47" s="198" t="s">
        <v>103</v>
      </c>
      <c r="J47" s="198">
        <f>+IF(K46-$N$4&gt;=3,K46-$N$4,3)</f>
        <v>3</v>
      </c>
      <c r="K47" s="200">
        <f t="shared" si="25"/>
        <v>2020</v>
      </c>
      <c r="L47" s="201">
        <f>+'2120 Depr - Orig'!N39-'Truck Depr - w Salvage '!L46</f>
        <v>1488.3362999999999</v>
      </c>
      <c r="M47" s="201">
        <v>0</v>
      </c>
      <c r="N47" s="201">
        <f t="shared" si="31"/>
        <v>1488.3362999999999</v>
      </c>
      <c r="O47" s="201">
        <f t="shared" si="32"/>
        <v>41.342675</v>
      </c>
      <c r="P47" s="201">
        <f t="shared" si="26"/>
        <v>496.1121</v>
      </c>
      <c r="Q47" s="201">
        <f t="shared" si="27"/>
        <v>496.1121</v>
      </c>
      <c r="R47" s="201"/>
      <c r="S47" s="201">
        <f t="shared" si="33"/>
        <v>0</v>
      </c>
      <c r="T47" s="201">
        <f t="shared" si="34"/>
        <v>496.1121</v>
      </c>
      <c r="U47" s="202">
        <f>+IF(U46=0,0,IF(Q47=0,0,((L47-S47)+(L47-T47))/2))</f>
        <v>0</v>
      </c>
    </row>
    <row r="48" spans="1:23" s="7" customFormat="1">
      <c r="A48" s="7">
        <v>186126</v>
      </c>
      <c r="B48" s="7">
        <v>9</v>
      </c>
      <c r="D48" s="32" t="s">
        <v>313</v>
      </c>
      <c r="E48" s="15">
        <v>2004</v>
      </c>
      <c r="F48" s="7">
        <v>4</v>
      </c>
      <c r="G48" s="33">
        <v>0</v>
      </c>
      <c r="H48" s="15"/>
      <c r="I48" s="15" t="s">
        <v>103</v>
      </c>
      <c r="J48" s="15">
        <v>3</v>
      </c>
      <c r="K48" s="19">
        <f>E48+J48</f>
        <v>2007</v>
      </c>
      <c r="L48" s="34">
        <v>46500</v>
      </c>
      <c r="M48" s="34">
        <v>0</v>
      </c>
      <c r="N48" s="34">
        <f>L48-L48*G48</f>
        <v>46500</v>
      </c>
      <c r="O48" s="34">
        <f>N48/J48/12</f>
        <v>1291.6666666666667</v>
      </c>
      <c r="P48" s="34">
        <f>+O48*12</f>
        <v>15500</v>
      </c>
      <c r="Q48" s="34">
        <f t="shared" si="27"/>
        <v>0</v>
      </c>
      <c r="R48" s="34"/>
      <c r="S48" s="34">
        <f>+IF(Q48=0,N48,IF($N$4-E48&lt;1,0,(($N$4-E48)*P48)))</f>
        <v>46500</v>
      </c>
      <c r="T48" s="34">
        <f>+IF(Q48=0,S48,S48+Q48)</f>
        <v>46500</v>
      </c>
      <c r="U48" s="34">
        <f>+IF(Q48=0,0,((L48-S48)+(L48-T48))/2)</f>
        <v>0</v>
      </c>
    </row>
    <row r="49" spans="1:23">
      <c r="A49" s="110">
        <v>1</v>
      </c>
      <c r="B49" s="110">
        <v>7</v>
      </c>
      <c r="D49" s="136" t="s">
        <v>136</v>
      </c>
      <c r="E49" s="119">
        <v>2011</v>
      </c>
      <c r="F49" s="110">
        <v>8</v>
      </c>
      <c r="G49" s="137">
        <v>0</v>
      </c>
      <c r="H49" s="119"/>
      <c r="I49" s="119" t="s">
        <v>103</v>
      </c>
      <c r="J49" s="119">
        <v>3</v>
      </c>
      <c r="K49" s="123">
        <f t="shared" si="25"/>
        <v>2014</v>
      </c>
      <c r="L49" s="138">
        <f>8036.08</f>
        <v>8036.08</v>
      </c>
      <c r="M49" s="138">
        <v>0</v>
      </c>
      <c r="N49" s="138">
        <f t="shared" si="31"/>
        <v>8036.08</v>
      </c>
      <c r="O49" s="138">
        <f t="shared" si="32"/>
        <v>223.22444444444443</v>
      </c>
      <c r="P49" s="138">
        <f t="shared" si="26"/>
        <v>2678.6933333333332</v>
      </c>
      <c r="Q49" s="138">
        <f t="shared" si="27"/>
        <v>0</v>
      </c>
      <c r="R49" s="138"/>
      <c r="S49" s="138">
        <f t="shared" si="33"/>
        <v>8036.08</v>
      </c>
      <c r="T49" s="138">
        <f t="shared" si="34"/>
        <v>8036.08</v>
      </c>
      <c r="U49" s="138">
        <f t="shared" si="35"/>
        <v>0</v>
      </c>
    </row>
    <row r="50" spans="1:23">
      <c r="A50" s="110">
        <v>117102</v>
      </c>
      <c r="D50" s="136" t="s">
        <v>137</v>
      </c>
      <c r="E50" s="119">
        <v>2014</v>
      </c>
      <c r="F50" s="110">
        <v>10</v>
      </c>
      <c r="G50" s="137">
        <v>0</v>
      </c>
      <c r="H50" s="119"/>
      <c r="I50" s="119" t="s">
        <v>103</v>
      </c>
      <c r="J50" s="119">
        <v>5</v>
      </c>
      <c r="K50" s="123">
        <f t="shared" si="25"/>
        <v>2019</v>
      </c>
      <c r="L50" s="138">
        <v>3263.48</v>
      </c>
      <c r="M50" s="138">
        <v>0</v>
      </c>
      <c r="N50" s="138">
        <f t="shared" si="31"/>
        <v>3263.48</v>
      </c>
      <c r="O50" s="138">
        <f t="shared" si="32"/>
        <v>54.391333333333336</v>
      </c>
      <c r="P50" s="138">
        <f t="shared" si="26"/>
        <v>652.69600000000003</v>
      </c>
      <c r="Q50" s="138">
        <f t="shared" si="27"/>
        <v>652.69600000000003</v>
      </c>
      <c r="R50" s="138"/>
      <c r="S50" s="138">
        <f t="shared" si="33"/>
        <v>1958.0880000000002</v>
      </c>
      <c r="T50" s="138">
        <f t="shared" si="34"/>
        <v>2610.7840000000001</v>
      </c>
      <c r="U50" s="138">
        <f t="shared" si="35"/>
        <v>979.04399999999987</v>
      </c>
    </row>
    <row r="51" spans="1:23">
      <c r="B51" s="110">
        <v>7</v>
      </c>
      <c r="D51" s="136" t="s">
        <v>138</v>
      </c>
      <c r="E51" s="119">
        <v>2016</v>
      </c>
      <c r="F51" s="110">
        <v>1</v>
      </c>
      <c r="G51" s="137">
        <v>0</v>
      </c>
      <c r="H51" s="119"/>
      <c r="I51" s="119" t="s">
        <v>103</v>
      </c>
      <c r="J51" s="119">
        <v>3</v>
      </c>
      <c r="K51" s="123">
        <f t="shared" si="25"/>
        <v>2019</v>
      </c>
      <c r="L51" s="138">
        <v>5325.68</v>
      </c>
      <c r="M51" s="138">
        <v>0</v>
      </c>
      <c r="N51" s="138">
        <f t="shared" si="31"/>
        <v>5325.68</v>
      </c>
      <c r="O51" s="138">
        <f t="shared" si="32"/>
        <v>147.93555555555557</v>
      </c>
      <c r="P51" s="138">
        <f t="shared" si="26"/>
        <v>1775.2266666666669</v>
      </c>
      <c r="Q51" s="138">
        <f t="shared" si="27"/>
        <v>1775.2266666666669</v>
      </c>
      <c r="R51" s="138"/>
      <c r="S51" s="138">
        <f t="shared" si="33"/>
        <v>1775.2266666666669</v>
      </c>
      <c r="T51" s="138">
        <f t="shared" si="34"/>
        <v>3550.4533333333338</v>
      </c>
      <c r="U51" s="138">
        <f t="shared" si="35"/>
        <v>2662.84</v>
      </c>
    </row>
    <row r="52" spans="1:23" s="7" customFormat="1">
      <c r="A52" s="7" t="s">
        <v>320</v>
      </c>
      <c r="B52" s="7">
        <v>17</v>
      </c>
      <c r="D52" s="32" t="s">
        <v>312</v>
      </c>
      <c r="E52" s="15">
        <v>2017</v>
      </c>
      <c r="F52" s="7">
        <v>11</v>
      </c>
      <c r="G52" s="33">
        <v>0</v>
      </c>
      <c r="H52" s="15"/>
      <c r="I52" s="15" t="s">
        <v>103</v>
      </c>
      <c r="J52" s="15">
        <v>10</v>
      </c>
      <c r="K52" s="19">
        <f t="shared" si="25"/>
        <v>2027</v>
      </c>
      <c r="L52" s="34">
        <f>166605.8+383.91+12.81+326.4</f>
        <v>167328.91999999998</v>
      </c>
      <c r="M52" s="34">
        <v>0</v>
      </c>
      <c r="N52" s="34">
        <f t="shared" si="31"/>
        <v>167328.91999999998</v>
      </c>
      <c r="O52" s="34">
        <f t="shared" si="32"/>
        <v>1394.4076666666667</v>
      </c>
      <c r="P52" s="34">
        <f t="shared" si="26"/>
        <v>16732.892</v>
      </c>
      <c r="Q52" s="34">
        <f t="shared" si="27"/>
        <v>16732.892</v>
      </c>
      <c r="R52" s="34"/>
      <c r="S52" s="34">
        <f t="shared" si="33"/>
        <v>0</v>
      </c>
      <c r="T52" s="34">
        <f t="shared" si="34"/>
        <v>16732.892</v>
      </c>
      <c r="U52" s="34">
        <f t="shared" si="35"/>
        <v>158962.47399999999</v>
      </c>
    </row>
    <row r="53" spans="1:23" s="7" customFormat="1">
      <c r="A53" s="237"/>
      <c r="D53" s="246" t="s">
        <v>356</v>
      </c>
      <c r="E53" s="247">
        <v>2018</v>
      </c>
      <c r="F53" s="248">
        <v>4</v>
      </c>
      <c r="G53" s="249">
        <v>0</v>
      </c>
      <c r="H53" s="247"/>
      <c r="I53" s="247" t="s">
        <v>103</v>
      </c>
      <c r="J53" s="247">
        <v>10</v>
      </c>
      <c r="K53" s="250">
        <f t="shared" si="25"/>
        <v>2028</v>
      </c>
      <c r="L53" s="251">
        <v>247427</v>
      </c>
      <c r="M53" s="251">
        <v>0</v>
      </c>
      <c r="N53" s="251">
        <f t="shared" ref="N53" si="37">L53-L53*G53</f>
        <v>247427</v>
      </c>
      <c r="O53" s="251">
        <f t="shared" ref="O53" si="38">N53/J53/12</f>
        <v>2061.8916666666669</v>
      </c>
      <c r="P53" s="251">
        <f t="shared" ref="P53" si="39">+O53*12</f>
        <v>24742.700000000004</v>
      </c>
      <c r="Q53" s="251">
        <f t="shared" ref="Q53" si="40">+IF(K53&lt;=$N$4,0,IF(K53=$N$4+1,O53*F53,P53))</f>
        <v>24742.700000000004</v>
      </c>
      <c r="R53" s="251"/>
      <c r="S53" s="251">
        <f t="shared" ref="S53" si="41">+IF(Q53=0,N53,IF($N$4-E53&lt;1,0,(($N$4-E53)*P53)))</f>
        <v>0</v>
      </c>
      <c r="T53" s="251">
        <f t="shared" ref="T53" si="42">+IF(Q53=0,S53,S53+Q53)</f>
        <v>24742.700000000004</v>
      </c>
      <c r="U53" s="251">
        <f t="shared" ref="U53" si="43">+IF(Q53=0,0,((L53-S53)+(L53-T53))/2)</f>
        <v>235055.65</v>
      </c>
    </row>
    <row r="54" spans="1:23">
      <c r="D54" s="136"/>
      <c r="E54" s="119"/>
      <c r="G54" s="137"/>
      <c r="H54" s="119"/>
      <c r="I54" s="119"/>
      <c r="J54" s="119"/>
      <c r="K54" s="123"/>
      <c r="L54" s="138"/>
      <c r="M54" s="138"/>
      <c r="N54" s="139"/>
      <c r="O54" s="139"/>
      <c r="P54" s="139"/>
      <c r="Q54" s="139"/>
      <c r="R54" s="139"/>
      <c r="S54" s="139"/>
      <c r="T54" s="139"/>
      <c r="U54" s="139"/>
    </row>
    <row r="55" spans="1:23">
      <c r="D55" s="150" t="s">
        <v>139</v>
      </c>
      <c r="E55" s="151"/>
      <c r="F55" s="152"/>
      <c r="G55" s="153"/>
      <c r="H55" s="151"/>
      <c r="I55" s="151"/>
      <c r="J55" s="151"/>
      <c r="K55" s="154"/>
      <c r="L55" s="144">
        <f>SUM(L42:L54)</f>
        <v>564059.43999999994</v>
      </c>
      <c r="M55" s="144"/>
      <c r="N55" s="144">
        <f>SUM(N42:N54)</f>
        <v>564059.43999999994</v>
      </c>
      <c r="O55" s="144">
        <f>SUM(O42:O54)</f>
        <v>6482.3376555555569</v>
      </c>
      <c r="P55" s="144">
        <f>SUM(P42:P54)</f>
        <v>77788.051866666676</v>
      </c>
      <c r="Q55" s="144">
        <f>SUM(Q42:Q54)</f>
        <v>49844.171433333337</v>
      </c>
      <c r="R55" s="144"/>
      <c r="S55" s="144">
        <f>SUM(S42:S54)</f>
        <v>126625.70436666667</v>
      </c>
      <c r="T55" s="144">
        <f>SUM(T42:T54)</f>
        <v>176469.87580000001</v>
      </c>
      <c r="U55" s="144">
        <f>SUM(U42:U54)</f>
        <v>397660.00799999997</v>
      </c>
    </row>
    <row r="56" spans="1:23">
      <c r="L56" s="147"/>
      <c r="M56" s="147"/>
      <c r="N56" s="147"/>
      <c r="O56" s="147"/>
      <c r="P56" s="147"/>
      <c r="Q56" s="147"/>
      <c r="R56" s="147"/>
      <c r="S56" s="147"/>
      <c r="T56" s="147"/>
      <c r="U56" s="147"/>
    </row>
    <row r="57" spans="1:23" s="140" customFormat="1">
      <c r="G57" s="121"/>
      <c r="K57" s="145"/>
      <c r="L57" s="146"/>
      <c r="M57" s="146"/>
      <c r="N57" s="146"/>
      <c r="O57" s="146"/>
      <c r="P57" s="146"/>
      <c r="Q57" s="146"/>
      <c r="R57" s="146"/>
      <c r="S57" s="146"/>
      <c r="T57" s="146"/>
      <c r="U57" s="146"/>
    </row>
    <row r="58" spans="1:23">
      <c r="B58" s="140"/>
      <c r="D58" s="124" t="s">
        <v>326</v>
      </c>
      <c r="L58" s="147"/>
      <c r="M58" s="147"/>
      <c r="N58" s="147"/>
      <c r="O58" s="147"/>
      <c r="P58" s="147"/>
      <c r="Q58" s="147"/>
      <c r="R58" s="147"/>
      <c r="S58" s="147"/>
      <c r="T58" s="147"/>
      <c r="U58" s="147"/>
    </row>
    <row r="59" spans="1:23">
      <c r="A59" s="110">
        <v>1</v>
      </c>
      <c r="B59" s="110">
        <v>1</v>
      </c>
      <c r="C59" s="110" t="s">
        <v>120</v>
      </c>
      <c r="D59" s="136" t="s">
        <v>121</v>
      </c>
      <c r="E59" s="119">
        <v>2011</v>
      </c>
      <c r="F59" s="110">
        <v>9</v>
      </c>
      <c r="G59" s="137">
        <v>0</v>
      </c>
      <c r="H59" s="119"/>
      <c r="I59" s="119" t="s">
        <v>103</v>
      </c>
      <c r="J59" s="119">
        <v>7</v>
      </c>
      <c r="K59" s="123">
        <f>E59+J59</f>
        <v>2018</v>
      </c>
      <c r="L59" s="138">
        <f>+'2120 Depr - Orig'!P24</f>
        <v>101807.992</v>
      </c>
      <c r="M59" s="138">
        <v>0</v>
      </c>
      <c r="N59" s="139">
        <f>L59-L59*G59</f>
        <v>101807.992</v>
      </c>
      <c r="O59" s="139">
        <f>N59/J59/12</f>
        <v>1211.9999047619046</v>
      </c>
      <c r="P59" s="139">
        <f>+O59*12</f>
        <v>14543.998857142855</v>
      </c>
      <c r="Q59" s="138">
        <f t="shared" ref="Q59:Q60" si="44">+IF(K59&lt;=$N$4,0,IF(K59=$N$4+1,O59*F59,P59))</f>
        <v>10907.999142857141</v>
      </c>
      <c r="R59" s="139"/>
      <c r="S59" s="139">
        <f>+IF(Q59=0,N59,IF($N$4-E59&lt;1,0,(($N$4-E59)*P59)))</f>
        <v>87263.993142857129</v>
      </c>
      <c r="T59" s="139">
        <f>+IF(Q59=0,S59,S59+Q59)</f>
        <v>98171.992285714266</v>
      </c>
      <c r="U59" s="139">
        <f>+IF(Q59=0,0,((L59-S59)+(L59-T59))/2)</f>
        <v>9089.9992857143006</v>
      </c>
      <c r="W59" s="236"/>
    </row>
    <row r="60" spans="1:23" s="196" customFormat="1">
      <c r="B60" s="196">
        <v>1</v>
      </c>
      <c r="D60" s="197" t="s">
        <v>340</v>
      </c>
      <c r="E60" s="198">
        <v>2017</v>
      </c>
      <c r="F60" s="196">
        <v>1</v>
      </c>
      <c r="G60" s="199">
        <v>0</v>
      </c>
      <c r="H60" s="198"/>
      <c r="I60" s="198" t="s">
        <v>103</v>
      </c>
      <c r="J60" s="198">
        <f>+IF(K59-$N$4&gt;=3,K59-$N$4,3)</f>
        <v>3</v>
      </c>
      <c r="K60" s="200">
        <f t="shared" ref="K60" si="45">E60+J60</f>
        <v>2020</v>
      </c>
      <c r="L60" s="201">
        <f>+'2120 Depr - Orig'!N24-'Truck Depr - w Salvage '!L59</f>
        <v>25451.997999999992</v>
      </c>
      <c r="M60" s="201">
        <v>0</v>
      </c>
      <c r="N60" s="202">
        <f>L60-L60*G60</f>
        <v>25451.997999999992</v>
      </c>
      <c r="O60" s="202">
        <f>N60/J60/12</f>
        <v>706.99994444444428</v>
      </c>
      <c r="P60" s="202">
        <f>+O60*12</f>
        <v>8483.9993333333314</v>
      </c>
      <c r="Q60" s="201">
        <f t="shared" si="44"/>
        <v>8483.9993333333314</v>
      </c>
      <c r="R60" s="202"/>
      <c r="S60" s="202">
        <f>+IF(Q60=0,N60,IF($N$4-E60&lt;1,0,(($N$4-E60)*P60)))</f>
        <v>0</v>
      </c>
      <c r="T60" s="202">
        <f>+IF(Q60=0,S60,S60+Q60)</f>
        <v>8483.9993333333314</v>
      </c>
      <c r="U60" s="202">
        <f>+IF(U59=0,0,IF(Q60=0,0,((L60-S60)+(L60-T60))/2))</f>
        <v>21209.998333333326</v>
      </c>
    </row>
    <row r="61" spans="1:23">
      <c r="D61" s="136"/>
      <c r="E61" s="119"/>
      <c r="G61" s="137"/>
      <c r="H61" s="119"/>
      <c r="I61" s="119"/>
      <c r="J61" s="119"/>
      <c r="K61" s="123"/>
      <c r="L61" s="138"/>
      <c r="M61" s="138"/>
      <c r="N61" s="139"/>
      <c r="O61" s="139"/>
      <c r="P61" s="139"/>
      <c r="Q61" s="139"/>
      <c r="R61" s="139"/>
      <c r="S61" s="139"/>
      <c r="T61" s="139"/>
      <c r="U61" s="139"/>
    </row>
    <row r="62" spans="1:23">
      <c r="D62" s="150" t="s">
        <v>351</v>
      </c>
      <c r="E62" s="151"/>
      <c r="F62" s="152"/>
      <c r="G62" s="153"/>
      <c r="H62" s="151"/>
      <c r="I62" s="151"/>
      <c r="J62" s="151"/>
      <c r="K62" s="154"/>
      <c r="L62" s="144">
        <f>SUM(L59:L61)</f>
        <v>127259.98999999999</v>
      </c>
      <c r="M62" s="144"/>
      <c r="N62" s="144">
        <f>SUM(N59:N61)</f>
        <v>127259.98999999999</v>
      </c>
      <c r="O62" s="144">
        <f>SUM(O59:O61)</f>
        <v>1918.9998492063489</v>
      </c>
      <c r="P62" s="144">
        <f>SUM(P59:P61)</f>
        <v>23027.998190476188</v>
      </c>
      <c r="Q62" s="144">
        <f>SUM(Q59:Q61)</f>
        <v>19391.998476190471</v>
      </c>
      <c r="R62" s="144"/>
      <c r="S62" s="144">
        <f>SUM(S59:S61)</f>
        <v>87263.993142857129</v>
      </c>
      <c r="T62" s="144">
        <f>SUM(T59:T61)</f>
        <v>106655.99161904759</v>
      </c>
      <c r="U62" s="144">
        <f>SUM(U59:U61)</f>
        <v>30299.997619047626</v>
      </c>
    </row>
    <row r="63" spans="1:23">
      <c r="L63" s="147"/>
      <c r="M63" s="147"/>
      <c r="N63" s="147"/>
      <c r="O63" s="147"/>
      <c r="P63" s="147"/>
      <c r="Q63" s="147"/>
      <c r="R63" s="147"/>
      <c r="S63" s="147"/>
      <c r="T63" s="147"/>
      <c r="U63" s="147"/>
    </row>
    <row r="64" spans="1:23" s="140" customFormat="1">
      <c r="G64" s="230"/>
      <c r="K64" s="145"/>
      <c r="L64" s="146"/>
      <c r="M64" s="146"/>
      <c r="N64" s="146"/>
      <c r="O64" s="146"/>
      <c r="P64" s="146"/>
      <c r="Q64" s="146"/>
      <c r="R64" s="146"/>
      <c r="S64" s="146"/>
      <c r="T64" s="146"/>
      <c r="U64" s="146"/>
    </row>
    <row r="65" spans="1:21">
      <c r="B65" s="140"/>
      <c r="D65" s="124" t="s">
        <v>328</v>
      </c>
      <c r="L65" s="147"/>
      <c r="M65" s="147"/>
      <c r="N65" s="147"/>
      <c r="O65" s="147"/>
      <c r="P65" s="147"/>
      <c r="Q65" s="147"/>
      <c r="R65" s="147"/>
      <c r="S65" s="147"/>
      <c r="T65" s="147"/>
      <c r="U65" s="147"/>
    </row>
    <row r="66" spans="1:21">
      <c r="A66" s="110">
        <v>125548</v>
      </c>
      <c r="B66" s="110">
        <v>15</v>
      </c>
      <c r="C66" s="110" t="s">
        <v>122</v>
      </c>
      <c r="D66" s="136" t="s">
        <v>126</v>
      </c>
      <c r="E66" s="119">
        <v>2015</v>
      </c>
      <c r="F66" s="110">
        <v>9</v>
      </c>
      <c r="G66" s="137">
        <v>0</v>
      </c>
      <c r="H66" s="119"/>
      <c r="I66" s="119" t="s">
        <v>103</v>
      </c>
      <c r="J66" s="119">
        <v>7</v>
      </c>
      <c r="K66" s="123">
        <f>E66+J66</f>
        <v>2022</v>
      </c>
      <c r="L66" s="138">
        <f>+'2120 Depr - Orig'!P28</f>
        <v>178600.8</v>
      </c>
      <c r="M66" s="138"/>
      <c r="N66" s="139">
        <f>L66-L66*G66</f>
        <v>178600.8</v>
      </c>
      <c r="O66" s="139">
        <f>N66/J66/12</f>
        <v>2126.1999999999998</v>
      </c>
      <c r="P66" s="139">
        <f>+O66*12</f>
        <v>25514.399999999998</v>
      </c>
      <c r="Q66" s="138">
        <f t="shared" ref="Q66:Q67" si="46">+IF(K66&lt;=$N$4,0,IF(K66=$N$4+1,O66*F66,P66))</f>
        <v>25514.399999999998</v>
      </c>
      <c r="R66" s="139"/>
      <c r="S66" s="139">
        <f>+IF(Q66=0,N66,IF($N$4-E66&lt;1,0,(($N$4-E66)*P66)))</f>
        <v>51028.799999999996</v>
      </c>
      <c r="T66" s="139">
        <f>+IF(Q66=0,S66,S66+Q66)</f>
        <v>76543.199999999997</v>
      </c>
      <c r="U66" s="139">
        <f>+IF(Q66=0,0,((L66-S66)+(L66-T66))/2)</f>
        <v>114814.79999999999</v>
      </c>
    </row>
    <row r="67" spans="1:21" s="196" customFormat="1">
      <c r="B67" s="196">
        <v>15</v>
      </c>
      <c r="D67" s="197" t="s">
        <v>341</v>
      </c>
      <c r="E67" s="198">
        <v>2017</v>
      </c>
      <c r="F67" s="196">
        <v>1</v>
      </c>
      <c r="G67" s="199">
        <v>0</v>
      </c>
      <c r="H67" s="198"/>
      <c r="I67" s="198" t="s">
        <v>103</v>
      </c>
      <c r="J67" s="198">
        <f>+IF(K66-$N$4&gt;=3,K66-$N$4,3)</f>
        <v>5</v>
      </c>
      <c r="K67" s="200">
        <f>E67+J67</f>
        <v>2022</v>
      </c>
      <c r="L67" s="201">
        <f>+'2120 Depr - Orig'!N28-'Truck Depr - w Salvage '!L66</f>
        <v>44650.200000000012</v>
      </c>
      <c r="M67" s="201">
        <v>0</v>
      </c>
      <c r="N67" s="202">
        <f>L67-L67*G67</f>
        <v>44650.200000000012</v>
      </c>
      <c r="O67" s="202">
        <f>N67/J67/12</f>
        <v>744.17000000000019</v>
      </c>
      <c r="P67" s="202">
        <f>+O67*12</f>
        <v>8930.0400000000027</v>
      </c>
      <c r="Q67" s="201">
        <f t="shared" si="46"/>
        <v>8930.0400000000027</v>
      </c>
      <c r="R67" s="202"/>
      <c r="S67" s="202">
        <f>+IF(Q67=0,N67,IF($N$4-E67&lt;1,0,(($N$4-E67)*P67)))</f>
        <v>0</v>
      </c>
      <c r="T67" s="202">
        <f>+IF(Q67=0,S67,S67+Q67)</f>
        <v>8930.0400000000027</v>
      </c>
      <c r="U67" s="202">
        <f>+IF(U66=0,0,IF(Q67=0,0,((L67-S67)+(L67-T67))/2))</f>
        <v>40185.180000000008</v>
      </c>
    </row>
    <row r="68" spans="1:21">
      <c r="D68" s="136"/>
      <c r="E68" s="119"/>
      <c r="G68" s="137"/>
      <c r="H68" s="119"/>
      <c r="I68" s="119"/>
      <c r="J68" s="119"/>
      <c r="K68" s="123"/>
      <c r="L68" s="138"/>
      <c r="M68" s="138"/>
      <c r="N68" s="139"/>
      <c r="O68" s="139"/>
      <c r="P68" s="139"/>
      <c r="Q68" s="139"/>
      <c r="R68" s="139"/>
      <c r="S68" s="139"/>
      <c r="T68" s="139"/>
      <c r="U68" s="139"/>
    </row>
    <row r="69" spans="1:21">
      <c r="D69" s="150" t="s">
        <v>352</v>
      </c>
      <c r="E69" s="151"/>
      <c r="F69" s="152"/>
      <c r="G69" s="153"/>
      <c r="H69" s="151"/>
      <c r="I69" s="151"/>
      <c r="J69" s="151"/>
      <c r="K69" s="154"/>
      <c r="L69" s="144">
        <f>SUM(L66:L68)</f>
        <v>223251</v>
      </c>
      <c r="M69" s="144"/>
      <c r="N69" s="144">
        <f>SUM(N66:N68)</f>
        <v>223251</v>
      </c>
      <c r="O69" s="144">
        <f>SUM(O66:O68)</f>
        <v>2870.37</v>
      </c>
      <c r="P69" s="144">
        <f>SUM(P66:P68)</f>
        <v>34444.44</v>
      </c>
      <c r="Q69" s="144">
        <f>SUM(Q66:Q68)</f>
        <v>34444.44</v>
      </c>
      <c r="R69" s="144"/>
      <c r="S69" s="144">
        <f>SUM(S66:S68)</f>
        <v>51028.799999999996</v>
      </c>
      <c r="T69" s="144">
        <f>SUM(T66:T68)</f>
        <v>85473.24</v>
      </c>
      <c r="U69" s="144">
        <f>SUM(U66:U68)</f>
        <v>154999.97999999998</v>
      </c>
    </row>
    <row r="70" spans="1:21">
      <c r="L70" s="147"/>
      <c r="M70" s="147"/>
      <c r="N70" s="147"/>
      <c r="O70" s="147"/>
      <c r="P70" s="147"/>
      <c r="Q70" s="147"/>
      <c r="R70" s="147"/>
      <c r="S70" s="147"/>
      <c r="T70" s="147"/>
      <c r="U70" s="147"/>
    </row>
    <row r="71" spans="1:21">
      <c r="B71" s="140"/>
      <c r="D71" s="124" t="s">
        <v>146</v>
      </c>
      <c r="L71" s="147"/>
      <c r="M71" s="147"/>
      <c r="N71" s="147"/>
      <c r="O71" s="147"/>
      <c r="P71" s="147"/>
      <c r="Q71" s="147"/>
      <c r="R71" s="147"/>
      <c r="S71" s="147"/>
      <c r="T71" s="147"/>
      <c r="U71" s="147"/>
    </row>
    <row r="72" spans="1:21">
      <c r="B72" s="110">
        <v>25</v>
      </c>
      <c r="C72" s="110" t="s">
        <v>22</v>
      </c>
      <c r="D72" s="136" t="s">
        <v>147</v>
      </c>
      <c r="E72" s="119">
        <v>1996</v>
      </c>
      <c r="F72" s="110">
        <v>11</v>
      </c>
      <c r="G72" s="137">
        <v>0</v>
      </c>
      <c r="H72" s="119"/>
      <c r="I72" s="119" t="s">
        <v>103</v>
      </c>
      <c r="J72" s="119">
        <v>7</v>
      </c>
      <c r="K72" s="123">
        <f>E72+J72</f>
        <v>2003</v>
      </c>
      <c r="L72" s="138">
        <f>+'2120 Depr - Orig'!P58</f>
        <v>33600</v>
      </c>
      <c r="M72" s="138">
        <v>0</v>
      </c>
      <c r="N72" s="138">
        <f t="shared" ref="N72" si="47">L72-L72*G72</f>
        <v>33600</v>
      </c>
      <c r="O72" s="138">
        <f t="shared" ref="O72" si="48">N72/J72/12</f>
        <v>400</v>
      </c>
      <c r="P72" s="138">
        <f t="shared" ref="P72:P73" si="49">+O72*12</f>
        <v>4800</v>
      </c>
      <c r="Q72" s="138">
        <f t="shared" ref="Q72:Q73" si="50">+IF(K72&lt;=$N$4,0,IF(K72=$N$4+1,O72*F72,P72))</f>
        <v>0</v>
      </c>
      <c r="R72" s="138"/>
      <c r="S72" s="138">
        <f t="shared" ref="S72" si="51">+IF(Q72=0,N72,IF($N$4-E72&lt;1,0,(($N$4-E72)*P72)))</f>
        <v>33600</v>
      </c>
      <c r="T72" s="138">
        <f t="shared" ref="T72" si="52">+IF(Q72=0,S72,S72+Q72)</f>
        <v>33600</v>
      </c>
      <c r="U72" s="138">
        <f t="shared" ref="U72" si="53">+IF(Q72=0,0,((L72-S72)+(L72-T72))/2)</f>
        <v>0</v>
      </c>
    </row>
    <row r="73" spans="1:21" s="196" customFormat="1">
      <c r="B73" s="196">
        <v>25</v>
      </c>
      <c r="D73" s="197" t="s">
        <v>342</v>
      </c>
      <c r="E73" s="198">
        <v>2017</v>
      </c>
      <c r="F73" s="196">
        <v>1</v>
      </c>
      <c r="G73" s="199">
        <v>0</v>
      </c>
      <c r="H73" s="198"/>
      <c r="I73" s="198" t="s">
        <v>103</v>
      </c>
      <c r="J73" s="198">
        <f>+IF(K72-$N$4&gt;=3,K72-$N$4,3)</f>
        <v>3</v>
      </c>
      <c r="K73" s="200">
        <f t="shared" ref="K73" si="54">E73+J73</f>
        <v>2020</v>
      </c>
      <c r="L73" s="201">
        <f>+'2120 Depr - Orig'!N58-'Truck Depr - w Salvage '!L72</f>
        <v>8400</v>
      </c>
      <c r="M73" s="201">
        <v>0</v>
      </c>
      <c r="N73" s="201">
        <f t="shared" ref="N73" si="55">L73-L73*G73</f>
        <v>8400</v>
      </c>
      <c r="O73" s="201">
        <f t="shared" ref="O73" si="56">N73/J73/12</f>
        <v>233.33333333333334</v>
      </c>
      <c r="P73" s="201">
        <f t="shared" si="49"/>
        <v>2800</v>
      </c>
      <c r="Q73" s="201">
        <f t="shared" si="50"/>
        <v>2800</v>
      </c>
      <c r="R73" s="201"/>
      <c r="S73" s="201">
        <f t="shared" ref="S73" si="57">+IF(Q73=0,N73,IF($N$4-E73&lt;1,0,(($N$4-E73)*P73)))</f>
        <v>0</v>
      </c>
      <c r="T73" s="201">
        <f t="shared" ref="T73" si="58">+IF(Q73=0,S73,S73+Q73)</f>
        <v>2800</v>
      </c>
      <c r="U73" s="202">
        <f>+IF(U72=0,0,IF(Q73=0,0,((L73-S73)+(L73-T73))/2))</f>
        <v>0</v>
      </c>
    </row>
    <row r="74" spans="1:21">
      <c r="D74" s="136"/>
      <c r="E74" s="119"/>
      <c r="G74" s="137"/>
      <c r="H74" s="119"/>
      <c r="I74" s="119"/>
      <c r="J74" s="119"/>
      <c r="K74" s="123"/>
      <c r="L74" s="138"/>
      <c r="M74" s="138"/>
      <c r="N74" s="139"/>
      <c r="O74" s="139"/>
      <c r="P74" s="139"/>
      <c r="Q74" s="139"/>
      <c r="R74" s="139"/>
      <c r="S74" s="139"/>
      <c r="T74" s="139"/>
      <c r="U74" s="139"/>
    </row>
    <row r="75" spans="1:21">
      <c r="D75" s="150" t="s">
        <v>148</v>
      </c>
      <c r="E75" s="151"/>
      <c r="F75" s="152"/>
      <c r="G75" s="153"/>
      <c r="H75" s="151"/>
      <c r="I75" s="151"/>
      <c r="J75" s="151"/>
      <c r="K75" s="154"/>
      <c r="L75" s="144">
        <f>SUM(L72:L74)</f>
        <v>42000</v>
      </c>
      <c r="M75" s="144"/>
      <c r="N75" s="144">
        <f t="shared" ref="N75:P75" si="59">SUM(N72:N74)</f>
        <v>42000</v>
      </c>
      <c r="O75" s="144">
        <f t="shared" si="59"/>
        <v>633.33333333333337</v>
      </c>
      <c r="P75" s="144">
        <f t="shared" si="59"/>
        <v>7600</v>
      </c>
      <c r="Q75" s="144">
        <f>SUM(Q72:Q74)</f>
        <v>2800</v>
      </c>
      <c r="R75" s="144"/>
      <c r="S75" s="144">
        <f t="shared" ref="S75:T75" si="60">SUM(S72:S74)</f>
        <v>33600</v>
      </c>
      <c r="T75" s="144">
        <f t="shared" si="60"/>
        <v>36400</v>
      </c>
      <c r="U75" s="144">
        <f t="shared" ref="U75" si="61">SUM(U72:U74)</f>
        <v>0</v>
      </c>
    </row>
    <row r="76" spans="1:21">
      <c r="L76" s="147"/>
      <c r="M76" s="147"/>
      <c r="N76" s="147"/>
      <c r="O76" s="147"/>
      <c r="P76" s="147"/>
      <c r="Q76" s="147"/>
      <c r="R76" s="147"/>
      <c r="S76" s="147"/>
      <c r="T76" s="147"/>
      <c r="U76" s="147"/>
    </row>
    <row r="77" spans="1:21" s="140" customFormat="1" ht="12" thickBot="1">
      <c r="D77" s="155" t="s">
        <v>149</v>
      </c>
      <c r="E77" s="155"/>
      <c r="F77" s="155"/>
      <c r="G77" s="156"/>
      <c r="H77" s="155"/>
      <c r="I77" s="155"/>
      <c r="J77" s="155"/>
      <c r="K77" s="157"/>
      <c r="L77" s="158">
        <f>L75+L62+L55+L38+L69</f>
        <v>2748533.77</v>
      </c>
      <c r="M77" s="158"/>
      <c r="N77" s="158">
        <f>N75+N62+N55+N38+N69</f>
        <v>2748533.77</v>
      </c>
      <c r="O77" s="158">
        <f>O75+O62+O55+O38+O69</f>
        <v>36135.400595238098</v>
      </c>
      <c r="P77" s="158">
        <f>P75+P62+P55+P38+P69</f>
        <v>433624.80714285705</v>
      </c>
      <c r="Q77" s="158">
        <f>Q75+Q62+Q55+Q38+Q69</f>
        <v>306481.80489999993</v>
      </c>
      <c r="R77" s="158"/>
      <c r="S77" s="158">
        <f>S75+S62+S55+S38+S69</f>
        <v>990735.48493809532</v>
      </c>
      <c r="T77" s="158">
        <f>T75+T62+T55+T38+T69</f>
        <v>1297217.2898380954</v>
      </c>
      <c r="U77" s="158">
        <f>U75+U62+U55+U38+U69</f>
        <v>1439813.7340285715</v>
      </c>
    </row>
    <row r="78" spans="1:21">
      <c r="L78" s="147">
        <f>+'2120 Depr - Orig'!N62-'Truck Depr - w Salvage '!L87+SUM('Truck Depr - w Salvage '!L52:L52)-L77</f>
        <v>-516974.0299999998</v>
      </c>
      <c r="M78" s="147"/>
      <c r="N78" s="147"/>
      <c r="O78" s="147"/>
      <c r="P78" s="147"/>
      <c r="Q78" s="147"/>
      <c r="R78" s="147"/>
      <c r="S78" s="147"/>
      <c r="T78" s="147"/>
      <c r="U78" s="147"/>
    </row>
    <row r="85" spans="1:228">
      <c r="B85" s="195" t="s">
        <v>314</v>
      </c>
    </row>
    <row r="87" spans="1:228">
      <c r="A87" s="110" t="s">
        <v>142</v>
      </c>
      <c r="B87" s="110">
        <v>19</v>
      </c>
      <c r="C87" s="110" t="s">
        <v>143</v>
      </c>
      <c r="D87" s="136" t="s">
        <v>144</v>
      </c>
      <c r="E87" s="119">
        <v>2004</v>
      </c>
      <c r="F87" s="110">
        <v>3</v>
      </c>
      <c r="G87" s="137">
        <v>0.33</v>
      </c>
      <c r="H87" s="119"/>
      <c r="I87" s="119" t="s">
        <v>103</v>
      </c>
      <c r="J87" s="119">
        <v>7</v>
      </c>
      <c r="K87" s="123">
        <f t="shared" ref="K87:K93" si="62">E87+J87</f>
        <v>2011</v>
      </c>
      <c r="L87" s="138">
        <f>40000+10608.49</f>
        <v>50608.49</v>
      </c>
      <c r="M87" s="138">
        <v>0</v>
      </c>
      <c r="N87" s="138">
        <f t="shared" ref="N87" si="63">L87-L87*G87</f>
        <v>33907.688299999994</v>
      </c>
      <c r="O87" s="138">
        <f t="shared" ref="O87" si="64">N87/J87/12</f>
        <v>403.66295595238086</v>
      </c>
      <c r="P87" s="138">
        <f t="shared" ref="P87" si="65">+O87*12</f>
        <v>4843.9554714285705</v>
      </c>
      <c r="Q87" s="138">
        <f t="shared" ref="Q87" si="66">+IF(K87&lt;=$N$5,0,IF(K87=$N$5+1,O87*F87,P87))</f>
        <v>0</v>
      </c>
      <c r="R87" s="138"/>
      <c r="S87" s="138">
        <f t="shared" ref="S87" si="67">+IF(Q87=0,N87,IF($N$4-E87&lt;1,0,(($N$4-E87)*P87)))</f>
        <v>33907.688299999994</v>
      </c>
      <c r="T87" s="138">
        <f t="shared" ref="T87" si="68">+IF(Q87=0,S87,S87+Q87)</f>
        <v>33907.688299999994</v>
      </c>
      <c r="U87" s="138">
        <f t="shared" ref="U87" si="69">+IF(Q87=0,0,((L87-S87)+(L87-T87))/2)</f>
        <v>0</v>
      </c>
    </row>
    <row r="88" spans="1:228">
      <c r="A88" s="110">
        <v>1</v>
      </c>
      <c r="B88" s="110">
        <v>6</v>
      </c>
      <c r="C88" s="110" t="s">
        <v>107</v>
      </c>
      <c r="D88" s="136" t="s">
        <v>108</v>
      </c>
      <c r="E88" s="119">
        <v>2003</v>
      </c>
      <c r="F88" s="110">
        <v>6</v>
      </c>
      <c r="G88" s="137">
        <v>0</v>
      </c>
      <c r="H88" s="119"/>
      <c r="I88" s="119" t="s">
        <v>103</v>
      </c>
      <c r="J88" s="119">
        <v>7</v>
      </c>
      <c r="K88" s="123">
        <f t="shared" si="62"/>
        <v>2010</v>
      </c>
      <c r="L88" s="138">
        <f>+'2120 Depr - Orig'!P16</f>
        <v>76000</v>
      </c>
      <c r="M88" s="138">
        <v>0</v>
      </c>
      <c r="N88" s="139">
        <f t="shared" ref="N88:N94" si="70">L88-L88*G88</f>
        <v>76000</v>
      </c>
      <c r="O88" s="139">
        <f t="shared" ref="O88:O94" si="71">N88/J88/12</f>
        <v>904.7619047619047</v>
      </c>
      <c r="P88" s="139">
        <f t="shared" ref="P88:P94" si="72">+O88*12</f>
        <v>10857.142857142857</v>
      </c>
      <c r="Q88" s="139">
        <f t="shared" ref="Q88:Q94" si="73">+IF(K88&lt;=$N$5,0,IF(K88=$N$5+1,O88*F88,P88))</f>
        <v>0</v>
      </c>
      <c r="R88" s="139"/>
      <c r="S88" s="139">
        <f t="shared" ref="S88:S94" si="74">+IF(Q88=0,N88,IF($N$4-E88&lt;1,0,(($N$4-E88)*P88)))</f>
        <v>76000</v>
      </c>
      <c r="T88" s="139">
        <f t="shared" ref="T88:T94" si="75">+IF(Q88=0,S88,S88+Q88)</f>
        <v>76000</v>
      </c>
      <c r="U88" s="139">
        <f>+IF(Q88=0,0,((L88-S88)+(L88-T88))/2)</f>
        <v>0</v>
      </c>
    </row>
    <row r="89" spans="1:228" s="196" customFormat="1">
      <c r="B89" s="196">
        <v>6</v>
      </c>
      <c r="D89" s="197" t="s">
        <v>343</v>
      </c>
      <c r="E89" s="198">
        <v>2017</v>
      </c>
      <c r="F89" s="196">
        <v>1</v>
      </c>
      <c r="G89" s="199">
        <v>0</v>
      </c>
      <c r="H89" s="198"/>
      <c r="I89" s="198" t="s">
        <v>103</v>
      </c>
      <c r="J89" s="198">
        <f>+IF(K88-$N$4&gt;=3,K88-$N$4,3)</f>
        <v>3</v>
      </c>
      <c r="K89" s="200">
        <f t="shared" si="62"/>
        <v>2020</v>
      </c>
      <c r="L89" s="201">
        <f>+'2120 Depr - Orig'!N16-'Truck Depr - w Salvage '!L88</f>
        <v>19000</v>
      </c>
      <c r="M89" s="201">
        <v>0</v>
      </c>
      <c r="N89" s="202">
        <f t="shared" si="70"/>
        <v>19000</v>
      </c>
      <c r="O89" s="202">
        <f t="shared" si="71"/>
        <v>527.77777777777771</v>
      </c>
      <c r="P89" s="202">
        <f t="shared" si="72"/>
        <v>6333.3333333333321</v>
      </c>
      <c r="Q89" s="202">
        <f t="shared" si="73"/>
        <v>6333.3333333333321</v>
      </c>
      <c r="R89" s="202"/>
      <c r="S89" s="202">
        <f t="shared" si="74"/>
        <v>0</v>
      </c>
      <c r="T89" s="202">
        <f t="shared" si="75"/>
        <v>6333.3333333333321</v>
      </c>
      <c r="U89" s="202">
        <f>+IF(U88=0,0,IF(Q89=0,0,((L89-S89)+(L89-T89))/2))</f>
        <v>0</v>
      </c>
    </row>
    <row r="90" spans="1:228">
      <c r="A90" s="110">
        <v>1</v>
      </c>
      <c r="B90" s="110">
        <v>18</v>
      </c>
      <c r="C90" s="110" t="s">
        <v>101</v>
      </c>
      <c r="D90" s="136" t="s">
        <v>102</v>
      </c>
      <c r="E90" s="119">
        <v>1995</v>
      </c>
      <c r="F90" s="110">
        <v>6</v>
      </c>
      <c r="G90" s="137">
        <v>0</v>
      </c>
      <c r="H90" s="119"/>
      <c r="I90" s="119" t="s">
        <v>103</v>
      </c>
      <c r="J90" s="119">
        <v>5</v>
      </c>
      <c r="K90" s="123">
        <f t="shared" si="62"/>
        <v>2000</v>
      </c>
      <c r="L90" s="138"/>
      <c r="M90" s="138">
        <v>0</v>
      </c>
      <c r="N90" s="139">
        <f t="shared" si="70"/>
        <v>0</v>
      </c>
      <c r="O90" s="139">
        <f t="shared" si="71"/>
        <v>0</v>
      </c>
      <c r="P90" s="139">
        <f t="shared" si="72"/>
        <v>0</v>
      </c>
      <c r="Q90" s="139">
        <f t="shared" si="73"/>
        <v>0</v>
      </c>
      <c r="R90" s="139"/>
      <c r="S90" s="139">
        <f t="shared" si="74"/>
        <v>0</v>
      </c>
      <c r="T90" s="139">
        <f t="shared" si="75"/>
        <v>0</v>
      </c>
      <c r="U90" s="139">
        <f>+IF(Q90=0,0,((L90-S90)+(L90-T90))/2)</f>
        <v>0</v>
      </c>
      <c r="HT90" s="110">
        <f>SUM(B90:HS90)</f>
        <v>4024</v>
      </c>
    </row>
    <row r="91" spans="1:228">
      <c r="A91" s="110">
        <v>1</v>
      </c>
      <c r="B91" s="110">
        <v>15</v>
      </c>
      <c r="C91" s="110" t="s">
        <v>101</v>
      </c>
      <c r="D91" s="136" t="s">
        <v>104</v>
      </c>
      <c r="E91" s="119">
        <v>1997</v>
      </c>
      <c r="F91" s="110">
        <v>3</v>
      </c>
      <c r="G91" s="137">
        <v>0</v>
      </c>
      <c r="H91" s="119"/>
      <c r="I91" s="119" t="s">
        <v>103</v>
      </c>
      <c r="J91" s="119">
        <v>7</v>
      </c>
      <c r="K91" s="123">
        <f t="shared" si="62"/>
        <v>2004</v>
      </c>
      <c r="L91" s="138">
        <f>+'2120 Depr - Orig'!P13</f>
        <v>1264</v>
      </c>
      <c r="M91" s="138">
        <v>0</v>
      </c>
      <c r="N91" s="139">
        <f t="shared" si="70"/>
        <v>1264</v>
      </c>
      <c r="O91" s="139">
        <f t="shared" si="71"/>
        <v>15.047619047619049</v>
      </c>
      <c r="P91" s="139">
        <f t="shared" si="72"/>
        <v>180.57142857142858</v>
      </c>
      <c r="Q91" s="139">
        <f t="shared" si="73"/>
        <v>0</v>
      </c>
      <c r="R91" s="139"/>
      <c r="S91" s="139">
        <f t="shared" si="74"/>
        <v>1264</v>
      </c>
      <c r="T91" s="139">
        <f t="shared" si="75"/>
        <v>1264</v>
      </c>
      <c r="U91" s="139">
        <f>+IF(Q91=0,0,((L91-S91)+(L91-T91))/2)</f>
        <v>0</v>
      </c>
    </row>
    <row r="92" spans="1:228" s="196" customFormat="1">
      <c r="B92" s="196">
        <v>15</v>
      </c>
      <c r="D92" s="197" t="s">
        <v>341</v>
      </c>
      <c r="E92" s="198">
        <v>2017</v>
      </c>
      <c r="F92" s="196">
        <v>1</v>
      </c>
      <c r="G92" s="199">
        <v>0</v>
      </c>
      <c r="H92" s="198"/>
      <c r="I92" s="198" t="s">
        <v>103</v>
      </c>
      <c r="J92" s="198">
        <f>+IF(K91-$N$4&gt;=3,K91-$N$4,3)</f>
        <v>3</v>
      </c>
      <c r="K92" s="200">
        <f t="shared" si="62"/>
        <v>2020</v>
      </c>
      <c r="L92" s="201">
        <f>+'2120 Depr - Orig'!N13-'Truck Depr - w Salvage '!L91</f>
        <v>316</v>
      </c>
      <c r="M92" s="201">
        <v>0</v>
      </c>
      <c r="N92" s="202">
        <f t="shared" si="70"/>
        <v>316</v>
      </c>
      <c r="O92" s="202">
        <f t="shared" si="71"/>
        <v>8.7777777777777768</v>
      </c>
      <c r="P92" s="202">
        <f t="shared" si="72"/>
        <v>105.33333333333331</v>
      </c>
      <c r="Q92" s="202">
        <f t="shared" si="73"/>
        <v>105.33333333333331</v>
      </c>
      <c r="R92" s="202"/>
      <c r="S92" s="202">
        <f t="shared" si="74"/>
        <v>0</v>
      </c>
      <c r="T92" s="202">
        <f t="shared" si="75"/>
        <v>105.33333333333331</v>
      </c>
      <c r="U92" s="202">
        <f>+IF(U91=0,0,IF(Q92=0,0,((L92-S92)+(L92-T92))/2))</f>
        <v>0</v>
      </c>
    </row>
    <row r="93" spans="1:228">
      <c r="A93" s="110">
        <v>1</v>
      </c>
      <c r="B93" s="110">
        <v>74</v>
      </c>
      <c r="C93" s="110" t="s">
        <v>107</v>
      </c>
      <c r="D93" s="136" t="s">
        <v>108</v>
      </c>
      <c r="E93" s="119">
        <v>2002</v>
      </c>
      <c r="F93" s="110">
        <v>9</v>
      </c>
      <c r="G93" s="137">
        <v>0</v>
      </c>
      <c r="H93" s="119"/>
      <c r="I93" s="119" t="s">
        <v>103</v>
      </c>
      <c r="J93" s="119">
        <v>7</v>
      </c>
      <c r="K93" s="123">
        <f t="shared" si="62"/>
        <v>2009</v>
      </c>
      <c r="L93" s="138">
        <f>+'2120 Depr - Orig'!P15</f>
        <v>80124.800000000003</v>
      </c>
      <c r="M93" s="138">
        <v>0</v>
      </c>
      <c r="N93" s="139">
        <f t="shared" si="70"/>
        <v>80124.800000000003</v>
      </c>
      <c r="O93" s="139">
        <f t="shared" si="71"/>
        <v>953.86666666666667</v>
      </c>
      <c r="P93" s="139">
        <f t="shared" si="72"/>
        <v>11446.4</v>
      </c>
      <c r="Q93" s="139">
        <f t="shared" si="73"/>
        <v>0</v>
      </c>
      <c r="R93" s="139"/>
      <c r="S93" s="139">
        <f t="shared" si="74"/>
        <v>80124.800000000003</v>
      </c>
      <c r="T93" s="139">
        <f t="shared" si="75"/>
        <v>80124.800000000003</v>
      </c>
      <c r="U93" s="139">
        <f>+IF(Q93=0,0,((L93-S93)+(L93-T93))/2)</f>
        <v>0</v>
      </c>
    </row>
    <row r="94" spans="1:228" s="196" customFormat="1">
      <c r="B94" s="196">
        <v>74</v>
      </c>
      <c r="D94" s="197" t="s">
        <v>344</v>
      </c>
      <c r="E94" s="198">
        <v>2017</v>
      </c>
      <c r="F94" s="196">
        <v>1</v>
      </c>
      <c r="G94" s="199">
        <v>0</v>
      </c>
      <c r="H94" s="198"/>
      <c r="I94" s="198" t="s">
        <v>103</v>
      </c>
      <c r="J94" s="198">
        <f>+IF(K93-$N$4&gt;=3,K93-$N$4,3)</f>
        <v>3</v>
      </c>
      <c r="K94" s="200">
        <f t="shared" ref="K94" si="76">E94+J94</f>
        <v>2020</v>
      </c>
      <c r="L94" s="201">
        <f>+'2120 Depr - Orig'!N15-'Truck Depr - w Salvage '!L93</f>
        <v>20031.199999999997</v>
      </c>
      <c r="M94" s="201">
        <v>0</v>
      </c>
      <c r="N94" s="202">
        <f t="shared" si="70"/>
        <v>20031.199999999997</v>
      </c>
      <c r="O94" s="202">
        <f t="shared" si="71"/>
        <v>556.4222222222221</v>
      </c>
      <c r="P94" s="202">
        <f t="shared" si="72"/>
        <v>6677.0666666666657</v>
      </c>
      <c r="Q94" s="202">
        <f t="shared" si="73"/>
        <v>6677.0666666666657</v>
      </c>
      <c r="R94" s="202"/>
      <c r="S94" s="202">
        <f t="shared" si="74"/>
        <v>0</v>
      </c>
      <c r="T94" s="202">
        <f t="shared" si="75"/>
        <v>6677.0666666666657</v>
      </c>
      <c r="U94" s="202">
        <f>+IF(U93=0,0,IF(Q94=0,0,((L94-S94)+(L94-T94))/2))</f>
        <v>0</v>
      </c>
    </row>
    <row r="95" spans="1:228">
      <c r="B95" s="110">
        <v>65</v>
      </c>
      <c r="C95" s="110" t="s">
        <v>109</v>
      </c>
      <c r="D95" s="136" t="s">
        <v>141</v>
      </c>
      <c r="E95" s="119">
        <v>2002</v>
      </c>
      <c r="F95" s="110">
        <v>6</v>
      </c>
      <c r="G95" s="137">
        <v>0</v>
      </c>
      <c r="H95" s="119"/>
      <c r="I95" s="119" t="s">
        <v>103</v>
      </c>
      <c r="J95" s="119">
        <v>7</v>
      </c>
      <c r="K95" s="123">
        <f>E95+J95</f>
        <v>2009</v>
      </c>
      <c r="L95" s="138">
        <f>+'2120 Depr - Orig'!P52</f>
        <v>44000</v>
      </c>
      <c r="M95" s="138">
        <v>0</v>
      </c>
      <c r="N95" s="138">
        <f t="shared" ref="N95:N96" si="77">L95-L95*G95</f>
        <v>44000</v>
      </c>
      <c r="O95" s="138">
        <f t="shared" ref="O95:O96" si="78">N95/J95/12</f>
        <v>523.80952380952374</v>
      </c>
      <c r="P95" s="138">
        <f t="shared" ref="P95:P96" si="79">+O95*12</f>
        <v>6285.7142857142844</v>
      </c>
      <c r="Q95" s="138">
        <f t="shared" ref="Q95:Q96" si="80">+IF(K95&lt;=$N$5,0,IF(K95=$N$5+1,O95*F95,P95))</f>
        <v>0</v>
      </c>
      <c r="R95" s="138"/>
      <c r="S95" s="138">
        <f t="shared" ref="S95:S96" si="81">+IF(Q95=0,N95,IF($N$4-E95&lt;1,0,(($N$4-E95)*P95)))</f>
        <v>44000</v>
      </c>
      <c r="T95" s="138">
        <f t="shared" ref="T95:T96" si="82">+IF(Q95=0,S95,S95+Q95)</f>
        <v>44000</v>
      </c>
      <c r="U95" s="138">
        <f t="shared" ref="U95" si="83">+IF(Q95=0,0,((L95-S95)+(L95-T95))/2)</f>
        <v>0</v>
      </c>
    </row>
    <row r="96" spans="1:228" s="196" customFormat="1">
      <c r="B96" s="196">
        <v>65</v>
      </c>
      <c r="D96" s="197" t="s">
        <v>345</v>
      </c>
      <c r="E96" s="198">
        <v>2017</v>
      </c>
      <c r="F96" s="196">
        <v>1</v>
      </c>
      <c r="G96" s="199">
        <v>0</v>
      </c>
      <c r="H96" s="198"/>
      <c r="I96" s="198" t="s">
        <v>103</v>
      </c>
      <c r="J96" s="198">
        <f>+IF(K95-$N$4&gt;=3,K95-$N$4,3)</f>
        <v>3</v>
      </c>
      <c r="K96" s="200">
        <f t="shared" ref="K96" si="84">E96+J96</f>
        <v>2020</v>
      </c>
      <c r="L96" s="201">
        <f>+'2120 Depr - Orig'!N52-'Truck Depr - w Salvage '!L95</f>
        <v>11000</v>
      </c>
      <c r="M96" s="201">
        <v>0</v>
      </c>
      <c r="N96" s="201">
        <f t="shared" si="77"/>
        <v>11000</v>
      </c>
      <c r="O96" s="201">
        <f t="shared" si="78"/>
        <v>305.55555555555554</v>
      </c>
      <c r="P96" s="201">
        <f t="shared" si="79"/>
        <v>3666.6666666666665</v>
      </c>
      <c r="Q96" s="201">
        <f t="shared" si="80"/>
        <v>3666.6666666666665</v>
      </c>
      <c r="R96" s="201"/>
      <c r="S96" s="201">
        <f t="shared" si="81"/>
        <v>0</v>
      </c>
      <c r="T96" s="201">
        <f t="shared" si="82"/>
        <v>3666.6666666666665</v>
      </c>
      <c r="U96" s="202">
        <f>+IF(U95=0,0,IF(Q96=0,0,((L96-S96)+(L96-T96))/2))</f>
        <v>0</v>
      </c>
    </row>
    <row r="97" spans="1:21">
      <c r="A97" s="110">
        <v>1</v>
      </c>
      <c r="B97" s="110">
        <v>33</v>
      </c>
      <c r="C97" s="110" t="s">
        <v>21</v>
      </c>
      <c r="D97" s="136" t="s">
        <v>133</v>
      </c>
      <c r="E97" s="119">
        <v>1999</v>
      </c>
      <c r="F97" s="110">
        <v>7</v>
      </c>
      <c r="G97" s="137">
        <v>0</v>
      </c>
      <c r="H97" s="119"/>
      <c r="I97" s="119" t="s">
        <v>103</v>
      </c>
      <c r="J97" s="119">
        <v>7</v>
      </c>
      <c r="K97" s="123">
        <f>E97+J97</f>
        <v>2006</v>
      </c>
      <c r="L97" s="138">
        <f>+'2120 Depr - Orig'!P40</f>
        <v>10112</v>
      </c>
      <c r="M97" s="138">
        <v>0</v>
      </c>
      <c r="N97" s="138">
        <f>L97-L97*G97</f>
        <v>10112</v>
      </c>
      <c r="O97" s="138">
        <f>N97/J97/12</f>
        <v>120.38095238095239</v>
      </c>
      <c r="P97" s="138">
        <f>+O97*12</f>
        <v>1444.5714285714287</v>
      </c>
      <c r="Q97" s="138">
        <f>+IF(K97&lt;=$N$4,0,IF(K97=$N$4+1,O97*F97,P97))</f>
        <v>0</v>
      </c>
      <c r="R97" s="138"/>
      <c r="S97" s="138">
        <f>+IF(Q97=0,N97,IF($N$4-E97&lt;1,0,(($N$4-E97)*P97)))</f>
        <v>10112</v>
      </c>
      <c r="T97" s="138">
        <f>+IF(Q97=0,S97,S97+Q97)</f>
        <v>10112</v>
      </c>
      <c r="U97" s="138">
        <f>+IF(Q97=0,0,((L97-S97)+(L97-T97))/2)</f>
        <v>0</v>
      </c>
    </row>
    <row r="98" spans="1:21" s="196" customFormat="1">
      <c r="B98" s="196">
        <v>33</v>
      </c>
      <c r="D98" s="197" t="s">
        <v>339</v>
      </c>
      <c r="E98" s="198">
        <v>2017</v>
      </c>
      <c r="F98" s="196">
        <v>1</v>
      </c>
      <c r="G98" s="199">
        <v>0</v>
      </c>
      <c r="H98" s="198"/>
      <c r="I98" s="198" t="s">
        <v>103</v>
      </c>
      <c r="J98" s="198">
        <f>+IF(K97-$N$4&gt;=3,K97-$N$4,3)</f>
        <v>3</v>
      </c>
      <c r="K98" s="200">
        <f>E98+J98</f>
        <v>2020</v>
      </c>
      <c r="L98" s="201">
        <f>+'2120 Depr - Orig'!N40-'Truck Depr - w Salvage '!L97</f>
        <v>2528</v>
      </c>
      <c r="M98" s="201">
        <v>0</v>
      </c>
      <c r="N98" s="201">
        <f>L98-L98*G98</f>
        <v>2528</v>
      </c>
      <c r="O98" s="201">
        <f>N98/J98/12</f>
        <v>70.222222222222214</v>
      </c>
      <c r="P98" s="201">
        <f>+O98*12</f>
        <v>842.66666666666652</v>
      </c>
      <c r="Q98" s="201">
        <f>+IF(K98&lt;=$N$4,0,IF(K98=$N$4+1,O98*F98,P98))</f>
        <v>842.66666666666652</v>
      </c>
      <c r="R98" s="201"/>
      <c r="S98" s="201">
        <f>+IF(Q98=0,N98,IF($N$4-E98&lt;1,0,(($N$4-E98)*P98)))</f>
        <v>0</v>
      </c>
      <c r="T98" s="201">
        <f>+IF(Q98=0,S98,S98+Q98)</f>
        <v>842.66666666666652</v>
      </c>
      <c r="U98" s="202">
        <f>+IF(U97=0,0,IF(Q98=0,0,((L98-S98)+(L98-T98))/2))</f>
        <v>0</v>
      </c>
    </row>
    <row r="99" spans="1:21">
      <c r="B99" s="110">
        <v>33</v>
      </c>
      <c r="D99" s="136" t="s">
        <v>134</v>
      </c>
      <c r="E99" s="119">
        <v>1999</v>
      </c>
      <c r="F99" s="110">
        <v>10</v>
      </c>
      <c r="G99" s="137">
        <v>0</v>
      </c>
      <c r="H99" s="119"/>
      <c r="I99" s="119" t="s">
        <v>103</v>
      </c>
      <c r="J99" s="119">
        <v>7</v>
      </c>
      <c r="K99" s="123">
        <f>E99+J99</f>
        <v>2006</v>
      </c>
      <c r="L99" s="138">
        <v>7829.22</v>
      </c>
      <c r="M99" s="138">
        <v>0</v>
      </c>
      <c r="N99" s="138">
        <f>L99-L99*G99</f>
        <v>7829.22</v>
      </c>
      <c r="O99" s="138">
        <f>N99/J99/12</f>
        <v>93.204999999999998</v>
      </c>
      <c r="P99" s="138">
        <f>+O99*12</f>
        <v>1118.46</v>
      </c>
      <c r="Q99" s="138">
        <f>+IF(K99&lt;=$N$4,0,IF(K99=$N$4+1,O99*F99,P99))</f>
        <v>0</v>
      </c>
      <c r="R99" s="138"/>
      <c r="S99" s="138">
        <f>+IF(Q99=0,N99,IF($N$4-E99&lt;1,0,(($N$4-E99)*P99)))</f>
        <v>7829.22</v>
      </c>
      <c r="T99" s="138">
        <f>+IF(Q99=0,S99,S99+Q99)</f>
        <v>7829.22</v>
      </c>
      <c r="U99" s="138">
        <f>+IF(Q99=0,0,((L99-S99)+(L99-T99))/2)</f>
        <v>0</v>
      </c>
    </row>
    <row r="100" spans="1:21">
      <c r="B100" s="110">
        <v>33</v>
      </c>
      <c r="D100" s="136" t="s">
        <v>135</v>
      </c>
      <c r="E100" s="119">
        <v>2000</v>
      </c>
      <c r="F100" s="110">
        <v>7</v>
      </c>
      <c r="G100" s="137">
        <v>0</v>
      </c>
      <c r="H100" s="119"/>
      <c r="I100" s="119" t="s">
        <v>103</v>
      </c>
      <c r="J100" s="119">
        <v>7</v>
      </c>
      <c r="K100" s="123">
        <f>E100+J100</f>
        <v>2007</v>
      </c>
      <c r="L100" s="138">
        <v>713.75</v>
      </c>
      <c r="M100" s="138">
        <v>0</v>
      </c>
      <c r="N100" s="138">
        <f>L100-L100*G100</f>
        <v>713.75</v>
      </c>
      <c r="O100" s="138">
        <f>N100/J100/12</f>
        <v>8.4970238095238084</v>
      </c>
      <c r="P100" s="138">
        <f>+O100*12</f>
        <v>101.96428571428569</v>
      </c>
      <c r="Q100" s="138">
        <f>+IF(K100&lt;=$N$4,0,IF(K100=$N$4+1,O100*F100,P100))</f>
        <v>0</v>
      </c>
      <c r="R100" s="138"/>
      <c r="S100" s="138">
        <f>+IF(Q100=0,N100,IF($N$4-E100&lt;1,0,(($N$4-E100)*P100)))</f>
        <v>713.75</v>
      </c>
      <c r="T100" s="138">
        <f>+IF(Q100=0,S100,S100+Q100)</f>
        <v>713.75</v>
      </c>
      <c r="U100" s="138">
        <f>+IF(Q100=0,0,((L100-S100)+(L100-T100))/2)</f>
        <v>0</v>
      </c>
    </row>
    <row r="101" spans="1:21">
      <c r="B101" s="110">
        <v>33</v>
      </c>
      <c r="C101" s="119" t="s">
        <v>112</v>
      </c>
      <c r="D101" s="136" t="s">
        <v>113</v>
      </c>
      <c r="E101" s="119">
        <v>2005</v>
      </c>
      <c r="F101" s="110">
        <v>1</v>
      </c>
      <c r="G101" s="137">
        <v>0</v>
      </c>
      <c r="H101" s="119"/>
      <c r="I101" s="119" t="s">
        <v>103</v>
      </c>
      <c r="J101" s="119">
        <v>3</v>
      </c>
      <c r="K101" s="123">
        <f>E101+J101</f>
        <v>2008</v>
      </c>
      <c r="L101" s="138">
        <v>5417</v>
      </c>
      <c r="M101" s="138">
        <v>0</v>
      </c>
      <c r="N101" s="138">
        <f>L101-L101*G101</f>
        <v>5417</v>
      </c>
      <c r="O101" s="138">
        <f>N101/J101/12</f>
        <v>150.47222222222223</v>
      </c>
      <c r="P101" s="138">
        <f>+O101*12</f>
        <v>1805.6666666666667</v>
      </c>
      <c r="Q101" s="138">
        <f>+IF(K101&lt;=$N$4,0,IF(K101=$N$4+1,O101*F101,P101))</f>
        <v>0</v>
      </c>
      <c r="R101" s="138"/>
      <c r="S101" s="138">
        <f>+IF(Q101=0,N101,IF($N$4-E101&lt;1,0,(($N$4-E101)*P101)))</f>
        <v>5417</v>
      </c>
      <c r="T101" s="138">
        <f>+IF(Q101=0,S101,S101+Q101)</f>
        <v>5417</v>
      </c>
      <c r="U101" s="138">
        <f>+IF(Q101=0,0,((L101-S101)+(L101-T101))/2)</f>
        <v>0</v>
      </c>
    </row>
  </sheetData>
  <mergeCells count="3">
    <mergeCell ref="F1:G1"/>
    <mergeCell ref="F2:G2"/>
    <mergeCell ref="B3:C3"/>
  </mergeCells>
  <pageMargins left="0.5" right="0.5" top="0.5" bottom="0.55000000000000004" header="0.5" footer="0.5"/>
  <pageSetup scale="78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BK298"/>
  <sheetViews>
    <sheetView showGridLines="0" tabSelected="1" view="pageBreakPreview" topLeftCell="B1" zoomScaleNormal="100" zoomScaleSheetLayoutView="100" workbookViewId="0">
      <pane ySplit="11" topLeftCell="A42" activePane="bottomLeft" state="frozen"/>
      <selection activeCell="A50" sqref="A50:XFD71"/>
      <selection pane="bottomLeft" activeCell="A50" sqref="A50:XFD71"/>
    </sheetView>
  </sheetViews>
  <sheetFormatPr defaultColWidth="10.7109375" defaultRowHeight="11.25" outlineLevelCol="1"/>
  <cols>
    <col min="1" max="1" width="7.5703125" style="110" hidden="1" customWidth="1" outlineLevel="1"/>
    <col min="2" max="2" width="8" style="110" customWidth="1" collapsed="1"/>
    <col min="3" max="3" width="8" style="110" customWidth="1"/>
    <col min="4" max="4" width="27.28515625" style="110" customWidth="1"/>
    <col min="5" max="5" width="7.28515625" style="110" bestFit="1" customWidth="1"/>
    <col min="6" max="6" width="3.42578125" style="110" bestFit="1" customWidth="1"/>
    <col min="7" max="7" width="6.85546875" style="119" customWidth="1"/>
    <col min="8" max="8" width="1.42578125" style="110" customWidth="1"/>
    <col min="9" max="9" width="6.42578125" style="110" customWidth="1"/>
    <col min="10" max="10" width="5.5703125" style="110" bestFit="1" customWidth="1"/>
    <col min="11" max="11" width="5" style="113" bestFit="1" customWidth="1"/>
    <col min="12" max="12" width="5.7109375" style="110" hidden="1" customWidth="1"/>
    <col min="13" max="13" width="3.85546875" style="110" hidden="1" customWidth="1"/>
    <col min="14" max="14" width="8.42578125" style="114" bestFit="1" customWidth="1"/>
    <col min="15" max="15" width="7" style="110" hidden="1" customWidth="1"/>
    <col min="16" max="16" width="8.140625" style="110" customWidth="1"/>
    <col min="17" max="17" width="7" style="110" customWidth="1"/>
    <col min="18" max="18" width="7.85546875" style="110" customWidth="1"/>
    <col min="19" max="19" width="6.42578125" style="110" hidden="1" customWidth="1"/>
    <col min="20" max="20" width="7.7109375" style="110" customWidth="1"/>
    <col min="21" max="21" width="5.140625" style="110" bestFit="1" customWidth="1"/>
    <col min="22" max="22" width="8.5703125" style="110" customWidth="1"/>
    <col min="23" max="23" width="1.5703125" style="110" customWidth="1"/>
    <col min="24" max="25" width="10.28515625" style="110" customWidth="1"/>
    <col min="26" max="26" width="5.140625" style="110" customWidth="1"/>
    <col min="27" max="28" width="8" style="110" customWidth="1"/>
    <col min="29" max="29" width="9.5703125" style="110" customWidth="1"/>
    <col min="30" max="31" width="7" style="110" hidden="1" customWidth="1"/>
    <col min="32" max="32" width="7.28515625" style="110" hidden="1" customWidth="1"/>
    <col min="33" max="33" width="7" style="110" hidden="1" customWidth="1"/>
    <col min="34" max="34" width="4.5703125" style="110" hidden="1" customWidth="1"/>
    <col min="35" max="57" width="10.7109375" style="110" customWidth="1"/>
    <col min="58" max="58" width="1.85546875" style="110" bestFit="1" customWidth="1"/>
    <col min="59" max="59" width="35.7109375" style="110" bestFit="1" customWidth="1"/>
    <col min="60" max="61" width="10.7109375" style="110" customWidth="1"/>
    <col min="62" max="62" width="2.7109375" style="110" bestFit="1" customWidth="1"/>
    <col min="63" max="63" width="12.140625" style="110" bestFit="1" customWidth="1"/>
    <col min="64" max="239" width="10.7109375" style="110"/>
    <col min="240" max="240" width="7.85546875" style="110" bestFit="1" customWidth="1"/>
    <col min="241" max="241" width="5.28515625" style="110" customWidth="1"/>
    <col min="242" max="242" width="6.42578125" style="110" customWidth="1"/>
    <col min="243" max="243" width="22" style="110" customWidth="1"/>
    <col min="244" max="244" width="7.5703125" style="110" bestFit="1" customWidth="1"/>
    <col min="245" max="245" width="4.42578125" style="110" customWidth="1"/>
    <col min="246" max="246" width="7.42578125" style="110" bestFit="1" customWidth="1"/>
    <col min="247" max="247" width="2.85546875" style="110" bestFit="1" customWidth="1"/>
    <col min="248" max="248" width="7" style="110" bestFit="1" customWidth="1"/>
    <col min="249" max="249" width="5.7109375" style="110" bestFit="1" customWidth="1"/>
    <col min="250" max="250" width="7.85546875" style="110" bestFit="1" customWidth="1"/>
    <col min="251" max="252" width="0" style="110" hidden="1" customWidth="1"/>
    <col min="253" max="253" width="12.5703125" style="110" customWidth="1"/>
    <col min="254" max="254" width="0" style="110" hidden="1" customWidth="1"/>
    <col min="255" max="255" width="11" style="110" customWidth="1"/>
    <col min="256" max="256" width="9.140625" style="110" customWidth="1"/>
    <col min="257" max="257" width="9.85546875" style="110" customWidth="1"/>
    <col min="258" max="261" width="0" style="110" hidden="1" customWidth="1"/>
    <col min="262" max="262" width="1.5703125" style="110" customWidth="1"/>
    <col min="263" max="265" width="0" style="110" hidden="1" customWidth="1"/>
    <col min="266" max="266" width="10.42578125" style="110" customWidth="1"/>
    <col min="267" max="268" width="11" style="110" customWidth="1"/>
    <col min="269" max="269" width="9.42578125" style="110" customWidth="1"/>
    <col min="270" max="270" width="10" style="110" customWidth="1"/>
    <col min="271" max="271" width="11" style="110" customWidth="1"/>
    <col min="272" max="272" width="9.5703125" style="110" customWidth="1"/>
    <col min="273" max="273" width="10.140625" style="110" customWidth="1"/>
    <col min="274" max="313" width="10.7109375" style="110" customWidth="1"/>
    <col min="314" max="314" width="1.85546875" style="110" bestFit="1" customWidth="1"/>
    <col min="315" max="315" width="34.5703125" style="110" bestFit="1" customWidth="1"/>
    <col min="316" max="317" width="10.7109375" style="110" customWidth="1"/>
    <col min="318" max="318" width="2.7109375" style="110" bestFit="1" customWidth="1"/>
    <col min="319" max="319" width="11.5703125" style="110" bestFit="1" customWidth="1"/>
    <col min="320" max="496" width="10.7109375" style="110"/>
    <col min="497" max="497" width="5.28515625" style="110" customWidth="1"/>
    <col min="498" max="498" width="6.42578125" style="110" customWidth="1"/>
    <col min="499" max="499" width="22" style="110" customWidth="1"/>
    <col min="500" max="500" width="7.5703125" style="110" bestFit="1" customWidth="1"/>
    <col min="501" max="501" width="4.42578125" style="110" customWidth="1"/>
    <col min="502" max="502" width="7.42578125" style="110" bestFit="1" customWidth="1"/>
    <col min="503" max="503" width="2.85546875" style="110" bestFit="1" customWidth="1"/>
    <col min="504" max="504" width="7" style="110" bestFit="1" customWidth="1"/>
    <col min="505" max="505" width="5.7109375" style="110" bestFit="1" customWidth="1"/>
    <col min="506" max="506" width="7.85546875" style="110" bestFit="1" customWidth="1"/>
    <col min="507" max="508" width="0" style="110" hidden="1" customWidth="1"/>
    <col min="509" max="509" width="12.5703125" style="110" customWidth="1"/>
    <col min="510" max="510" width="0" style="110" hidden="1" customWidth="1"/>
    <col min="511" max="511" width="11" style="110" customWidth="1"/>
    <col min="512" max="512" width="9.140625" style="110" customWidth="1"/>
    <col min="513" max="513" width="9.85546875" style="110" customWidth="1"/>
    <col min="514" max="517" width="0" style="110" hidden="1" customWidth="1"/>
    <col min="518" max="518" width="1.5703125" style="110" customWidth="1"/>
    <col min="519" max="521" width="0" style="110" hidden="1" customWidth="1"/>
    <col min="522" max="522" width="10.42578125" style="110" customWidth="1"/>
    <col min="523" max="524" width="11" style="110" customWidth="1"/>
    <col min="525" max="525" width="9.42578125" style="110" customWidth="1"/>
    <col min="526" max="526" width="10" style="110" customWidth="1"/>
    <col min="527" max="527" width="11" style="110" customWidth="1"/>
    <col min="528" max="528" width="9.5703125" style="110" customWidth="1"/>
    <col min="529" max="529" width="10.140625" style="110" customWidth="1"/>
    <col min="530" max="569" width="10.7109375" style="110" customWidth="1"/>
    <col min="570" max="570" width="1.85546875" style="110" bestFit="1" customWidth="1"/>
    <col min="571" max="571" width="34.5703125" style="110" bestFit="1" customWidth="1"/>
    <col min="572" max="573" width="10.7109375" style="110" customWidth="1"/>
    <col min="574" max="574" width="2.7109375" style="110" bestFit="1" customWidth="1"/>
    <col min="575" max="575" width="11.5703125" style="110" bestFit="1" customWidth="1"/>
    <col min="576" max="752" width="10.7109375" style="110"/>
    <col min="753" max="753" width="5.28515625" style="110" customWidth="1"/>
    <col min="754" max="754" width="6.42578125" style="110" customWidth="1"/>
    <col min="755" max="755" width="22" style="110" customWidth="1"/>
    <col min="756" max="756" width="7.5703125" style="110" bestFit="1" customWidth="1"/>
    <col min="757" max="757" width="4.42578125" style="110" customWidth="1"/>
    <col min="758" max="758" width="7.42578125" style="110" bestFit="1" customWidth="1"/>
    <col min="759" max="759" width="2.85546875" style="110" bestFit="1" customWidth="1"/>
    <col min="760" max="760" width="7" style="110" bestFit="1" customWidth="1"/>
    <col min="761" max="761" width="5.7109375" style="110" bestFit="1" customWidth="1"/>
    <col min="762" max="762" width="7.85546875" style="110" bestFit="1" customWidth="1"/>
    <col min="763" max="764" width="0" style="110" hidden="1" customWidth="1"/>
    <col min="765" max="765" width="12.5703125" style="110" customWidth="1"/>
    <col min="766" max="766" width="0" style="110" hidden="1" customWidth="1"/>
    <col min="767" max="767" width="11" style="110" customWidth="1"/>
    <col min="768" max="768" width="9.140625" style="110" customWidth="1"/>
    <col min="769" max="769" width="9.85546875" style="110" customWidth="1"/>
    <col min="770" max="773" width="0" style="110" hidden="1" customWidth="1"/>
    <col min="774" max="774" width="1.5703125" style="110" customWidth="1"/>
    <col min="775" max="777" width="0" style="110" hidden="1" customWidth="1"/>
    <col min="778" max="778" width="10.42578125" style="110" customWidth="1"/>
    <col min="779" max="780" width="11" style="110" customWidth="1"/>
    <col min="781" max="781" width="9.42578125" style="110" customWidth="1"/>
    <col min="782" max="782" width="10" style="110" customWidth="1"/>
    <col min="783" max="783" width="11" style="110" customWidth="1"/>
    <col min="784" max="784" width="9.5703125" style="110" customWidth="1"/>
    <col min="785" max="785" width="10.140625" style="110" customWidth="1"/>
    <col min="786" max="825" width="10.7109375" style="110" customWidth="1"/>
    <col min="826" max="826" width="1.85546875" style="110" bestFit="1" customWidth="1"/>
    <col min="827" max="827" width="34.5703125" style="110" bestFit="1" customWidth="1"/>
    <col min="828" max="829" width="10.7109375" style="110" customWidth="1"/>
    <col min="830" max="830" width="2.7109375" style="110" bestFit="1" customWidth="1"/>
    <col min="831" max="831" width="11.5703125" style="110" bestFit="1" customWidth="1"/>
    <col min="832" max="1008" width="10.7109375" style="110"/>
    <col min="1009" max="1009" width="5.28515625" style="110" customWidth="1"/>
    <col min="1010" max="1010" width="6.42578125" style="110" customWidth="1"/>
    <col min="1011" max="1011" width="22" style="110" customWidth="1"/>
    <col min="1012" max="1012" width="7.5703125" style="110" bestFit="1" customWidth="1"/>
    <col min="1013" max="1013" width="4.42578125" style="110" customWidth="1"/>
    <col min="1014" max="1014" width="7.42578125" style="110" bestFit="1" customWidth="1"/>
    <col min="1015" max="1015" width="2.85546875" style="110" bestFit="1" customWidth="1"/>
    <col min="1016" max="1016" width="7" style="110" bestFit="1" customWidth="1"/>
    <col min="1017" max="1017" width="5.7109375" style="110" bestFit="1" customWidth="1"/>
    <col min="1018" max="1018" width="7.85546875" style="110" bestFit="1" customWidth="1"/>
    <col min="1019" max="1020" width="0" style="110" hidden="1" customWidth="1"/>
    <col min="1021" max="1021" width="12.5703125" style="110" customWidth="1"/>
    <col min="1022" max="1022" width="0" style="110" hidden="1" customWidth="1"/>
    <col min="1023" max="1023" width="11" style="110" customWidth="1"/>
    <col min="1024" max="1024" width="9.140625" style="110" customWidth="1"/>
    <col min="1025" max="1025" width="9.85546875" style="110" customWidth="1"/>
    <col min="1026" max="1029" width="0" style="110" hidden="1" customWidth="1"/>
    <col min="1030" max="1030" width="1.5703125" style="110" customWidth="1"/>
    <col min="1031" max="1033" width="0" style="110" hidden="1" customWidth="1"/>
    <col min="1034" max="1034" width="10.42578125" style="110" customWidth="1"/>
    <col min="1035" max="1036" width="11" style="110" customWidth="1"/>
    <col min="1037" max="1037" width="9.42578125" style="110" customWidth="1"/>
    <col min="1038" max="1038" width="10" style="110" customWidth="1"/>
    <col min="1039" max="1039" width="11" style="110" customWidth="1"/>
    <col min="1040" max="1040" width="9.5703125" style="110" customWidth="1"/>
    <col min="1041" max="1041" width="10.140625" style="110" customWidth="1"/>
    <col min="1042" max="1081" width="10.7109375" style="110" customWidth="1"/>
    <col min="1082" max="1082" width="1.85546875" style="110" bestFit="1" customWidth="1"/>
    <col min="1083" max="1083" width="34.5703125" style="110" bestFit="1" customWidth="1"/>
    <col min="1084" max="1085" width="10.7109375" style="110" customWidth="1"/>
    <col min="1086" max="1086" width="2.7109375" style="110" bestFit="1" customWidth="1"/>
    <col min="1087" max="1087" width="11.5703125" style="110" bestFit="1" customWidth="1"/>
    <col min="1088" max="1264" width="10.7109375" style="110"/>
    <col min="1265" max="1265" width="5.28515625" style="110" customWidth="1"/>
    <col min="1266" max="1266" width="6.42578125" style="110" customWidth="1"/>
    <col min="1267" max="1267" width="22" style="110" customWidth="1"/>
    <col min="1268" max="1268" width="7.5703125" style="110" bestFit="1" customWidth="1"/>
    <col min="1269" max="1269" width="4.42578125" style="110" customWidth="1"/>
    <col min="1270" max="1270" width="7.42578125" style="110" bestFit="1" customWidth="1"/>
    <col min="1271" max="1271" width="2.85546875" style="110" bestFit="1" customWidth="1"/>
    <col min="1272" max="1272" width="7" style="110" bestFit="1" customWidth="1"/>
    <col min="1273" max="1273" width="5.7109375" style="110" bestFit="1" customWidth="1"/>
    <col min="1274" max="1274" width="7.85546875" style="110" bestFit="1" customWidth="1"/>
    <col min="1275" max="1276" width="0" style="110" hidden="1" customWidth="1"/>
    <col min="1277" max="1277" width="12.5703125" style="110" customWidth="1"/>
    <col min="1278" max="1278" width="0" style="110" hidden="1" customWidth="1"/>
    <col min="1279" max="1279" width="11" style="110" customWidth="1"/>
    <col min="1280" max="1280" width="9.140625" style="110" customWidth="1"/>
    <col min="1281" max="1281" width="9.85546875" style="110" customWidth="1"/>
    <col min="1282" max="1285" width="0" style="110" hidden="1" customWidth="1"/>
    <col min="1286" max="1286" width="1.5703125" style="110" customWidth="1"/>
    <col min="1287" max="1289" width="0" style="110" hidden="1" customWidth="1"/>
    <col min="1290" max="1290" width="10.42578125" style="110" customWidth="1"/>
    <col min="1291" max="1292" width="11" style="110" customWidth="1"/>
    <col min="1293" max="1293" width="9.42578125" style="110" customWidth="1"/>
    <col min="1294" max="1294" width="10" style="110" customWidth="1"/>
    <col min="1295" max="1295" width="11" style="110" customWidth="1"/>
    <col min="1296" max="1296" width="9.5703125" style="110" customWidth="1"/>
    <col min="1297" max="1297" width="10.140625" style="110" customWidth="1"/>
    <col min="1298" max="1337" width="10.7109375" style="110" customWidth="1"/>
    <col min="1338" max="1338" width="1.85546875" style="110" bestFit="1" customWidth="1"/>
    <col min="1339" max="1339" width="34.5703125" style="110" bestFit="1" customWidth="1"/>
    <col min="1340" max="1341" width="10.7109375" style="110" customWidth="1"/>
    <col min="1342" max="1342" width="2.7109375" style="110" bestFit="1" customWidth="1"/>
    <col min="1343" max="1343" width="11.5703125" style="110" bestFit="1" customWidth="1"/>
    <col min="1344" max="1520" width="10.7109375" style="110"/>
    <col min="1521" max="1521" width="5.28515625" style="110" customWidth="1"/>
    <col min="1522" max="1522" width="6.42578125" style="110" customWidth="1"/>
    <col min="1523" max="1523" width="22" style="110" customWidth="1"/>
    <col min="1524" max="1524" width="7.5703125" style="110" bestFit="1" customWidth="1"/>
    <col min="1525" max="1525" width="4.42578125" style="110" customWidth="1"/>
    <col min="1526" max="1526" width="7.42578125" style="110" bestFit="1" customWidth="1"/>
    <col min="1527" max="1527" width="2.85546875" style="110" bestFit="1" customWidth="1"/>
    <col min="1528" max="1528" width="7" style="110" bestFit="1" customWidth="1"/>
    <col min="1529" max="1529" width="5.7109375" style="110" bestFit="1" customWidth="1"/>
    <col min="1530" max="1530" width="7.85546875" style="110" bestFit="1" customWidth="1"/>
    <col min="1531" max="1532" width="0" style="110" hidden="1" customWidth="1"/>
    <col min="1533" max="1533" width="12.5703125" style="110" customWidth="1"/>
    <col min="1534" max="1534" width="0" style="110" hidden="1" customWidth="1"/>
    <col min="1535" max="1535" width="11" style="110" customWidth="1"/>
    <col min="1536" max="1536" width="9.140625" style="110" customWidth="1"/>
    <col min="1537" max="1537" width="9.85546875" style="110" customWidth="1"/>
    <col min="1538" max="1541" width="0" style="110" hidden="1" customWidth="1"/>
    <col min="1542" max="1542" width="1.5703125" style="110" customWidth="1"/>
    <col min="1543" max="1545" width="0" style="110" hidden="1" customWidth="1"/>
    <col min="1546" max="1546" width="10.42578125" style="110" customWidth="1"/>
    <col min="1547" max="1548" width="11" style="110" customWidth="1"/>
    <col min="1549" max="1549" width="9.42578125" style="110" customWidth="1"/>
    <col min="1550" max="1550" width="10" style="110" customWidth="1"/>
    <col min="1551" max="1551" width="11" style="110" customWidth="1"/>
    <col min="1552" max="1552" width="9.5703125" style="110" customWidth="1"/>
    <col min="1553" max="1553" width="10.140625" style="110" customWidth="1"/>
    <col min="1554" max="1593" width="10.7109375" style="110" customWidth="1"/>
    <col min="1594" max="1594" width="1.85546875" style="110" bestFit="1" customWidth="1"/>
    <col min="1595" max="1595" width="34.5703125" style="110" bestFit="1" customWidth="1"/>
    <col min="1596" max="1597" width="10.7109375" style="110" customWidth="1"/>
    <col min="1598" max="1598" width="2.7109375" style="110" bestFit="1" customWidth="1"/>
    <col min="1599" max="1599" width="11.5703125" style="110" bestFit="1" customWidth="1"/>
    <col min="1600" max="1776" width="10.7109375" style="110"/>
    <col min="1777" max="1777" width="5.28515625" style="110" customWidth="1"/>
    <col min="1778" max="1778" width="6.42578125" style="110" customWidth="1"/>
    <col min="1779" max="1779" width="22" style="110" customWidth="1"/>
    <col min="1780" max="1780" width="7.5703125" style="110" bestFit="1" customWidth="1"/>
    <col min="1781" max="1781" width="4.42578125" style="110" customWidth="1"/>
    <col min="1782" max="1782" width="7.42578125" style="110" bestFit="1" customWidth="1"/>
    <col min="1783" max="1783" width="2.85546875" style="110" bestFit="1" customWidth="1"/>
    <col min="1784" max="1784" width="7" style="110" bestFit="1" customWidth="1"/>
    <col min="1785" max="1785" width="5.7109375" style="110" bestFit="1" customWidth="1"/>
    <col min="1786" max="1786" width="7.85546875" style="110" bestFit="1" customWidth="1"/>
    <col min="1787" max="1788" width="0" style="110" hidden="1" customWidth="1"/>
    <col min="1789" max="1789" width="12.5703125" style="110" customWidth="1"/>
    <col min="1790" max="1790" width="0" style="110" hidden="1" customWidth="1"/>
    <col min="1791" max="1791" width="11" style="110" customWidth="1"/>
    <col min="1792" max="1792" width="9.140625" style="110" customWidth="1"/>
    <col min="1793" max="1793" width="9.85546875" style="110" customWidth="1"/>
    <col min="1794" max="1797" width="0" style="110" hidden="1" customWidth="1"/>
    <col min="1798" max="1798" width="1.5703125" style="110" customWidth="1"/>
    <col min="1799" max="1801" width="0" style="110" hidden="1" customWidth="1"/>
    <col min="1802" max="1802" width="10.42578125" style="110" customWidth="1"/>
    <col min="1803" max="1804" width="11" style="110" customWidth="1"/>
    <col min="1805" max="1805" width="9.42578125" style="110" customWidth="1"/>
    <col min="1806" max="1806" width="10" style="110" customWidth="1"/>
    <col min="1807" max="1807" width="11" style="110" customWidth="1"/>
    <col min="1808" max="1808" width="9.5703125" style="110" customWidth="1"/>
    <col min="1809" max="1809" width="10.140625" style="110" customWidth="1"/>
    <col min="1810" max="1849" width="10.7109375" style="110" customWidth="1"/>
    <col min="1850" max="1850" width="1.85546875" style="110" bestFit="1" customWidth="1"/>
    <col min="1851" max="1851" width="34.5703125" style="110" bestFit="1" customWidth="1"/>
    <col min="1852" max="1853" width="10.7109375" style="110" customWidth="1"/>
    <col min="1854" max="1854" width="2.7109375" style="110" bestFit="1" customWidth="1"/>
    <col min="1855" max="1855" width="11.5703125" style="110" bestFit="1" customWidth="1"/>
    <col min="1856" max="2032" width="10.7109375" style="110"/>
    <col min="2033" max="2033" width="5.28515625" style="110" customWidth="1"/>
    <col min="2034" max="2034" width="6.42578125" style="110" customWidth="1"/>
    <col min="2035" max="2035" width="22" style="110" customWidth="1"/>
    <col min="2036" max="2036" width="7.5703125" style="110" bestFit="1" customWidth="1"/>
    <col min="2037" max="2037" width="4.42578125" style="110" customWidth="1"/>
    <col min="2038" max="2038" width="7.42578125" style="110" bestFit="1" customWidth="1"/>
    <col min="2039" max="2039" width="2.85546875" style="110" bestFit="1" customWidth="1"/>
    <col min="2040" max="2040" width="7" style="110" bestFit="1" customWidth="1"/>
    <col min="2041" max="2041" width="5.7109375" style="110" bestFit="1" customWidth="1"/>
    <col min="2042" max="2042" width="7.85546875" style="110" bestFit="1" customWidth="1"/>
    <col min="2043" max="2044" width="0" style="110" hidden="1" customWidth="1"/>
    <col min="2045" max="2045" width="12.5703125" style="110" customWidth="1"/>
    <col min="2046" max="2046" width="0" style="110" hidden="1" customWidth="1"/>
    <col min="2047" max="2047" width="11" style="110" customWidth="1"/>
    <col min="2048" max="2048" width="9.140625" style="110" customWidth="1"/>
    <col min="2049" max="2049" width="9.85546875" style="110" customWidth="1"/>
    <col min="2050" max="2053" width="0" style="110" hidden="1" customWidth="1"/>
    <col min="2054" max="2054" width="1.5703125" style="110" customWidth="1"/>
    <col min="2055" max="2057" width="0" style="110" hidden="1" customWidth="1"/>
    <col min="2058" max="2058" width="10.42578125" style="110" customWidth="1"/>
    <col min="2059" max="2060" width="11" style="110" customWidth="1"/>
    <col min="2061" max="2061" width="9.42578125" style="110" customWidth="1"/>
    <col min="2062" max="2062" width="10" style="110" customWidth="1"/>
    <col min="2063" max="2063" width="11" style="110" customWidth="1"/>
    <col min="2064" max="2064" width="9.5703125" style="110" customWidth="1"/>
    <col min="2065" max="2065" width="10.140625" style="110" customWidth="1"/>
    <col min="2066" max="2105" width="10.7109375" style="110" customWidth="1"/>
    <col min="2106" max="2106" width="1.85546875" style="110" bestFit="1" customWidth="1"/>
    <col min="2107" max="2107" width="34.5703125" style="110" bestFit="1" customWidth="1"/>
    <col min="2108" max="2109" width="10.7109375" style="110" customWidth="1"/>
    <col min="2110" max="2110" width="2.7109375" style="110" bestFit="1" customWidth="1"/>
    <col min="2111" max="2111" width="11.5703125" style="110" bestFit="1" customWidth="1"/>
    <col min="2112" max="2288" width="10.7109375" style="110"/>
    <col min="2289" max="2289" width="5.28515625" style="110" customWidth="1"/>
    <col min="2290" max="2290" width="6.42578125" style="110" customWidth="1"/>
    <col min="2291" max="2291" width="22" style="110" customWidth="1"/>
    <col min="2292" max="2292" width="7.5703125" style="110" bestFit="1" customWidth="1"/>
    <col min="2293" max="2293" width="4.42578125" style="110" customWidth="1"/>
    <col min="2294" max="2294" width="7.42578125" style="110" bestFit="1" customWidth="1"/>
    <col min="2295" max="2295" width="2.85546875" style="110" bestFit="1" customWidth="1"/>
    <col min="2296" max="2296" width="7" style="110" bestFit="1" customWidth="1"/>
    <col min="2297" max="2297" width="5.7109375" style="110" bestFit="1" customWidth="1"/>
    <col min="2298" max="2298" width="7.85546875" style="110" bestFit="1" customWidth="1"/>
    <col min="2299" max="2300" width="0" style="110" hidden="1" customWidth="1"/>
    <col min="2301" max="2301" width="12.5703125" style="110" customWidth="1"/>
    <col min="2302" max="2302" width="0" style="110" hidden="1" customWidth="1"/>
    <col min="2303" max="2303" width="11" style="110" customWidth="1"/>
    <col min="2304" max="2304" width="9.140625" style="110" customWidth="1"/>
    <col min="2305" max="2305" width="9.85546875" style="110" customWidth="1"/>
    <col min="2306" max="2309" width="0" style="110" hidden="1" customWidth="1"/>
    <col min="2310" max="2310" width="1.5703125" style="110" customWidth="1"/>
    <col min="2311" max="2313" width="0" style="110" hidden="1" customWidth="1"/>
    <col min="2314" max="2314" width="10.42578125" style="110" customWidth="1"/>
    <col min="2315" max="2316" width="11" style="110" customWidth="1"/>
    <col min="2317" max="2317" width="9.42578125" style="110" customWidth="1"/>
    <col min="2318" max="2318" width="10" style="110" customWidth="1"/>
    <col min="2319" max="2319" width="11" style="110" customWidth="1"/>
    <col min="2320" max="2320" width="9.5703125" style="110" customWidth="1"/>
    <col min="2321" max="2321" width="10.140625" style="110" customWidth="1"/>
    <col min="2322" max="2361" width="10.7109375" style="110" customWidth="1"/>
    <col min="2362" max="2362" width="1.85546875" style="110" bestFit="1" customWidth="1"/>
    <col min="2363" max="2363" width="34.5703125" style="110" bestFit="1" customWidth="1"/>
    <col min="2364" max="2365" width="10.7109375" style="110" customWidth="1"/>
    <col min="2366" max="2366" width="2.7109375" style="110" bestFit="1" customWidth="1"/>
    <col min="2367" max="2367" width="11.5703125" style="110" bestFit="1" customWidth="1"/>
    <col min="2368" max="2544" width="10.7109375" style="110"/>
    <col min="2545" max="2545" width="5.28515625" style="110" customWidth="1"/>
    <col min="2546" max="2546" width="6.42578125" style="110" customWidth="1"/>
    <col min="2547" max="2547" width="22" style="110" customWidth="1"/>
    <col min="2548" max="2548" width="7.5703125" style="110" bestFit="1" customWidth="1"/>
    <col min="2549" max="2549" width="4.42578125" style="110" customWidth="1"/>
    <col min="2550" max="2550" width="7.42578125" style="110" bestFit="1" customWidth="1"/>
    <col min="2551" max="2551" width="2.85546875" style="110" bestFit="1" customWidth="1"/>
    <col min="2552" max="2552" width="7" style="110" bestFit="1" customWidth="1"/>
    <col min="2553" max="2553" width="5.7109375" style="110" bestFit="1" customWidth="1"/>
    <col min="2554" max="2554" width="7.85546875" style="110" bestFit="1" customWidth="1"/>
    <col min="2555" max="2556" width="0" style="110" hidden="1" customWidth="1"/>
    <col min="2557" max="2557" width="12.5703125" style="110" customWidth="1"/>
    <col min="2558" max="2558" width="0" style="110" hidden="1" customWidth="1"/>
    <col min="2559" max="2559" width="11" style="110" customWidth="1"/>
    <col min="2560" max="2560" width="9.140625" style="110" customWidth="1"/>
    <col min="2561" max="2561" width="9.85546875" style="110" customWidth="1"/>
    <col min="2562" max="2565" width="0" style="110" hidden="1" customWidth="1"/>
    <col min="2566" max="2566" width="1.5703125" style="110" customWidth="1"/>
    <col min="2567" max="2569" width="0" style="110" hidden="1" customWidth="1"/>
    <col min="2570" max="2570" width="10.42578125" style="110" customWidth="1"/>
    <col min="2571" max="2572" width="11" style="110" customWidth="1"/>
    <col min="2573" max="2573" width="9.42578125" style="110" customWidth="1"/>
    <col min="2574" max="2574" width="10" style="110" customWidth="1"/>
    <col min="2575" max="2575" width="11" style="110" customWidth="1"/>
    <col min="2576" max="2576" width="9.5703125" style="110" customWidth="1"/>
    <col min="2577" max="2577" width="10.140625" style="110" customWidth="1"/>
    <col min="2578" max="2617" width="10.7109375" style="110" customWidth="1"/>
    <col min="2618" max="2618" width="1.85546875" style="110" bestFit="1" customWidth="1"/>
    <col min="2619" max="2619" width="34.5703125" style="110" bestFit="1" customWidth="1"/>
    <col min="2620" max="2621" width="10.7109375" style="110" customWidth="1"/>
    <col min="2622" max="2622" width="2.7109375" style="110" bestFit="1" customWidth="1"/>
    <col min="2623" max="2623" width="11.5703125" style="110" bestFit="1" customWidth="1"/>
    <col min="2624" max="2800" width="10.7109375" style="110"/>
    <col min="2801" max="2801" width="5.28515625" style="110" customWidth="1"/>
    <col min="2802" max="2802" width="6.42578125" style="110" customWidth="1"/>
    <col min="2803" max="2803" width="22" style="110" customWidth="1"/>
    <col min="2804" max="2804" width="7.5703125" style="110" bestFit="1" customWidth="1"/>
    <col min="2805" max="2805" width="4.42578125" style="110" customWidth="1"/>
    <col min="2806" max="2806" width="7.42578125" style="110" bestFit="1" customWidth="1"/>
    <col min="2807" max="2807" width="2.85546875" style="110" bestFit="1" customWidth="1"/>
    <col min="2808" max="2808" width="7" style="110" bestFit="1" customWidth="1"/>
    <col min="2809" max="2809" width="5.7109375" style="110" bestFit="1" customWidth="1"/>
    <col min="2810" max="2810" width="7.85546875" style="110" bestFit="1" customWidth="1"/>
    <col min="2811" max="2812" width="0" style="110" hidden="1" customWidth="1"/>
    <col min="2813" max="2813" width="12.5703125" style="110" customWidth="1"/>
    <col min="2814" max="2814" width="0" style="110" hidden="1" customWidth="1"/>
    <col min="2815" max="2815" width="11" style="110" customWidth="1"/>
    <col min="2816" max="2816" width="9.140625" style="110" customWidth="1"/>
    <col min="2817" max="2817" width="9.85546875" style="110" customWidth="1"/>
    <col min="2818" max="2821" width="0" style="110" hidden="1" customWidth="1"/>
    <col min="2822" max="2822" width="1.5703125" style="110" customWidth="1"/>
    <col min="2823" max="2825" width="0" style="110" hidden="1" customWidth="1"/>
    <col min="2826" max="2826" width="10.42578125" style="110" customWidth="1"/>
    <col min="2827" max="2828" width="11" style="110" customWidth="1"/>
    <col min="2829" max="2829" width="9.42578125" style="110" customWidth="1"/>
    <col min="2830" max="2830" width="10" style="110" customWidth="1"/>
    <col min="2831" max="2831" width="11" style="110" customWidth="1"/>
    <col min="2832" max="2832" width="9.5703125" style="110" customWidth="1"/>
    <col min="2833" max="2833" width="10.140625" style="110" customWidth="1"/>
    <col min="2834" max="2873" width="10.7109375" style="110" customWidth="1"/>
    <col min="2874" max="2874" width="1.85546875" style="110" bestFit="1" customWidth="1"/>
    <col min="2875" max="2875" width="34.5703125" style="110" bestFit="1" customWidth="1"/>
    <col min="2876" max="2877" width="10.7109375" style="110" customWidth="1"/>
    <col min="2878" max="2878" width="2.7109375" style="110" bestFit="1" customWidth="1"/>
    <col min="2879" max="2879" width="11.5703125" style="110" bestFit="1" customWidth="1"/>
    <col min="2880" max="3056" width="10.7109375" style="110"/>
    <col min="3057" max="3057" width="5.28515625" style="110" customWidth="1"/>
    <col min="3058" max="3058" width="6.42578125" style="110" customWidth="1"/>
    <col min="3059" max="3059" width="22" style="110" customWidth="1"/>
    <col min="3060" max="3060" width="7.5703125" style="110" bestFit="1" customWidth="1"/>
    <col min="3061" max="3061" width="4.42578125" style="110" customWidth="1"/>
    <col min="3062" max="3062" width="7.42578125" style="110" bestFit="1" customWidth="1"/>
    <col min="3063" max="3063" width="2.85546875" style="110" bestFit="1" customWidth="1"/>
    <col min="3064" max="3064" width="7" style="110" bestFit="1" customWidth="1"/>
    <col min="3065" max="3065" width="5.7109375" style="110" bestFit="1" customWidth="1"/>
    <col min="3066" max="3066" width="7.85546875" style="110" bestFit="1" customWidth="1"/>
    <col min="3067" max="3068" width="0" style="110" hidden="1" customWidth="1"/>
    <col min="3069" max="3069" width="12.5703125" style="110" customWidth="1"/>
    <col min="3070" max="3070" width="0" style="110" hidden="1" customWidth="1"/>
    <col min="3071" max="3071" width="11" style="110" customWidth="1"/>
    <col min="3072" max="3072" width="9.140625" style="110" customWidth="1"/>
    <col min="3073" max="3073" width="9.85546875" style="110" customWidth="1"/>
    <col min="3074" max="3077" width="0" style="110" hidden="1" customWidth="1"/>
    <col min="3078" max="3078" width="1.5703125" style="110" customWidth="1"/>
    <col min="3079" max="3081" width="0" style="110" hidden="1" customWidth="1"/>
    <col min="3082" max="3082" width="10.42578125" style="110" customWidth="1"/>
    <col min="3083" max="3084" width="11" style="110" customWidth="1"/>
    <col min="3085" max="3085" width="9.42578125" style="110" customWidth="1"/>
    <col min="3086" max="3086" width="10" style="110" customWidth="1"/>
    <col min="3087" max="3087" width="11" style="110" customWidth="1"/>
    <col min="3088" max="3088" width="9.5703125" style="110" customWidth="1"/>
    <col min="3089" max="3089" width="10.140625" style="110" customWidth="1"/>
    <col min="3090" max="3129" width="10.7109375" style="110" customWidth="1"/>
    <col min="3130" max="3130" width="1.85546875" style="110" bestFit="1" customWidth="1"/>
    <col min="3131" max="3131" width="34.5703125" style="110" bestFit="1" customWidth="1"/>
    <col min="3132" max="3133" width="10.7109375" style="110" customWidth="1"/>
    <col min="3134" max="3134" width="2.7109375" style="110" bestFit="1" customWidth="1"/>
    <col min="3135" max="3135" width="11.5703125" style="110" bestFit="1" customWidth="1"/>
    <col min="3136" max="3312" width="10.7109375" style="110"/>
    <col min="3313" max="3313" width="5.28515625" style="110" customWidth="1"/>
    <col min="3314" max="3314" width="6.42578125" style="110" customWidth="1"/>
    <col min="3315" max="3315" width="22" style="110" customWidth="1"/>
    <col min="3316" max="3316" width="7.5703125" style="110" bestFit="1" customWidth="1"/>
    <col min="3317" max="3317" width="4.42578125" style="110" customWidth="1"/>
    <col min="3318" max="3318" width="7.42578125" style="110" bestFit="1" customWidth="1"/>
    <col min="3319" max="3319" width="2.85546875" style="110" bestFit="1" customWidth="1"/>
    <col min="3320" max="3320" width="7" style="110" bestFit="1" customWidth="1"/>
    <col min="3321" max="3321" width="5.7109375" style="110" bestFit="1" customWidth="1"/>
    <col min="3322" max="3322" width="7.85546875" style="110" bestFit="1" customWidth="1"/>
    <col min="3323" max="3324" width="0" style="110" hidden="1" customWidth="1"/>
    <col min="3325" max="3325" width="12.5703125" style="110" customWidth="1"/>
    <col min="3326" max="3326" width="0" style="110" hidden="1" customWidth="1"/>
    <col min="3327" max="3327" width="11" style="110" customWidth="1"/>
    <col min="3328" max="3328" width="9.140625" style="110" customWidth="1"/>
    <col min="3329" max="3329" width="9.85546875" style="110" customWidth="1"/>
    <col min="3330" max="3333" width="0" style="110" hidden="1" customWidth="1"/>
    <col min="3334" max="3334" width="1.5703125" style="110" customWidth="1"/>
    <col min="3335" max="3337" width="0" style="110" hidden="1" customWidth="1"/>
    <col min="3338" max="3338" width="10.42578125" style="110" customWidth="1"/>
    <col min="3339" max="3340" width="11" style="110" customWidth="1"/>
    <col min="3341" max="3341" width="9.42578125" style="110" customWidth="1"/>
    <col min="3342" max="3342" width="10" style="110" customWidth="1"/>
    <col min="3343" max="3343" width="11" style="110" customWidth="1"/>
    <col min="3344" max="3344" width="9.5703125" style="110" customWidth="1"/>
    <col min="3345" max="3345" width="10.140625" style="110" customWidth="1"/>
    <col min="3346" max="3385" width="10.7109375" style="110" customWidth="1"/>
    <col min="3386" max="3386" width="1.85546875" style="110" bestFit="1" customWidth="1"/>
    <col min="3387" max="3387" width="34.5703125" style="110" bestFit="1" customWidth="1"/>
    <col min="3388" max="3389" width="10.7109375" style="110" customWidth="1"/>
    <col min="3390" max="3390" width="2.7109375" style="110" bestFit="1" customWidth="1"/>
    <col min="3391" max="3391" width="11.5703125" style="110" bestFit="1" customWidth="1"/>
    <col min="3392" max="3568" width="10.7109375" style="110"/>
    <col min="3569" max="3569" width="5.28515625" style="110" customWidth="1"/>
    <col min="3570" max="3570" width="6.42578125" style="110" customWidth="1"/>
    <col min="3571" max="3571" width="22" style="110" customWidth="1"/>
    <col min="3572" max="3572" width="7.5703125" style="110" bestFit="1" customWidth="1"/>
    <col min="3573" max="3573" width="4.42578125" style="110" customWidth="1"/>
    <col min="3574" max="3574" width="7.42578125" style="110" bestFit="1" customWidth="1"/>
    <col min="3575" max="3575" width="2.85546875" style="110" bestFit="1" customWidth="1"/>
    <col min="3576" max="3576" width="7" style="110" bestFit="1" customWidth="1"/>
    <col min="3577" max="3577" width="5.7109375" style="110" bestFit="1" customWidth="1"/>
    <col min="3578" max="3578" width="7.85546875" style="110" bestFit="1" customWidth="1"/>
    <col min="3579" max="3580" width="0" style="110" hidden="1" customWidth="1"/>
    <col min="3581" max="3581" width="12.5703125" style="110" customWidth="1"/>
    <col min="3582" max="3582" width="0" style="110" hidden="1" customWidth="1"/>
    <col min="3583" max="3583" width="11" style="110" customWidth="1"/>
    <col min="3584" max="3584" width="9.140625" style="110" customWidth="1"/>
    <col min="3585" max="3585" width="9.85546875" style="110" customWidth="1"/>
    <col min="3586" max="3589" width="0" style="110" hidden="1" customWidth="1"/>
    <col min="3590" max="3590" width="1.5703125" style="110" customWidth="1"/>
    <col min="3591" max="3593" width="0" style="110" hidden="1" customWidth="1"/>
    <col min="3594" max="3594" width="10.42578125" style="110" customWidth="1"/>
    <col min="3595" max="3596" width="11" style="110" customWidth="1"/>
    <col min="3597" max="3597" width="9.42578125" style="110" customWidth="1"/>
    <col min="3598" max="3598" width="10" style="110" customWidth="1"/>
    <col min="3599" max="3599" width="11" style="110" customWidth="1"/>
    <col min="3600" max="3600" width="9.5703125" style="110" customWidth="1"/>
    <col min="3601" max="3601" width="10.140625" style="110" customWidth="1"/>
    <col min="3602" max="3641" width="10.7109375" style="110" customWidth="1"/>
    <col min="3642" max="3642" width="1.85546875" style="110" bestFit="1" customWidth="1"/>
    <col min="3643" max="3643" width="34.5703125" style="110" bestFit="1" customWidth="1"/>
    <col min="3644" max="3645" width="10.7109375" style="110" customWidth="1"/>
    <col min="3646" max="3646" width="2.7109375" style="110" bestFit="1" customWidth="1"/>
    <col min="3647" max="3647" width="11.5703125" style="110" bestFit="1" customWidth="1"/>
    <col min="3648" max="3824" width="10.7109375" style="110"/>
    <col min="3825" max="3825" width="5.28515625" style="110" customWidth="1"/>
    <col min="3826" max="3826" width="6.42578125" style="110" customWidth="1"/>
    <col min="3827" max="3827" width="22" style="110" customWidth="1"/>
    <col min="3828" max="3828" width="7.5703125" style="110" bestFit="1" customWidth="1"/>
    <col min="3829" max="3829" width="4.42578125" style="110" customWidth="1"/>
    <col min="3830" max="3830" width="7.42578125" style="110" bestFit="1" customWidth="1"/>
    <col min="3831" max="3831" width="2.85546875" style="110" bestFit="1" customWidth="1"/>
    <col min="3832" max="3832" width="7" style="110" bestFit="1" customWidth="1"/>
    <col min="3833" max="3833" width="5.7109375" style="110" bestFit="1" customWidth="1"/>
    <col min="3834" max="3834" width="7.85546875" style="110" bestFit="1" customWidth="1"/>
    <col min="3835" max="3836" width="0" style="110" hidden="1" customWidth="1"/>
    <col min="3837" max="3837" width="12.5703125" style="110" customWidth="1"/>
    <col min="3838" max="3838" width="0" style="110" hidden="1" customWidth="1"/>
    <col min="3839" max="3839" width="11" style="110" customWidth="1"/>
    <col min="3840" max="3840" width="9.140625" style="110" customWidth="1"/>
    <col min="3841" max="3841" width="9.85546875" style="110" customWidth="1"/>
    <col min="3842" max="3845" width="0" style="110" hidden="1" customWidth="1"/>
    <col min="3846" max="3846" width="1.5703125" style="110" customWidth="1"/>
    <col min="3847" max="3849" width="0" style="110" hidden="1" customWidth="1"/>
    <col min="3850" max="3850" width="10.42578125" style="110" customWidth="1"/>
    <col min="3851" max="3852" width="11" style="110" customWidth="1"/>
    <col min="3853" max="3853" width="9.42578125" style="110" customWidth="1"/>
    <col min="3854" max="3854" width="10" style="110" customWidth="1"/>
    <col min="3855" max="3855" width="11" style="110" customWidth="1"/>
    <col min="3856" max="3856" width="9.5703125" style="110" customWidth="1"/>
    <col min="3857" max="3857" width="10.140625" style="110" customWidth="1"/>
    <col min="3858" max="3897" width="10.7109375" style="110" customWidth="1"/>
    <col min="3898" max="3898" width="1.85546875" style="110" bestFit="1" customWidth="1"/>
    <col min="3899" max="3899" width="34.5703125" style="110" bestFit="1" customWidth="1"/>
    <col min="3900" max="3901" width="10.7109375" style="110" customWidth="1"/>
    <col min="3902" max="3902" width="2.7109375" style="110" bestFit="1" customWidth="1"/>
    <col min="3903" max="3903" width="11.5703125" style="110" bestFit="1" customWidth="1"/>
    <col min="3904" max="4080" width="10.7109375" style="110"/>
    <col min="4081" max="4081" width="5.28515625" style="110" customWidth="1"/>
    <col min="4082" max="4082" width="6.42578125" style="110" customWidth="1"/>
    <col min="4083" max="4083" width="22" style="110" customWidth="1"/>
    <col min="4084" max="4084" width="7.5703125" style="110" bestFit="1" customWidth="1"/>
    <col min="4085" max="4085" width="4.42578125" style="110" customWidth="1"/>
    <col min="4086" max="4086" width="7.42578125" style="110" bestFit="1" customWidth="1"/>
    <col min="4087" max="4087" width="2.85546875" style="110" bestFit="1" customWidth="1"/>
    <col min="4088" max="4088" width="7" style="110" bestFit="1" customWidth="1"/>
    <col min="4089" max="4089" width="5.7109375" style="110" bestFit="1" customWidth="1"/>
    <col min="4090" max="4090" width="7.85546875" style="110" bestFit="1" customWidth="1"/>
    <col min="4091" max="4092" width="0" style="110" hidden="1" customWidth="1"/>
    <col min="4093" max="4093" width="12.5703125" style="110" customWidth="1"/>
    <col min="4094" max="4094" width="0" style="110" hidden="1" customWidth="1"/>
    <col min="4095" max="4095" width="11" style="110" customWidth="1"/>
    <col min="4096" max="4096" width="9.140625" style="110" customWidth="1"/>
    <col min="4097" max="4097" width="9.85546875" style="110" customWidth="1"/>
    <col min="4098" max="4101" width="0" style="110" hidden="1" customWidth="1"/>
    <col min="4102" max="4102" width="1.5703125" style="110" customWidth="1"/>
    <col min="4103" max="4105" width="0" style="110" hidden="1" customWidth="1"/>
    <col min="4106" max="4106" width="10.42578125" style="110" customWidth="1"/>
    <col min="4107" max="4108" width="11" style="110" customWidth="1"/>
    <col min="4109" max="4109" width="9.42578125" style="110" customWidth="1"/>
    <col min="4110" max="4110" width="10" style="110" customWidth="1"/>
    <col min="4111" max="4111" width="11" style="110" customWidth="1"/>
    <col min="4112" max="4112" width="9.5703125" style="110" customWidth="1"/>
    <col min="4113" max="4113" width="10.140625" style="110" customWidth="1"/>
    <col min="4114" max="4153" width="10.7109375" style="110" customWidth="1"/>
    <col min="4154" max="4154" width="1.85546875" style="110" bestFit="1" customWidth="1"/>
    <col min="4155" max="4155" width="34.5703125" style="110" bestFit="1" customWidth="1"/>
    <col min="4156" max="4157" width="10.7109375" style="110" customWidth="1"/>
    <col min="4158" max="4158" width="2.7109375" style="110" bestFit="1" customWidth="1"/>
    <col min="4159" max="4159" width="11.5703125" style="110" bestFit="1" customWidth="1"/>
    <col min="4160" max="4336" width="10.7109375" style="110"/>
    <col min="4337" max="4337" width="5.28515625" style="110" customWidth="1"/>
    <col min="4338" max="4338" width="6.42578125" style="110" customWidth="1"/>
    <col min="4339" max="4339" width="22" style="110" customWidth="1"/>
    <col min="4340" max="4340" width="7.5703125" style="110" bestFit="1" customWidth="1"/>
    <col min="4341" max="4341" width="4.42578125" style="110" customWidth="1"/>
    <col min="4342" max="4342" width="7.42578125" style="110" bestFit="1" customWidth="1"/>
    <col min="4343" max="4343" width="2.85546875" style="110" bestFit="1" customWidth="1"/>
    <col min="4344" max="4344" width="7" style="110" bestFit="1" customWidth="1"/>
    <col min="4345" max="4345" width="5.7109375" style="110" bestFit="1" customWidth="1"/>
    <col min="4346" max="4346" width="7.85546875" style="110" bestFit="1" customWidth="1"/>
    <col min="4347" max="4348" width="0" style="110" hidden="1" customWidth="1"/>
    <col min="4349" max="4349" width="12.5703125" style="110" customWidth="1"/>
    <col min="4350" max="4350" width="0" style="110" hidden="1" customWidth="1"/>
    <col min="4351" max="4351" width="11" style="110" customWidth="1"/>
    <col min="4352" max="4352" width="9.140625" style="110" customWidth="1"/>
    <col min="4353" max="4353" width="9.85546875" style="110" customWidth="1"/>
    <col min="4354" max="4357" width="0" style="110" hidden="1" customWidth="1"/>
    <col min="4358" max="4358" width="1.5703125" style="110" customWidth="1"/>
    <col min="4359" max="4361" width="0" style="110" hidden="1" customWidth="1"/>
    <col min="4362" max="4362" width="10.42578125" style="110" customWidth="1"/>
    <col min="4363" max="4364" width="11" style="110" customWidth="1"/>
    <col min="4365" max="4365" width="9.42578125" style="110" customWidth="1"/>
    <col min="4366" max="4366" width="10" style="110" customWidth="1"/>
    <col min="4367" max="4367" width="11" style="110" customWidth="1"/>
    <col min="4368" max="4368" width="9.5703125" style="110" customWidth="1"/>
    <col min="4369" max="4369" width="10.140625" style="110" customWidth="1"/>
    <col min="4370" max="4409" width="10.7109375" style="110" customWidth="1"/>
    <col min="4410" max="4410" width="1.85546875" style="110" bestFit="1" customWidth="1"/>
    <col min="4411" max="4411" width="34.5703125" style="110" bestFit="1" customWidth="1"/>
    <col min="4412" max="4413" width="10.7109375" style="110" customWidth="1"/>
    <col min="4414" max="4414" width="2.7109375" style="110" bestFit="1" customWidth="1"/>
    <col min="4415" max="4415" width="11.5703125" style="110" bestFit="1" customWidth="1"/>
    <col min="4416" max="4592" width="10.7109375" style="110"/>
    <col min="4593" max="4593" width="5.28515625" style="110" customWidth="1"/>
    <col min="4594" max="4594" width="6.42578125" style="110" customWidth="1"/>
    <col min="4595" max="4595" width="22" style="110" customWidth="1"/>
    <col min="4596" max="4596" width="7.5703125" style="110" bestFit="1" customWidth="1"/>
    <col min="4597" max="4597" width="4.42578125" style="110" customWidth="1"/>
    <col min="4598" max="4598" width="7.42578125" style="110" bestFit="1" customWidth="1"/>
    <col min="4599" max="4599" width="2.85546875" style="110" bestFit="1" customWidth="1"/>
    <col min="4600" max="4600" width="7" style="110" bestFit="1" customWidth="1"/>
    <col min="4601" max="4601" width="5.7109375" style="110" bestFit="1" customWidth="1"/>
    <col min="4602" max="4602" width="7.85546875" style="110" bestFit="1" customWidth="1"/>
    <col min="4603" max="4604" width="0" style="110" hidden="1" customWidth="1"/>
    <col min="4605" max="4605" width="12.5703125" style="110" customWidth="1"/>
    <col min="4606" max="4606" width="0" style="110" hidden="1" customWidth="1"/>
    <col min="4607" max="4607" width="11" style="110" customWidth="1"/>
    <col min="4608" max="4608" width="9.140625" style="110" customWidth="1"/>
    <col min="4609" max="4609" width="9.85546875" style="110" customWidth="1"/>
    <col min="4610" max="4613" width="0" style="110" hidden="1" customWidth="1"/>
    <col min="4614" max="4614" width="1.5703125" style="110" customWidth="1"/>
    <col min="4615" max="4617" width="0" style="110" hidden="1" customWidth="1"/>
    <col min="4618" max="4618" width="10.42578125" style="110" customWidth="1"/>
    <col min="4619" max="4620" width="11" style="110" customWidth="1"/>
    <col min="4621" max="4621" width="9.42578125" style="110" customWidth="1"/>
    <col min="4622" max="4622" width="10" style="110" customWidth="1"/>
    <col min="4623" max="4623" width="11" style="110" customWidth="1"/>
    <col min="4624" max="4624" width="9.5703125" style="110" customWidth="1"/>
    <col min="4625" max="4625" width="10.140625" style="110" customWidth="1"/>
    <col min="4626" max="4665" width="10.7109375" style="110" customWidth="1"/>
    <col min="4666" max="4666" width="1.85546875" style="110" bestFit="1" customWidth="1"/>
    <col min="4667" max="4667" width="34.5703125" style="110" bestFit="1" customWidth="1"/>
    <col min="4668" max="4669" width="10.7109375" style="110" customWidth="1"/>
    <col min="4670" max="4670" width="2.7109375" style="110" bestFit="1" customWidth="1"/>
    <col min="4671" max="4671" width="11.5703125" style="110" bestFit="1" customWidth="1"/>
    <col min="4672" max="4848" width="10.7109375" style="110"/>
    <col min="4849" max="4849" width="5.28515625" style="110" customWidth="1"/>
    <col min="4850" max="4850" width="6.42578125" style="110" customWidth="1"/>
    <col min="4851" max="4851" width="22" style="110" customWidth="1"/>
    <col min="4852" max="4852" width="7.5703125" style="110" bestFit="1" customWidth="1"/>
    <col min="4853" max="4853" width="4.42578125" style="110" customWidth="1"/>
    <col min="4854" max="4854" width="7.42578125" style="110" bestFit="1" customWidth="1"/>
    <col min="4855" max="4855" width="2.85546875" style="110" bestFit="1" customWidth="1"/>
    <col min="4856" max="4856" width="7" style="110" bestFit="1" customWidth="1"/>
    <col min="4857" max="4857" width="5.7109375" style="110" bestFit="1" customWidth="1"/>
    <col min="4858" max="4858" width="7.85546875" style="110" bestFit="1" customWidth="1"/>
    <col min="4859" max="4860" width="0" style="110" hidden="1" customWidth="1"/>
    <col min="4861" max="4861" width="12.5703125" style="110" customWidth="1"/>
    <col min="4862" max="4862" width="0" style="110" hidden="1" customWidth="1"/>
    <col min="4863" max="4863" width="11" style="110" customWidth="1"/>
    <col min="4864" max="4864" width="9.140625" style="110" customWidth="1"/>
    <col min="4865" max="4865" width="9.85546875" style="110" customWidth="1"/>
    <col min="4866" max="4869" width="0" style="110" hidden="1" customWidth="1"/>
    <col min="4870" max="4870" width="1.5703125" style="110" customWidth="1"/>
    <col min="4871" max="4873" width="0" style="110" hidden="1" customWidth="1"/>
    <col min="4874" max="4874" width="10.42578125" style="110" customWidth="1"/>
    <col min="4875" max="4876" width="11" style="110" customWidth="1"/>
    <col min="4877" max="4877" width="9.42578125" style="110" customWidth="1"/>
    <col min="4878" max="4878" width="10" style="110" customWidth="1"/>
    <col min="4879" max="4879" width="11" style="110" customWidth="1"/>
    <col min="4880" max="4880" width="9.5703125" style="110" customWidth="1"/>
    <col min="4881" max="4881" width="10.140625" style="110" customWidth="1"/>
    <col min="4882" max="4921" width="10.7109375" style="110" customWidth="1"/>
    <col min="4922" max="4922" width="1.85546875" style="110" bestFit="1" customWidth="1"/>
    <col min="4923" max="4923" width="34.5703125" style="110" bestFit="1" customWidth="1"/>
    <col min="4924" max="4925" width="10.7109375" style="110" customWidth="1"/>
    <col min="4926" max="4926" width="2.7109375" style="110" bestFit="1" customWidth="1"/>
    <col min="4927" max="4927" width="11.5703125" style="110" bestFit="1" customWidth="1"/>
    <col min="4928" max="5104" width="10.7109375" style="110"/>
    <col min="5105" max="5105" width="5.28515625" style="110" customWidth="1"/>
    <col min="5106" max="5106" width="6.42578125" style="110" customWidth="1"/>
    <col min="5107" max="5107" width="22" style="110" customWidth="1"/>
    <col min="5108" max="5108" width="7.5703125" style="110" bestFit="1" customWidth="1"/>
    <col min="5109" max="5109" width="4.42578125" style="110" customWidth="1"/>
    <col min="5110" max="5110" width="7.42578125" style="110" bestFit="1" customWidth="1"/>
    <col min="5111" max="5111" width="2.85546875" style="110" bestFit="1" customWidth="1"/>
    <col min="5112" max="5112" width="7" style="110" bestFit="1" customWidth="1"/>
    <col min="5113" max="5113" width="5.7109375" style="110" bestFit="1" customWidth="1"/>
    <col min="5114" max="5114" width="7.85546875" style="110" bestFit="1" customWidth="1"/>
    <col min="5115" max="5116" width="0" style="110" hidden="1" customWidth="1"/>
    <col min="5117" max="5117" width="12.5703125" style="110" customWidth="1"/>
    <col min="5118" max="5118" width="0" style="110" hidden="1" customWidth="1"/>
    <col min="5119" max="5119" width="11" style="110" customWidth="1"/>
    <col min="5120" max="5120" width="9.140625" style="110" customWidth="1"/>
    <col min="5121" max="5121" width="9.85546875" style="110" customWidth="1"/>
    <col min="5122" max="5125" width="0" style="110" hidden="1" customWidth="1"/>
    <col min="5126" max="5126" width="1.5703125" style="110" customWidth="1"/>
    <col min="5127" max="5129" width="0" style="110" hidden="1" customWidth="1"/>
    <col min="5130" max="5130" width="10.42578125" style="110" customWidth="1"/>
    <col min="5131" max="5132" width="11" style="110" customWidth="1"/>
    <col min="5133" max="5133" width="9.42578125" style="110" customWidth="1"/>
    <col min="5134" max="5134" width="10" style="110" customWidth="1"/>
    <col min="5135" max="5135" width="11" style="110" customWidth="1"/>
    <col min="5136" max="5136" width="9.5703125" style="110" customWidth="1"/>
    <col min="5137" max="5137" width="10.140625" style="110" customWidth="1"/>
    <col min="5138" max="5177" width="10.7109375" style="110" customWidth="1"/>
    <col min="5178" max="5178" width="1.85546875" style="110" bestFit="1" customWidth="1"/>
    <col min="5179" max="5179" width="34.5703125" style="110" bestFit="1" customWidth="1"/>
    <col min="5180" max="5181" width="10.7109375" style="110" customWidth="1"/>
    <col min="5182" max="5182" width="2.7109375" style="110" bestFit="1" customWidth="1"/>
    <col min="5183" max="5183" width="11.5703125" style="110" bestFit="1" customWidth="1"/>
    <col min="5184" max="5360" width="10.7109375" style="110"/>
    <col min="5361" max="5361" width="5.28515625" style="110" customWidth="1"/>
    <col min="5362" max="5362" width="6.42578125" style="110" customWidth="1"/>
    <col min="5363" max="5363" width="22" style="110" customWidth="1"/>
    <col min="5364" max="5364" width="7.5703125" style="110" bestFit="1" customWidth="1"/>
    <col min="5365" max="5365" width="4.42578125" style="110" customWidth="1"/>
    <col min="5366" max="5366" width="7.42578125" style="110" bestFit="1" customWidth="1"/>
    <col min="5367" max="5367" width="2.85546875" style="110" bestFit="1" customWidth="1"/>
    <col min="5368" max="5368" width="7" style="110" bestFit="1" customWidth="1"/>
    <col min="5369" max="5369" width="5.7109375" style="110" bestFit="1" customWidth="1"/>
    <col min="5370" max="5370" width="7.85546875" style="110" bestFit="1" customWidth="1"/>
    <col min="5371" max="5372" width="0" style="110" hidden="1" customWidth="1"/>
    <col min="5373" max="5373" width="12.5703125" style="110" customWidth="1"/>
    <col min="5374" max="5374" width="0" style="110" hidden="1" customWidth="1"/>
    <col min="5375" max="5375" width="11" style="110" customWidth="1"/>
    <col min="5376" max="5376" width="9.140625" style="110" customWidth="1"/>
    <col min="5377" max="5377" width="9.85546875" style="110" customWidth="1"/>
    <col min="5378" max="5381" width="0" style="110" hidden="1" customWidth="1"/>
    <col min="5382" max="5382" width="1.5703125" style="110" customWidth="1"/>
    <col min="5383" max="5385" width="0" style="110" hidden="1" customWidth="1"/>
    <col min="5386" max="5386" width="10.42578125" style="110" customWidth="1"/>
    <col min="5387" max="5388" width="11" style="110" customWidth="1"/>
    <col min="5389" max="5389" width="9.42578125" style="110" customWidth="1"/>
    <col min="5390" max="5390" width="10" style="110" customWidth="1"/>
    <col min="5391" max="5391" width="11" style="110" customWidth="1"/>
    <col min="5392" max="5392" width="9.5703125" style="110" customWidth="1"/>
    <col min="5393" max="5393" width="10.140625" style="110" customWidth="1"/>
    <col min="5394" max="5433" width="10.7109375" style="110" customWidth="1"/>
    <col min="5434" max="5434" width="1.85546875" style="110" bestFit="1" customWidth="1"/>
    <col min="5435" max="5435" width="34.5703125" style="110" bestFit="1" customWidth="1"/>
    <col min="5436" max="5437" width="10.7109375" style="110" customWidth="1"/>
    <col min="5438" max="5438" width="2.7109375" style="110" bestFit="1" customWidth="1"/>
    <col min="5439" max="5439" width="11.5703125" style="110" bestFit="1" customWidth="1"/>
    <col min="5440" max="5616" width="10.7109375" style="110"/>
    <col min="5617" max="5617" width="5.28515625" style="110" customWidth="1"/>
    <col min="5618" max="5618" width="6.42578125" style="110" customWidth="1"/>
    <col min="5619" max="5619" width="22" style="110" customWidth="1"/>
    <col min="5620" max="5620" width="7.5703125" style="110" bestFit="1" customWidth="1"/>
    <col min="5621" max="5621" width="4.42578125" style="110" customWidth="1"/>
    <col min="5622" max="5622" width="7.42578125" style="110" bestFit="1" customWidth="1"/>
    <col min="5623" max="5623" width="2.85546875" style="110" bestFit="1" customWidth="1"/>
    <col min="5624" max="5624" width="7" style="110" bestFit="1" customWidth="1"/>
    <col min="5625" max="5625" width="5.7109375" style="110" bestFit="1" customWidth="1"/>
    <col min="5626" max="5626" width="7.85546875" style="110" bestFit="1" customWidth="1"/>
    <col min="5627" max="5628" width="0" style="110" hidden="1" customWidth="1"/>
    <col min="5629" max="5629" width="12.5703125" style="110" customWidth="1"/>
    <col min="5630" max="5630" width="0" style="110" hidden="1" customWidth="1"/>
    <col min="5631" max="5631" width="11" style="110" customWidth="1"/>
    <col min="5632" max="5632" width="9.140625" style="110" customWidth="1"/>
    <col min="5633" max="5633" width="9.85546875" style="110" customWidth="1"/>
    <col min="5634" max="5637" width="0" style="110" hidden="1" customWidth="1"/>
    <col min="5638" max="5638" width="1.5703125" style="110" customWidth="1"/>
    <col min="5639" max="5641" width="0" style="110" hidden="1" customWidth="1"/>
    <col min="5642" max="5642" width="10.42578125" style="110" customWidth="1"/>
    <col min="5643" max="5644" width="11" style="110" customWidth="1"/>
    <col min="5645" max="5645" width="9.42578125" style="110" customWidth="1"/>
    <col min="5646" max="5646" width="10" style="110" customWidth="1"/>
    <col min="5647" max="5647" width="11" style="110" customWidth="1"/>
    <col min="5648" max="5648" width="9.5703125" style="110" customWidth="1"/>
    <col min="5649" max="5649" width="10.140625" style="110" customWidth="1"/>
    <col min="5650" max="5689" width="10.7109375" style="110" customWidth="1"/>
    <col min="5690" max="5690" width="1.85546875" style="110" bestFit="1" customWidth="1"/>
    <col min="5691" max="5691" width="34.5703125" style="110" bestFit="1" customWidth="1"/>
    <col min="5692" max="5693" width="10.7109375" style="110" customWidth="1"/>
    <col min="5694" max="5694" width="2.7109375" style="110" bestFit="1" customWidth="1"/>
    <col min="5695" max="5695" width="11.5703125" style="110" bestFit="1" customWidth="1"/>
    <col min="5696" max="5872" width="10.7109375" style="110"/>
    <col min="5873" max="5873" width="5.28515625" style="110" customWidth="1"/>
    <col min="5874" max="5874" width="6.42578125" style="110" customWidth="1"/>
    <col min="5875" max="5875" width="22" style="110" customWidth="1"/>
    <col min="5876" max="5876" width="7.5703125" style="110" bestFit="1" customWidth="1"/>
    <col min="5877" max="5877" width="4.42578125" style="110" customWidth="1"/>
    <col min="5878" max="5878" width="7.42578125" style="110" bestFit="1" customWidth="1"/>
    <col min="5879" max="5879" width="2.85546875" style="110" bestFit="1" customWidth="1"/>
    <col min="5880" max="5880" width="7" style="110" bestFit="1" customWidth="1"/>
    <col min="5881" max="5881" width="5.7109375" style="110" bestFit="1" customWidth="1"/>
    <col min="5882" max="5882" width="7.85546875" style="110" bestFit="1" customWidth="1"/>
    <col min="5883" max="5884" width="0" style="110" hidden="1" customWidth="1"/>
    <col min="5885" max="5885" width="12.5703125" style="110" customWidth="1"/>
    <col min="5886" max="5886" width="0" style="110" hidden="1" customWidth="1"/>
    <col min="5887" max="5887" width="11" style="110" customWidth="1"/>
    <col min="5888" max="5888" width="9.140625" style="110" customWidth="1"/>
    <col min="5889" max="5889" width="9.85546875" style="110" customWidth="1"/>
    <col min="5890" max="5893" width="0" style="110" hidden="1" customWidth="1"/>
    <col min="5894" max="5894" width="1.5703125" style="110" customWidth="1"/>
    <col min="5895" max="5897" width="0" style="110" hidden="1" customWidth="1"/>
    <col min="5898" max="5898" width="10.42578125" style="110" customWidth="1"/>
    <col min="5899" max="5900" width="11" style="110" customWidth="1"/>
    <col min="5901" max="5901" width="9.42578125" style="110" customWidth="1"/>
    <col min="5902" max="5902" width="10" style="110" customWidth="1"/>
    <col min="5903" max="5903" width="11" style="110" customWidth="1"/>
    <col min="5904" max="5904" width="9.5703125" style="110" customWidth="1"/>
    <col min="5905" max="5905" width="10.140625" style="110" customWidth="1"/>
    <col min="5906" max="5945" width="10.7109375" style="110" customWidth="1"/>
    <col min="5946" max="5946" width="1.85546875" style="110" bestFit="1" customWidth="1"/>
    <col min="5947" max="5947" width="34.5703125" style="110" bestFit="1" customWidth="1"/>
    <col min="5948" max="5949" width="10.7109375" style="110" customWidth="1"/>
    <col min="5950" max="5950" width="2.7109375" style="110" bestFit="1" customWidth="1"/>
    <col min="5951" max="5951" width="11.5703125" style="110" bestFit="1" customWidth="1"/>
    <col min="5952" max="6128" width="10.7109375" style="110"/>
    <col min="6129" max="6129" width="5.28515625" style="110" customWidth="1"/>
    <col min="6130" max="6130" width="6.42578125" style="110" customWidth="1"/>
    <col min="6131" max="6131" width="22" style="110" customWidth="1"/>
    <col min="6132" max="6132" width="7.5703125" style="110" bestFit="1" customWidth="1"/>
    <col min="6133" max="6133" width="4.42578125" style="110" customWidth="1"/>
    <col min="6134" max="6134" width="7.42578125" style="110" bestFit="1" customWidth="1"/>
    <col min="6135" max="6135" width="2.85546875" style="110" bestFit="1" customWidth="1"/>
    <col min="6136" max="6136" width="7" style="110" bestFit="1" customWidth="1"/>
    <col min="6137" max="6137" width="5.7109375" style="110" bestFit="1" customWidth="1"/>
    <col min="6138" max="6138" width="7.85546875" style="110" bestFit="1" customWidth="1"/>
    <col min="6139" max="6140" width="0" style="110" hidden="1" customWidth="1"/>
    <col min="6141" max="6141" width="12.5703125" style="110" customWidth="1"/>
    <col min="6142" max="6142" width="0" style="110" hidden="1" customWidth="1"/>
    <col min="6143" max="6143" width="11" style="110" customWidth="1"/>
    <col min="6144" max="6144" width="9.140625" style="110" customWidth="1"/>
    <col min="6145" max="6145" width="9.85546875" style="110" customWidth="1"/>
    <col min="6146" max="6149" width="0" style="110" hidden="1" customWidth="1"/>
    <col min="6150" max="6150" width="1.5703125" style="110" customWidth="1"/>
    <col min="6151" max="6153" width="0" style="110" hidden="1" customWidth="1"/>
    <col min="6154" max="6154" width="10.42578125" style="110" customWidth="1"/>
    <col min="6155" max="6156" width="11" style="110" customWidth="1"/>
    <col min="6157" max="6157" width="9.42578125" style="110" customWidth="1"/>
    <col min="6158" max="6158" width="10" style="110" customWidth="1"/>
    <col min="6159" max="6159" width="11" style="110" customWidth="1"/>
    <col min="6160" max="6160" width="9.5703125" style="110" customWidth="1"/>
    <col min="6161" max="6161" width="10.140625" style="110" customWidth="1"/>
    <col min="6162" max="6201" width="10.7109375" style="110" customWidth="1"/>
    <col min="6202" max="6202" width="1.85546875" style="110" bestFit="1" customWidth="1"/>
    <col min="6203" max="6203" width="34.5703125" style="110" bestFit="1" customWidth="1"/>
    <col min="6204" max="6205" width="10.7109375" style="110" customWidth="1"/>
    <col min="6206" max="6206" width="2.7109375" style="110" bestFit="1" customWidth="1"/>
    <col min="6207" max="6207" width="11.5703125" style="110" bestFit="1" customWidth="1"/>
    <col min="6208" max="6384" width="10.7109375" style="110"/>
    <col min="6385" max="6385" width="5.28515625" style="110" customWidth="1"/>
    <col min="6386" max="6386" width="6.42578125" style="110" customWidth="1"/>
    <col min="6387" max="6387" width="22" style="110" customWidth="1"/>
    <col min="6388" max="6388" width="7.5703125" style="110" bestFit="1" customWidth="1"/>
    <col min="6389" max="6389" width="4.42578125" style="110" customWidth="1"/>
    <col min="6390" max="6390" width="7.42578125" style="110" bestFit="1" customWidth="1"/>
    <col min="6391" max="6391" width="2.85546875" style="110" bestFit="1" customWidth="1"/>
    <col min="6392" max="6392" width="7" style="110" bestFit="1" customWidth="1"/>
    <col min="6393" max="6393" width="5.7109375" style="110" bestFit="1" customWidth="1"/>
    <col min="6394" max="6394" width="7.85546875" style="110" bestFit="1" customWidth="1"/>
    <col min="6395" max="6396" width="0" style="110" hidden="1" customWidth="1"/>
    <col min="6397" max="6397" width="12.5703125" style="110" customWidth="1"/>
    <col min="6398" max="6398" width="0" style="110" hidden="1" customWidth="1"/>
    <col min="6399" max="6399" width="11" style="110" customWidth="1"/>
    <col min="6400" max="6400" width="9.140625" style="110" customWidth="1"/>
    <col min="6401" max="6401" width="9.85546875" style="110" customWidth="1"/>
    <col min="6402" max="6405" width="0" style="110" hidden="1" customWidth="1"/>
    <col min="6406" max="6406" width="1.5703125" style="110" customWidth="1"/>
    <col min="6407" max="6409" width="0" style="110" hidden="1" customWidth="1"/>
    <col min="6410" max="6410" width="10.42578125" style="110" customWidth="1"/>
    <col min="6411" max="6412" width="11" style="110" customWidth="1"/>
    <col min="6413" max="6413" width="9.42578125" style="110" customWidth="1"/>
    <col min="6414" max="6414" width="10" style="110" customWidth="1"/>
    <col min="6415" max="6415" width="11" style="110" customWidth="1"/>
    <col min="6416" max="6416" width="9.5703125" style="110" customWidth="1"/>
    <col min="6417" max="6417" width="10.140625" style="110" customWidth="1"/>
    <col min="6418" max="6457" width="10.7109375" style="110" customWidth="1"/>
    <col min="6458" max="6458" width="1.85546875" style="110" bestFit="1" customWidth="1"/>
    <col min="6459" max="6459" width="34.5703125" style="110" bestFit="1" customWidth="1"/>
    <col min="6460" max="6461" width="10.7109375" style="110" customWidth="1"/>
    <col min="6462" max="6462" width="2.7109375" style="110" bestFit="1" customWidth="1"/>
    <col min="6463" max="6463" width="11.5703125" style="110" bestFit="1" customWidth="1"/>
    <col min="6464" max="6640" width="10.7109375" style="110"/>
    <col min="6641" max="6641" width="5.28515625" style="110" customWidth="1"/>
    <col min="6642" max="6642" width="6.42578125" style="110" customWidth="1"/>
    <col min="6643" max="6643" width="22" style="110" customWidth="1"/>
    <col min="6644" max="6644" width="7.5703125" style="110" bestFit="1" customWidth="1"/>
    <col min="6645" max="6645" width="4.42578125" style="110" customWidth="1"/>
    <col min="6646" max="6646" width="7.42578125" style="110" bestFit="1" customWidth="1"/>
    <col min="6647" max="6647" width="2.85546875" style="110" bestFit="1" customWidth="1"/>
    <col min="6648" max="6648" width="7" style="110" bestFit="1" customWidth="1"/>
    <col min="6649" max="6649" width="5.7109375" style="110" bestFit="1" customWidth="1"/>
    <col min="6650" max="6650" width="7.85546875" style="110" bestFit="1" customWidth="1"/>
    <col min="6651" max="6652" width="0" style="110" hidden="1" customWidth="1"/>
    <col min="6653" max="6653" width="12.5703125" style="110" customWidth="1"/>
    <col min="6654" max="6654" width="0" style="110" hidden="1" customWidth="1"/>
    <col min="6655" max="6655" width="11" style="110" customWidth="1"/>
    <col min="6656" max="6656" width="9.140625" style="110" customWidth="1"/>
    <col min="6657" max="6657" width="9.85546875" style="110" customWidth="1"/>
    <col min="6658" max="6661" width="0" style="110" hidden="1" customWidth="1"/>
    <col min="6662" max="6662" width="1.5703125" style="110" customWidth="1"/>
    <col min="6663" max="6665" width="0" style="110" hidden="1" customWidth="1"/>
    <col min="6666" max="6666" width="10.42578125" style="110" customWidth="1"/>
    <col min="6667" max="6668" width="11" style="110" customWidth="1"/>
    <col min="6669" max="6669" width="9.42578125" style="110" customWidth="1"/>
    <col min="6670" max="6670" width="10" style="110" customWidth="1"/>
    <col min="6671" max="6671" width="11" style="110" customWidth="1"/>
    <col min="6672" max="6672" width="9.5703125" style="110" customWidth="1"/>
    <col min="6673" max="6673" width="10.140625" style="110" customWidth="1"/>
    <col min="6674" max="6713" width="10.7109375" style="110" customWidth="1"/>
    <col min="6714" max="6714" width="1.85546875" style="110" bestFit="1" customWidth="1"/>
    <col min="6715" max="6715" width="34.5703125" style="110" bestFit="1" customWidth="1"/>
    <col min="6716" max="6717" width="10.7109375" style="110" customWidth="1"/>
    <col min="6718" max="6718" width="2.7109375" style="110" bestFit="1" customWidth="1"/>
    <col min="6719" max="6719" width="11.5703125" style="110" bestFit="1" customWidth="1"/>
    <col min="6720" max="6896" width="10.7109375" style="110"/>
    <col min="6897" max="6897" width="5.28515625" style="110" customWidth="1"/>
    <col min="6898" max="6898" width="6.42578125" style="110" customWidth="1"/>
    <col min="6899" max="6899" width="22" style="110" customWidth="1"/>
    <col min="6900" max="6900" width="7.5703125" style="110" bestFit="1" customWidth="1"/>
    <col min="6901" max="6901" width="4.42578125" style="110" customWidth="1"/>
    <col min="6902" max="6902" width="7.42578125" style="110" bestFit="1" customWidth="1"/>
    <col min="6903" max="6903" width="2.85546875" style="110" bestFit="1" customWidth="1"/>
    <col min="6904" max="6904" width="7" style="110" bestFit="1" customWidth="1"/>
    <col min="6905" max="6905" width="5.7109375" style="110" bestFit="1" customWidth="1"/>
    <col min="6906" max="6906" width="7.85546875" style="110" bestFit="1" customWidth="1"/>
    <col min="6907" max="6908" width="0" style="110" hidden="1" customWidth="1"/>
    <col min="6909" max="6909" width="12.5703125" style="110" customWidth="1"/>
    <col min="6910" max="6910" width="0" style="110" hidden="1" customWidth="1"/>
    <col min="6911" max="6911" width="11" style="110" customWidth="1"/>
    <col min="6912" max="6912" width="9.140625" style="110" customWidth="1"/>
    <col min="6913" max="6913" width="9.85546875" style="110" customWidth="1"/>
    <col min="6914" max="6917" width="0" style="110" hidden="1" customWidth="1"/>
    <col min="6918" max="6918" width="1.5703125" style="110" customWidth="1"/>
    <col min="6919" max="6921" width="0" style="110" hidden="1" customWidth="1"/>
    <col min="6922" max="6922" width="10.42578125" style="110" customWidth="1"/>
    <col min="6923" max="6924" width="11" style="110" customWidth="1"/>
    <col min="6925" max="6925" width="9.42578125" style="110" customWidth="1"/>
    <col min="6926" max="6926" width="10" style="110" customWidth="1"/>
    <col min="6927" max="6927" width="11" style="110" customWidth="1"/>
    <col min="6928" max="6928" width="9.5703125" style="110" customWidth="1"/>
    <col min="6929" max="6929" width="10.140625" style="110" customWidth="1"/>
    <col min="6930" max="6969" width="10.7109375" style="110" customWidth="1"/>
    <col min="6970" max="6970" width="1.85546875" style="110" bestFit="1" customWidth="1"/>
    <col min="6971" max="6971" width="34.5703125" style="110" bestFit="1" customWidth="1"/>
    <col min="6972" max="6973" width="10.7109375" style="110" customWidth="1"/>
    <col min="6974" max="6974" width="2.7109375" style="110" bestFit="1" customWidth="1"/>
    <col min="6975" max="6975" width="11.5703125" style="110" bestFit="1" customWidth="1"/>
    <col min="6976" max="7152" width="10.7109375" style="110"/>
    <col min="7153" max="7153" width="5.28515625" style="110" customWidth="1"/>
    <col min="7154" max="7154" width="6.42578125" style="110" customWidth="1"/>
    <col min="7155" max="7155" width="22" style="110" customWidth="1"/>
    <col min="7156" max="7156" width="7.5703125" style="110" bestFit="1" customWidth="1"/>
    <col min="7157" max="7157" width="4.42578125" style="110" customWidth="1"/>
    <col min="7158" max="7158" width="7.42578125" style="110" bestFit="1" customWidth="1"/>
    <col min="7159" max="7159" width="2.85546875" style="110" bestFit="1" customWidth="1"/>
    <col min="7160" max="7160" width="7" style="110" bestFit="1" customWidth="1"/>
    <col min="7161" max="7161" width="5.7109375" style="110" bestFit="1" customWidth="1"/>
    <col min="7162" max="7162" width="7.85546875" style="110" bestFit="1" customWidth="1"/>
    <col min="7163" max="7164" width="0" style="110" hidden="1" customWidth="1"/>
    <col min="7165" max="7165" width="12.5703125" style="110" customWidth="1"/>
    <col min="7166" max="7166" width="0" style="110" hidden="1" customWidth="1"/>
    <col min="7167" max="7167" width="11" style="110" customWidth="1"/>
    <col min="7168" max="7168" width="9.140625" style="110" customWidth="1"/>
    <col min="7169" max="7169" width="9.85546875" style="110" customWidth="1"/>
    <col min="7170" max="7173" width="0" style="110" hidden="1" customWidth="1"/>
    <col min="7174" max="7174" width="1.5703125" style="110" customWidth="1"/>
    <col min="7175" max="7177" width="0" style="110" hidden="1" customWidth="1"/>
    <col min="7178" max="7178" width="10.42578125" style="110" customWidth="1"/>
    <col min="7179" max="7180" width="11" style="110" customWidth="1"/>
    <col min="7181" max="7181" width="9.42578125" style="110" customWidth="1"/>
    <col min="7182" max="7182" width="10" style="110" customWidth="1"/>
    <col min="7183" max="7183" width="11" style="110" customWidth="1"/>
    <col min="7184" max="7184" width="9.5703125" style="110" customWidth="1"/>
    <col min="7185" max="7185" width="10.140625" style="110" customWidth="1"/>
    <col min="7186" max="7225" width="10.7109375" style="110" customWidth="1"/>
    <col min="7226" max="7226" width="1.85546875" style="110" bestFit="1" customWidth="1"/>
    <col min="7227" max="7227" width="34.5703125" style="110" bestFit="1" customWidth="1"/>
    <col min="7228" max="7229" width="10.7109375" style="110" customWidth="1"/>
    <col min="7230" max="7230" width="2.7109375" style="110" bestFit="1" customWidth="1"/>
    <col min="7231" max="7231" width="11.5703125" style="110" bestFit="1" customWidth="1"/>
    <col min="7232" max="7408" width="10.7109375" style="110"/>
    <col min="7409" max="7409" width="5.28515625" style="110" customWidth="1"/>
    <col min="7410" max="7410" width="6.42578125" style="110" customWidth="1"/>
    <col min="7411" max="7411" width="22" style="110" customWidth="1"/>
    <col min="7412" max="7412" width="7.5703125" style="110" bestFit="1" customWidth="1"/>
    <col min="7413" max="7413" width="4.42578125" style="110" customWidth="1"/>
    <col min="7414" max="7414" width="7.42578125" style="110" bestFit="1" customWidth="1"/>
    <col min="7415" max="7415" width="2.85546875" style="110" bestFit="1" customWidth="1"/>
    <col min="7416" max="7416" width="7" style="110" bestFit="1" customWidth="1"/>
    <col min="7417" max="7417" width="5.7109375" style="110" bestFit="1" customWidth="1"/>
    <col min="7418" max="7418" width="7.85546875" style="110" bestFit="1" customWidth="1"/>
    <col min="7419" max="7420" width="0" style="110" hidden="1" customWidth="1"/>
    <col min="7421" max="7421" width="12.5703125" style="110" customWidth="1"/>
    <col min="7422" max="7422" width="0" style="110" hidden="1" customWidth="1"/>
    <col min="7423" max="7423" width="11" style="110" customWidth="1"/>
    <col min="7424" max="7424" width="9.140625" style="110" customWidth="1"/>
    <col min="7425" max="7425" width="9.85546875" style="110" customWidth="1"/>
    <col min="7426" max="7429" width="0" style="110" hidden="1" customWidth="1"/>
    <col min="7430" max="7430" width="1.5703125" style="110" customWidth="1"/>
    <col min="7431" max="7433" width="0" style="110" hidden="1" customWidth="1"/>
    <col min="7434" max="7434" width="10.42578125" style="110" customWidth="1"/>
    <col min="7435" max="7436" width="11" style="110" customWidth="1"/>
    <col min="7437" max="7437" width="9.42578125" style="110" customWidth="1"/>
    <col min="7438" max="7438" width="10" style="110" customWidth="1"/>
    <col min="7439" max="7439" width="11" style="110" customWidth="1"/>
    <col min="7440" max="7440" width="9.5703125" style="110" customWidth="1"/>
    <col min="7441" max="7441" width="10.140625" style="110" customWidth="1"/>
    <col min="7442" max="7481" width="10.7109375" style="110" customWidth="1"/>
    <col min="7482" max="7482" width="1.85546875" style="110" bestFit="1" customWidth="1"/>
    <col min="7483" max="7483" width="34.5703125" style="110" bestFit="1" customWidth="1"/>
    <col min="7484" max="7485" width="10.7109375" style="110" customWidth="1"/>
    <col min="7486" max="7486" width="2.7109375" style="110" bestFit="1" customWidth="1"/>
    <col min="7487" max="7487" width="11.5703125" style="110" bestFit="1" customWidth="1"/>
    <col min="7488" max="7664" width="10.7109375" style="110"/>
    <col min="7665" max="7665" width="5.28515625" style="110" customWidth="1"/>
    <col min="7666" max="7666" width="6.42578125" style="110" customWidth="1"/>
    <col min="7667" max="7667" width="22" style="110" customWidth="1"/>
    <col min="7668" max="7668" width="7.5703125" style="110" bestFit="1" customWidth="1"/>
    <col min="7669" max="7669" width="4.42578125" style="110" customWidth="1"/>
    <col min="7670" max="7670" width="7.42578125" style="110" bestFit="1" customWidth="1"/>
    <col min="7671" max="7671" width="2.85546875" style="110" bestFit="1" customWidth="1"/>
    <col min="7672" max="7672" width="7" style="110" bestFit="1" customWidth="1"/>
    <col min="7673" max="7673" width="5.7109375" style="110" bestFit="1" customWidth="1"/>
    <col min="7674" max="7674" width="7.85546875" style="110" bestFit="1" customWidth="1"/>
    <col min="7675" max="7676" width="0" style="110" hidden="1" customWidth="1"/>
    <col min="7677" max="7677" width="12.5703125" style="110" customWidth="1"/>
    <col min="7678" max="7678" width="0" style="110" hidden="1" customWidth="1"/>
    <col min="7679" max="7679" width="11" style="110" customWidth="1"/>
    <col min="7680" max="7680" width="9.140625" style="110" customWidth="1"/>
    <col min="7681" max="7681" width="9.85546875" style="110" customWidth="1"/>
    <col min="7682" max="7685" width="0" style="110" hidden="1" customWidth="1"/>
    <col min="7686" max="7686" width="1.5703125" style="110" customWidth="1"/>
    <col min="7687" max="7689" width="0" style="110" hidden="1" customWidth="1"/>
    <col min="7690" max="7690" width="10.42578125" style="110" customWidth="1"/>
    <col min="7691" max="7692" width="11" style="110" customWidth="1"/>
    <col min="7693" max="7693" width="9.42578125" style="110" customWidth="1"/>
    <col min="7694" max="7694" width="10" style="110" customWidth="1"/>
    <col min="7695" max="7695" width="11" style="110" customWidth="1"/>
    <col min="7696" max="7696" width="9.5703125" style="110" customWidth="1"/>
    <col min="7697" max="7697" width="10.140625" style="110" customWidth="1"/>
    <col min="7698" max="7737" width="10.7109375" style="110" customWidth="1"/>
    <col min="7738" max="7738" width="1.85546875" style="110" bestFit="1" customWidth="1"/>
    <col min="7739" max="7739" width="34.5703125" style="110" bestFit="1" customWidth="1"/>
    <col min="7740" max="7741" width="10.7109375" style="110" customWidth="1"/>
    <col min="7742" max="7742" width="2.7109375" style="110" bestFit="1" customWidth="1"/>
    <col min="7743" max="7743" width="11.5703125" style="110" bestFit="1" customWidth="1"/>
    <col min="7744" max="7920" width="10.7109375" style="110"/>
    <col min="7921" max="7921" width="5.28515625" style="110" customWidth="1"/>
    <col min="7922" max="7922" width="6.42578125" style="110" customWidth="1"/>
    <col min="7923" max="7923" width="22" style="110" customWidth="1"/>
    <col min="7924" max="7924" width="7.5703125" style="110" bestFit="1" customWidth="1"/>
    <col min="7925" max="7925" width="4.42578125" style="110" customWidth="1"/>
    <col min="7926" max="7926" width="7.42578125" style="110" bestFit="1" customWidth="1"/>
    <col min="7927" max="7927" width="2.85546875" style="110" bestFit="1" customWidth="1"/>
    <col min="7928" max="7928" width="7" style="110" bestFit="1" customWidth="1"/>
    <col min="7929" max="7929" width="5.7109375" style="110" bestFit="1" customWidth="1"/>
    <col min="7930" max="7930" width="7.85546875" style="110" bestFit="1" customWidth="1"/>
    <col min="7931" max="7932" width="0" style="110" hidden="1" customWidth="1"/>
    <col min="7933" max="7933" width="12.5703125" style="110" customWidth="1"/>
    <col min="7934" max="7934" width="0" style="110" hidden="1" customWidth="1"/>
    <col min="7935" max="7935" width="11" style="110" customWidth="1"/>
    <col min="7936" max="7936" width="9.140625" style="110" customWidth="1"/>
    <col min="7937" max="7937" width="9.85546875" style="110" customWidth="1"/>
    <col min="7938" max="7941" width="0" style="110" hidden="1" customWidth="1"/>
    <col min="7942" max="7942" width="1.5703125" style="110" customWidth="1"/>
    <col min="7943" max="7945" width="0" style="110" hidden="1" customWidth="1"/>
    <col min="7946" max="7946" width="10.42578125" style="110" customWidth="1"/>
    <col min="7947" max="7948" width="11" style="110" customWidth="1"/>
    <col min="7949" max="7949" width="9.42578125" style="110" customWidth="1"/>
    <col min="7950" max="7950" width="10" style="110" customWidth="1"/>
    <col min="7951" max="7951" width="11" style="110" customWidth="1"/>
    <col min="7952" max="7952" width="9.5703125" style="110" customWidth="1"/>
    <col min="7953" max="7953" width="10.140625" style="110" customWidth="1"/>
    <col min="7954" max="7993" width="10.7109375" style="110" customWidth="1"/>
    <col min="7994" max="7994" width="1.85546875" style="110" bestFit="1" customWidth="1"/>
    <col min="7995" max="7995" width="34.5703125" style="110" bestFit="1" customWidth="1"/>
    <col min="7996" max="7997" width="10.7109375" style="110" customWidth="1"/>
    <col min="7998" max="7998" width="2.7109375" style="110" bestFit="1" customWidth="1"/>
    <col min="7999" max="7999" width="11.5703125" style="110" bestFit="1" customWidth="1"/>
    <col min="8000" max="8176" width="10.7109375" style="110"/>
    <col min="8177" max="8177" width="5.28515625" style="110" customWidth="1"/>
    <col min="8178" max="8178" width="6.42578125" style="110" customWidth="1"/>
    <col min="8179" max="8179" width="22" style="110" customWidth="1"/>
    <col min="8180" max="8180" width="7.5703125" style="110" bestFit="1" customWidth="1"/>
    <col min="8181" max="8181" width="4.42578125" style="110" customWidth="1"/>
    <col min="8182" max="8182" width="7.42578125" style="110" bestFit="1" customWidth="1"/>
    <col min="8183" max="8183" width="2.85546875" style="110" bestFit="1" customWidth="1"/>
    <col min="8184" max="8184" width="7" style="110" bestFit="1" customWidth="1"/>
    <col min="8185" max="8185" width="5.7109375" style="110" bestFit="1" customWidth="1"/>
    <col min="8186" max="8186" width="7.85546875" style="110" bestFit="1" customWidth="1"/>
    <col min="8187" max="8188" width="0" style="110" hidden="1" customWidth="1"/>
    <col min="8189" max="8189" width="12.5703125" style="110" customWidth="1"/>
    <col min="8190" max="8190" width="0" style="110" hidden="1" customWidth="1"/>
    <col min="8191" max="8191" width="11" style="110" customWidth="1"/>
    <col min="8192" max="8192" width="9.140625" style="110" customWidth="1"/>
    <col min="8193" max="8193" width="9.85546875" style="110" customWidth="1"/>
    <col min="8194" max="8197" width="0" style="110" hidden="1" customWidth="1"/>
    <col min="8198" max="8198" width="1.5703125" style="110" customWidth="1"/>
    <col min="8199" max="8201" width="0" style="110" hidden="1" customWidth="1"/>
    <col min="8202" max="8202" width="10.42578125" style="110" customWidth="1"/>
    <col min="8203" max="8204" width="11" style="110" customWidth="1"/>
    <col min="8205" max="8205" width="9.42578125" style="110" customWidth="1"/>
    <col min="8206" max="8206" width="10" style="110" customWidth="1"/>
    <col min="8207" max="8207" width="11" style="110" customWidth="1"/>
    <col min="8208" max="8208" width="9.5703125" style="110" customWidth="1"/>
    <col min="8209" max="8209" width="10.140625" style="110" customWidth="1"/>
    <col min="8210" max="8249" width="10.7109375" style="110" customWidth="1"/>
    <col min="8250" max="8250" width="1.85546875" style="110" bestFit="1" customWidth="1"/>
    <col min="8251" max="8251" width="34.5703125" style="110" bestFit="1" customWidth="1"/>
    <col min="8252" max="8253" width="10.7109375" style="110" customWidth="1"/>
    <col min="8254" max="8254" width="2.7109375" style="110" bestFit="1" customWidth="1"/>
    <col min="8255" max="8255" width="11.5703125" style="110" bestFit="1" customWidth="1"/>
    <col min="8256" max="8432" width="10.7109375" style="110"/>
    <col min="8433" max="8433" width="5.28515625" style="110" customWidth="1"/>
    <col min="8434" max="8434" width="6.42578125" style="110" customWidth="1"/>
    <col min="8435" max="8435" width="22" style="110" customWidth="1"/>
    <col min="8436" max="8436" width="7.5703125" style="110" bestFit="1" customWidth="1"/>
    <col min="8437" max="8437" width="4.42578125" style="110" customWidth="1"/>
    <col min="8438" max="8438" width="7.42578125" style="110" bestFit="1" customWidth="1"/>
    <col min="8439" max="8439" width="2.85546875" style="110" bestFit="1" customWidth="1"/>
    <col min="8440" max="8440" width="7" style="110" bestFit="1" customWidth="1"/>
    <col min="8441" max="8441" width="5.7109375" style="110" bestFit="1" customWidth="1"/>
    <col min="8442" max="8442" width="7.85546875" style="110" bestFit="1" customWidth="1"/>
    <col min="8443" max="8444" width="0" style="110" hidden="1" customWidth="1"/>
    <col min="8445" max="8445" width="12.5703125" style="110" customWidth="1"/>
    <col min="8446" max="8446" width="0" style="110" hidden="1" customWidth="1"/>
    <col min="8447" max="8447" width="11" style="110" customWidth="1"/>
    <col min="8448" max="8448" width="9.140625" style="110" customWidth="1"/>
    <col min="8449" max="8449" width="9.85546875" style="110" customWidth="1"/>
    <col min="8450" max="8453" width="0" style="110" hidden="1" customWidth="1"/>
    <col min="8454" max="8454" width="1.5703125" style="110" customWidth="1"/>
    <col min="8455" max="8457" width="0" style="110" hidden="1" customWidth="1"/>
    <col min="8458" max="8458" width="10.42578125" style="110" customWidth="1"/>
    <col min="8459" max="8460" width="11" style="110" customWidth="1"/>
    <col min="8461" max="8461" width="9.42578125" style="110" customWidth="1"/>
    <col min="8462" max="8462" width="10" style="110" customWidth="1"/>
    <col min="8463" max="8463" width="11" style="110" customWidth="1"/>
    <col min="8464" max="8464" width="9.5703125" style="110" customWidth="1"/>
    <col min="8465" max="8465" width="10.140625" style="110" customWidth="1"/>
    <col min="8466" max="8505" width="10.7109375" style="110" customWidth="1"/>
    <col min="8506" max="8506" width="1.85546875" style="110" bestFit="1" customWidth="1"/>
    <col min="8507" max="8507" width="34.5703125" style="110" bestFit="1" customWidth="1"/>
    <col min="8508" max="8509" width="10.7109375" style="110" customWidth="1"/>
    <col min="8510" max="8510" width="2.7109375" style="110" bestFit="1" customWidth="1"/>
    <col min="8511" max="8511" width="11.5703125" style="110" bestFit="1" customWidth="1"/>
    <col min="8512" max="8688" width="10.7109375" style="110"/>
    <col min="8689" max="8689" width="5.28515625" style="110" customWidth="1"/>
    <col min="8690" max="8690" width="6.42578125" style="110" customWidth="1"/>
    <col min="8691" max="8691" width="22" style="110" customWidth="1"/>
    <col min="8692" max="8692" width="7.5703125" style="110" bestFit="1" customWidth="1"/>
    <col min="8693" max="8693" width="4.42578125" style="110" customWidth="1"/>
    <col min="8694" max="8694" width="7.42578125" style="110" bestFit="1" customWidth="1"/>
    <col min="8695" max="8695" width="2.85546875" style="110" bestFit="1" customWidth="1"/>
    <col min="8696" max="8696" width="7" style="110" bestFit="1" customWidth="1"/>
    <col min="8697" max="8697" width="5.7109375" style="110" bestFit="1" customWidth="1"/>
    <col min="8698" max="8698" width="7.85546875" style="110" bestFit="1" customWidth="1"/>
    <col min="8699" max="8700" width="0" style="110" hidden="1" customWidth="1"/>
    <col min="8701" max="8701" width="12.5703125" style="110" customWidth="1"/>
    <col min="8702" max="8702" width="0" style="110" hidden="1" customWidth="1"/>
    <col min="8703" max="8703" width="11" style="110" customWidth="1"/>
    <col min="8704" max="8704" width="9.140625" style="110" customWidth="1"/>
    <col min="8705" max="8705" width="9.85546875" style="110" customWidth="1"/>
    <col min="8706" max="8709" width="0" style="110" hidden="1" customWidth="1"/>
    <col min="8710" max="8710" width="1.5703125" style="110" customWidth="1"/>
    <col min="8711" max="8713" width="0" style="110" hidden="1" customWidth="1"/>
    <col min="8714" max="8714" width="10.42578125" style="110" customWidth="1"/>
    <col min="8715" max="8716" width="11" style="110" customWidth="1"/>
    <col min="8717" max="8717" width="9.42578125" style="110" customWidth="1"/>
    <col min="8718" max="8718" width="10" style="110" customWidth="1"/>
    <col min="8719" max="8719" width="11" style="110" customWidth="1"/>
    <col min="8720" max="8720" width="9.5703125" style="110" customWidth="1"/>
    <col min="8721" max="8721" width="10.140625" style="110" customWidth="1"/>
    <col min="8722" max="8761" width="10.7109375" style="110" customWidth="1"/>
    <col min="8762" max="8762" width="1.85546875" style="110" bestFit="1" customWidth="1"/>
    <col min="8763" max="8763" width="34.5703125" style="110" bestFit="1" customWidth="1"/>
    <col min="8764" max="8765" width="10.7109375" style="110" customWidth="1"/>
    <col min="8766" max="8766" width="2.7109375" style="110" bestFit="1" customWidth="1"/>
    <col min="8767" max="8767" width="11.5703125" style="110" bestFit="1" customWidth="1"/>
    <col min="8768" max="8944" width="10.7109375" style="110"/>
    <col min="8945" max="8945" width="5.28515625" style="110" customWidth="1"/>
    <col min="8946" max="8946" width="6.42578125" style="110" customWidth="1"/>
    <col min="8947" max="8947" width="22" style="110" customWidth="1"/>
    <col min="8948" max="8948" width="7.5703125" style="110" bestFit="1" customWidth="1"/>
    <col min="8949" max="8949" width="4.42578125" style="110" customWidth="1"/>
    <col min="8950" max="8950" width="7.42578125" style="110" bestFit="1" customWidth="1"/>
    <col min="8951" max="8951" width="2.85546875" style="110" bestFit="1" customWidth="1"/>
    <col min="8952" max="8952" width="7" style="110" bestFit="1" customWidth="1"/>
    <col min="8953" max="8953" width="5.7109375" style="110" bestFit="1" customWidth="1"/>
    <col min="8954" max="8954" width="7.85546875" style="110" bestFit="1" customWidth="1"/>
    <col min="8955" max="8956" width="0" style="110" hidden="1" customWidth="1"/>
    <col min="8957" max="8957" width="12.5703125" style="110" customWidth="1"/>
    <col min="8958" max="8958" width="0" style="110" hidden="1" customWidth="1"/>
    <col min="8959" max="8959" width="11" style="110" customWidth="1"/>
    <col min="8960" max="8960" width="9.140625" style="110" customWidth="1"/>
    <col min="8961" max="8961" width="9.85546875" style="110" customWidth="1"/>
    <col min="8962" max="8965" width="0" style="110" hidden="1" customWidth="1"/>
    <col min="8966" max="8966" width="1.5703125" style="110" customWidth="1"/>
    <col min="8967" max="8969" width="0" style="110" hidden="1" customWidth="1"/>
    <col min="8970" max="8970" width="10.42578125" style="110" customWidth="1"/>
    <col min="8971" max="8972" width="11" style="110" customWidth="1"/>
    <col min="8973" max="8973" width="9.42578125" style="110" customWidth="1"/>
    <col min="8974" max="8974" width="10" style="110" customWidth="1"/>
    <col min="8975" max="8975" width="11" style="110" customWidth="1"/>
    <col min="8976" max="8976" width="9.5703125" style="110" customWidth="1"/>
    <col min="8977" max="8977" width="10.140625" style="110" customWidth="1"/>
    <col min="8978" max="9017" width="10.7109375" style="110" customWidth="1"/>
    <col min="9018" max="9018" width="1.85546875" style="110" bestFit="1" customWidth="1"/>
    <col min="9019" max="9019" width="34.5703125" style="110" bestFit="1" customWidth="1"/>
    <col min="9020" max="9021" width="10.7109375" style="110" customWidth="1"/>
    <col min="9022" max="9022" width="2.7109375" style="110" bestFit="1" customWidth="1"/>
    <col min="9023" max="9023" width="11.5703125" style="110" bestFit="1" customWidth="1"/>
    <col min="9024" max="9200" width="10.7109375" style="110"/>
    <col min="9201" max="9201" width="5.28515625" style="110" customWidth="1"/>
    <col min="9202" max="9202" width="6.42578125" style="110" customWidth="1"/>
    <col min="9203" max="9203" width="22" style="110" customWidth="1"/>
    <col min="9204" max="9204" width="7.5703125" style="110" bestFit="1" customWidth="1"/>
    <col min="9205" max="9205" width="4.42578125" style="110" customWidth="1"/>
    <col min="9206" max="9206" width="7.42578125" style="110" bestFit="1" customWidth="1"/>
    <col min="9207" max="9207" width="2.85546875" style="110" bestFit="1" customWidth="1"/>
    <col min="9208" max="9208" width="7" style="110" bestFit="1" customWidth="1"/>
    <col min="9209" max="9209" width="5.7109375" style="110" bestFit="1" customWidth="1"/>
    <col min="9210" max="9210" width="7.85546875" style="110" bestFit="1" customWidth="1"/>
    <col min="9211" max="9212" width="0" style="110" hidden="1" customWidth="1"/>
    <col min="9213" max="9213" width="12.5703125" style="110" customWidth="1"/>
    <col min="9214" max="9214" width="0" style="110" hidden="1" customWidth="1"/>
    <col min="9215" max="9215" width="11" style="110" customWidth="1"/>
    <col min="9216" max="9216" width="9.140625" style="110" customWidth="1"/>
    <col min="9217" max="9217" width="9.85546875" style="110" customWidth="1"/>
    <col min="9218" max="9221" width="0" style="110" hidden="1" customWidth="1"/>
    <col min="9222" max="9222" width="1.5703125" style="110" customWidth="1"/>
    <col min="9223" max="9225" width="0" style="110" hidden="1" customWidth="1"/>
    <col min="9226" max="9226" width="10.42578125" style="110" customWidth="1"/>
    <col min="9227" max="9228" width="11" style="110" customWidth="1"/>
    <col min="9229" max="9229" width="9.42578125" style="110" customWidth="1"/>
    <col min="9230" max="9230" width="10" style="110" customWidth="1"/>
    <col min="9231" max="9231" width="11" style="110" customWidth="1"/>
    <col min="9232" max="9232" width="9.5703125" style="110" customWidth="1"/>
    <col min="9233" max="9233" width="10.140625" style="110" customWidth="1"/>
    <col min="9234" max="9273" width="10.7109375" style="110" customWidth="1"/>
    <col min="9274" max="9274" width="1.85546875" style="110" bestFit="1" customWidth="1"/>
    <col min="9275" max="9275" width="34.5703125" style="110" bestFit="1" customWidth="1"/>
    <col min="9276" max="9277" width="10.7109375" style="110" customWidth="1"/>
    <col min="9278" max="9278" width="2.7109375" style="110" bestFit="1" customWidth="1"/>
    <col min="9279" max="9279" width="11.5703125" style="110" bestFit="1" customWidth="1"/>
    <col min="9280" max="9456" width="10.7109375" style="110"/>
    <col min="9457" max="9457" width="5.28515625" style="110" customWidth="1"/>
    <col min="9458" max="9458" width="6.42578125" style="110" customWidth="1"/>
    <col min="9459" max="9459" width="22" style="110" customWidth="1"/>
    <col min="9460" max="9460" width="7.5703125" style="110" bestFit="1" customWidth="1"/>
    <col min="9461" max="9461" width="4.42578125" style="110" customWidth="1"/>
    <col min="9462" max="9462" width="7.42578125" style="110" bestFit="1" customWidth="1"/>
    <col min="9463" max="9463" width="2.85546875" style="110" bestFit="1" customWidth="1"/>
    <col min="9464" max="9464" width="7" style="110" bestFit="1" customWidth="1"/>
    <col min="9465" max="9465" width="5.7109375" style="110" bestFit="1" customWidth="1"/>
    <col min="9466" max="9466" width="7.85546875" style="110" bestFit="1" customWidth="1"/>
    <col min="9467" max="9468" width="0" style="110" hidden="1" customWidth="1"/>
    <col min="9469" max="9469" width="12.5703125" style="110" customWidth="1"/>
    <col min="9470" max="9470" width="0" style="110" hidden="1" customWidth="1"/>
    <col min="9471" max="9471" width="11" style="110" customWidth="1"/>
    <col min="9472" max="9472" width="9.140625" style="110" customWidth="1"/>
    <col min="9473" max="9473" width="9.85546875" style="110" customWidth="1"/>
    <col min="9474" max="9477" width="0" style="110" hidden="1" customWidth="1"/>
    <col min="9478" max="9478" width="1.5703125" style="110" customWidth="1"/>
    <col min="9479" max="9481" width="0" style="110" hidden="1" customWidth="1"/>
    <col min="9482" max="9482" width="10.42578125" style="110" customWidth="1"/>
    <col min="9483" max="9484" width="11" style="110" customWidth="1"/>
    <col min="9485" max="9485" width="9.42578125" style="110" customWidth="1"/>
    <col min="9486" max="9486" width="10" style="110" customWidth="1"/>
    <col min="9487" max="9487" width="11" style="110" customWidth="1"/>
    <col min="9488" max="9488" width="9.5703125" style="110" customWidth="1"/>
    <col min="9489" max="9489" width="10.140625" style="110" customWidth="1"/>
    <col min="9490" max="9529" width="10.7109375" style="110" customWidth="1"/>
    <col min="9530" max="9530" width="1.85546875" style="110" bestFit="1" customWidth="1"/>
    <col min="9531" max="9531" width="34.5703125" style="110" bestFit="1" customWidth="1"/>
    <col min="9532" max="9533" width="10.7109375" style="110" customWidth="1"/>
    <col min="9534" max="9534" width="2.7109375" style="110" bestFit="1" customWidth="1"/>
    <col min="9535" max="9535" width="11.5703125" style="110" bestFit="1" customWidth="1"/>
    <col min="9536" max="9712" width="10.7109375" style="110"/>
    <col min="9713" max="9713" width="5.28515625" style="110" customWidth="1"/>
    <col min="9714" max="9714" width="6.42578125" style="110" customWidth="1"/>
    <col min="9715" max="9715" width="22" style="110" customWidth="1"/>
    <col min="9716" max="9716" width="7.5703125" style="110" bestFit="1" customWidth="1"/>
    <col min="9717" max="9717" width="4.42578125" style="110" customWidth="1"/>
    <col min="9718" max="9718" width="7.42578125" style="110" bestFit="1" customWidth="1"/>
    <col min="9719" max="9719" width="2.85546875" style="110" bestFit="1" customWidth="1"/>
    <col min="9720" max="9720" width="7" style="110" bestFit="1" customWidth="1"/>
    <col min="9721" max="9721" width="5.7109375" style="110" bestFit="1" customWidth="1"/>
    <col min="9722" max="9722" width="7.85546875" style="110" bestFit="1" customWidth="1"/>
    <col min="9723" max="9724" width="0" style="110" hidden="1" customWidth="1"/>
    <col min="9725" max="9725" width="12.5703125" style="110" customWidth="1"/>
    <col min="9726" max="9726" width="0" style="110" hidden="1" customWidth="1"/>
    <col min="9727" max="9727" width="11" style="110" customWidth="1"/>
    <col min="9728" max="9728" width="9.140625" style="110" customWidth="1"/>
    <col min="9729" max="9729" width="9.85546875" style="110" customWidth="1"/>
    <col min="9730" max="9733" width="0" style="110" hidden="1" customWidth="1"/>
    <col min="9734" max="9734" width="1.5703125" style="110" customWidth="1"/>
    <col min="9735" max="9737" width="0" style="110" hidden="1" customWidth="1"/>
    <col min="9738" max="9738" width="10.42578125" style="110" customWidth="1"/>
    <col min="9739" max="9740" width="11" style="110" customWidth="1"/>
    <col min="9741" max="9741" width="9.42578125" style="110" customWidth="1"/>
    <col min="9742" max="9742" width="10" style="110" customWidth="1"/>
    <col min="9743" max="9743" width="11" style="110" customWidth="1"/>
    <col min="9744" max="9744" width="9.5703125" style="110" customWidth="1"/>
    <col min="9745" max="9745" width="10.140625" style="110" customWidth="1"/>
    <col min="9746" max="9785" width="10.7109375" style="110" customWidth="1"/>
    <col min="9786" max="9786" width="1.85546875" style="110" bestFit="1" customWidth="1"/>
    <col min="9787" max="9787" width="34.5703125" style="110" bestFit="1" customWidth="1"/>
    <col min="9788" max="9789" width="10.7109375" style="110" customWidth="1"/>
    <col min="9790" max="9790" width="2.7109375" style="110" bestFit="1" customWidth="1"/>
    <col min="9791" max="9791" width="11.5703125" style="110" bestFit="1" customWidth="1"/>
    <col min="9792" max="9968" width="10.7109375" style="110"/>
    <col min="9969" max="9969" width="5.28515625" style="110" customWidth="1"/>
    <col min="9970" max="9970" width="6.42578125" style="110" customWidth="1"/>
    <col min="9971" max="9971" width="22" style="110" customWidth="1"/>
    <col min="9972" max="9972" width="7.5703125" style="110" bestFit="1" customWidth="1"/>
    <col min="9973" max="9973" width="4.42578125" style="110" customWidth="1"/>
    <col min="9974" max="9974" width="7.42578125" style="110" bestFit="1" customWidth="1"/>
    <col min="9975" max="9975" width="2.85546875" style="110" bestFit="1" customWidth="1"/>
    <col min="9976" max="9976" width="7" style="110" bestFit="1" customWidth="1"/>
    <col min="9977" max="9977" width="5.7109375" style="110" bestFit="1" customWidth="1"/>
    <col min="9978" max="9978" width="7.85546875" style="110" bestFit="1" customWidth="1"/>
    <col min="9979" max="9980" width="0" style="110" hidden="1" customWidth="1"/>
    <col min="9981" max="9981" width="12.5703125" style="110" customWidth="1"/>
    <col min="9982" max="9982" width="0" style="110" hidden="1" customWidth="1"/>
    <col min="9983" max="9983" width="11" style="110" customWidth="1"/>
    <col min="9984" max="9984" width="9.140625" style="110" customWidth="1"/>
    <col min="9985" max="9985" width="9.85546875" style="110" customWidth="1"/>
    <col min="9986" max="9989" width="0" style="110" hidden="1" customWidth="1"/>
    <col min="9990" max="9990" width="1.5703125" style="110" customWidth="1"/>
    <col min="9991" max="9993" width="0" style="110" hidden="1" customWidth="1"/>
    <col min="9994" max="9994" width="10.42578125" style="110" customWidth="1"/>
    <col min="9995" max="9996" width="11" style="110" customWidth="1"/>
    <col min="9997" max="9997" width="9.42578125" style="110" customWidth="1"/>
    <col min="9998" max="9998" width="10" style="110" customWidth="1"/>
    <col min="9999" max="9999" width="11" style="110" customWidth="1"/>
    <col min="10000" max="10000" width="9.5703125" style="110" customWidth="1"/>
    <col min="10001" max="10001" width="10.140625" style="110" customWidth="1"/>
    <col min="10002" max="10041" width="10.7109375" style="110" customWidth="1"/>
    <col min="10042" max="10042" width="1.85546875" style="110" bestFit="1" customWidth="1"/>
    <col min="10043" max="10043" width="34.5703125" style="110" bestFit="1" customWidth="1"/>
    <col min="10044" max="10045" width="10.7109375" style="110" customWidth="1"/>
    <col min="10046" max="10046" width="2.7109375" style="110" bestFit="1" customWidth="1"/>
    <col min="10047" max="10047" width="11.5703125" style="110" bestFit="1" customWidth="1"/>
    <col min="10048" max="10224" width="10.7109375" style="110"/>
    <col min="10225" max="10225" width="5.28515625" style="110" customWidth="1"/>
    <col min="10226" max="10226" width="6.42578125" style="110" customWidth="1"/>
    <col min="10227" max="10227" width="22" style="110" customWidth="1"/>
    <col min="10228" max="10228" width="7.5703125" style="110" bestFit="1" customWidth="1"/>
    <col min="10229" max="10229" width="4.42578125" style="110" customWidth="1"/>
    <col min="10230" max="10230" width="7.42578125" style="110" bestFit="1" customWidth="1"/>
    <col min="10231" max="10231" width="2.85546875" style="110" bestFit="1" customWidth="1"/>
    <col min="10232" max="10232" width="7" style="110" bestFit="1" customWidth="1"/>
    <col min="10233" max="10233" width="5.7109375" style="110" bestFit="1" customWidth="1"/>
    <col min="10234" max="10234" width="7.85546875" style="110" bestFit="1" customWidth="1"/>
    <col min="10235" max="10236" width="0" style="110" hidden="1" customWidth="1"/>
    <col min="10237" max="10237" width="12.5703125" style="110" customWidth="1"/>
    <col min="10238" max="10238" width="0" style="110" hidden="1" customWidth="1"/>
    <col min="10239" max="10239" width="11" style="110" customWidth="1"/>
    <col min="10240" max="10240" width="9.140625" style="110" customWidth="1"/>
    <col min="10241" max="10241" width="9.85546875" style="110" customWidth="1"/>
    <col min="10242" max="10245" width="0" style="110" hidden="1" customWidth="1"/>
    <col min="10246" max="10246" width="1.5703125" style="110" customWidth="1"/>
    <col min="10247" max="10249" width="0" style="110" hidden="1" customWidth="1"/>
    <col min="10250" max="10250" width="10.42578125" style="110" customWidth="1"/>
    <col min="10251" max="10252" width="11" style="110" customWidth="1"/>
    <col min="10253" max="10253" width="9.42578125" style="110" customWidth="1"/>
    <col min="10254" max="10254" width="10" style="110" customWidth="1"/>
    <col min="10255" max="10255" width="11" style="110" customWidth="1"/>
    <col min="10256" max="10256" width="9.5703125" style="110" customWidth="1"/>
    <col min="10257" max="10257" width="10.140625" style="110" customWidth="1"/>
    <col min="10258" max="10297" width="10.7109375" style="110" customWidth="1"/>
    <col min="10298" max="10298" width="1.85546875" style="110" bestFit="1" customWidth="1"/>
    <col min="10299" max="10299" width="34.5703125" style="110" bestFit="1" customWidth="1"/>
    <col min="10300" max="10301" width="10.7109375" style="110" customWidth="1"/>
    <col min="10302" max="10302" width="2.7109375" style="110" bestFit="1" customWidth="1"/>
    <col min="10303" max="10303" width="11.5703125" style="110" bestFit="1" customWidth="1"/>
    <col min="10304" max="10480" width="10.7109375" style="110"/>
    <col min="10481" max="10481" width="5.28515625" style="110" customWidth="1"/>
    <col min="10482" max="10482" width="6.42578125" style="110" customWidth="1"/>
    <col min="10483" max="10483" width="22" style="110" customWidth="1"/>
    <col min="10484" max="10484" width="7.5703125" style="110" bestFit="1" customWidth="1"/>
    <col min="10485" max="10485" width="4.42578125" style="110" customWidth="1"/>
    <col min="10486" max="10486" width="7.42578125" style="110" bestFit="1" customWidth="1"/>
    <col min="10487" max="10487" width="2.85546875" style="110" bestFit="1" customWidth="1"/>
    <col min="10488" max="10488" width="7" style="110" bestFit="1" customWidth="1"/>
    <col min="10489" max="10489" width="5.7109375" style="110" bestFit="1" customWidth="1"/>
    <col min="10490" max="10490" width="7.85546875" style="110" bestFit="1" customWidth="1"/>
    <col min="10491" max="10492" width="0" style="110" hidden="1" customWidth="1"/>
    <col min="10493" max="10493" width="12.5703125" style="110" customWidth="1"/>
    <col min="10494" max="10494" width="0" style="110" hidden="1" customWidth="1"/>
    <col min="10495" max="10495" width="11" style="110" customWidth="1"/>
    <col min="10496" max="10496" width="9.140625" style="110" customWidth="1"/>
    <col min="10497" max="10497" width="9.85546875" style="110" customWidth="1"/>
    <col min="10498" max="10501" width="0" style="110" hidden="1" customWidth="1"/>
    <col min="10502" max="10502" width="1.5703125" style="110" customWidth="1"/>
    <col min="10503" max="10505" width="0" style="110" hidden="1" customWidth="1"/>
    <col min="10506" max="10506" width="10.42578125" style="110" customWidth="1"/>
    <col min="10507" max="10508" width="11" style="110" customWidth="1"/>
    <col min="10509" max="10509" width="9.42578125" style="110" customWidth="1"/>
    <col min="10510" max="10510" width="10" style="110" customWidth="1"/>
    <col min="10511" max="10511" width="11" style="110" customWidth="1"/>
    <col min="10512" max="10512" width="9.5703125" style="110" customWidth="1"/>
    <col min="10513" max="10513" width="10.140625" style="110" customWidth="1"/>
    <col min="10514" max="10553" width="10.7109375" style="110" customWidth="1"/>
    <col min="10554" max="10554" width="1.85546875" style="110" bestFit="1" customWidth="1"/>
    <col min="10555" max="10555" width="34.5703125" style="110" bestFit="1" customWidth="1"/>
    <col min="10556" max="10557" width="10.7109375" style="110" customWidth="1"/>
    <col min="10558" max="10558" width="2.7109375" style="110" bestFit="1" customWidth="1"/>
    <col min="10559" max="10559" width="11.5703125" style="110" bestFit="1" customWidth="1"/>
    <col min="10560" max="10736" width="10.7109375" style="110"/>
    <col min="10737" max="10737" width="5.28515625" style="110" customWidth="1"/>
    <col min="10738" max="10738" width="6.42578125" style="110" customWidth="1"/>
    <col min="10739" max="10739" width="22" style="110" customWidth="1"/>
    <col min="10740" max="10740" width="7.5703125" style="110" bestFit="1" customWidth="1"/>
    <col min="10741" max="10741" width="4.42578125" style="110" customWidth="1"/>
    <col min="10742" max="10742" width="7.42578125" style="110" bestFit="1" customWidth="1"/>
    <col min="10743" max="10743" width="2.85546875" style="110" bestFit="1" customWidth="1"/>
    <col min="10744" max="10744" width="7" style="110" bestFit="1" customWidth="1"/>
    <col min="10745" max="10745" width="5.7109375" style="110" bestFit="1" customWidth="1"/>
    <col min="10746" max="10746" width="7.85546875" style="110" bestFit="1" customWidth="1"/>
    <col min="10747" max="10748" width="0" style="110" hidden="1" customWidth="1"/>
    <col min="10749" max="10749" width="12.5703125" style="110" customWidth="1"/>
    <col min="10750" max="10750" width="0" style="110" hidden="1" customWidth="1"/>
    <col min="10751" max="10751" width="11" style="110" customWidth="1"/>
    <col min="10752" max="10752" width="9.140625" style="110" customWidth="1"/>
    <col min="10753" max="10753" width="9.85546875" style="110" customWidth="1"/>
    <col min="10754" max="10757" width="0" style="110" hidden="1" customWidth="1"/>
    <col min="10758" max="10758" width="1.5703125" style="110" customWidth="1"/>
    <col min="10759" max="10761" width="0" style="110" hidden="1" customWidth="1"/>
    <col min="10762" max="10762" width="10.42578125" style="110" customWidth="1"/>
    <col min="10763" max="10764" width="11" style="110" customWidth="1"/>
    <col min="10765" max="10765" width="9.42578125" style="110" customWidth="1"/>
    <col min="10766" max="10766" width="10" style="110" customWidth="1"/>
    <col min="10767" max="10767" width="11" style="110" customWidth="1"/>
    <col min="10768" max="10768" width="9.5703125" style="110" customWidth="1"/>
    <col min="10769" max="10769" width="10.140625" style="110" customWidth="1"/>
    <col min="10770" max="10809" width="10.7109375" style="110" customWidth="1"/>
    <col min="10810" max="10810" width="1.85546875" style="110" bestFit="1" customWidth="1"/>
    <col min="10811" max="10811" width="34.5703125" style="110" bestFit="1" customWidth="1"/>
    <col min="10812" max="10813" width="10.7109375" style="110" customWidth="1"/>
    <col min="10814" max="10814" width="2.7109375" style="110" bestFit="1" customWidth="1"/>
    <col min="10815" max="10815" width="11.5703125" style="110" bestFit="1" customWidth="1"/>
    <col min="10816" max="10992" width="10.7109375" style="110"/>
    <col min="10993" max="10993" width="5.28515625" style="110" customWidth="1"/>
    <col min="10994" max="10994" width="6.42578125" style="110" customWidth="1"/>
    <col min="10995" max="10995" width="22" style="110" customWidth="1"/>
    <col min="10996" max="10996" width="7.5703125" style="110" bestFit="1" customWidth="1"/>
    <col min="10997" max="10997" width="4.42578125" style="110" customWidth="1"/>
    <col min="10998" max="10998" width="7.42578125" style="110" bestFit="1" customWidth="1"/>
    <col min="10999" max="10999" width="2.85546875" style="110" bestFit="1" customWidth="1"/>
    <col min="11000" max="11000" width="7" style="110" bestFit="1" customWidth="1"/>
    <col min="11001" max="11001" width="5.7109375" style="110" bestFit="1" customWidth="1"/>
    <col min="11002" max="11002" width="7.85546875" style="110" bestFit="1" customWidth="1"/>
    <col min="11003" max="11004" width="0" style="110" hidden="1" customWidth="1"/>
    <col min="11005" max="11005" width="12.5703125" style="110" customWidth="1"/>
    <col min="11006" max="11006" width="0" style="110" hidden="1" customWidth="1"/>
    <col min="11007" max="11007" width="11" style="110" customWidth="1"/>
    <col min="11008" max="11008" width="9.140625" style="110" customWidth="1"/>
    <col min="11009" max="11009" width="9.85546875" style="110" customWidth="1"/>
    <col min="11010" max="11013" width="0" style="110" hidden="1" customWidth="1"/>
    <col min="11014" max="11014" width="1.5703125" style="110" customWidth="1"/>
    <col min="11015" max="11017" width="0" style="110" hidden="1" customWidth="1"/>
    <col min="11018" max="11018" width="10.42578125" style="110" customWidth="1"/>
    <col min="11019" max="11020" width="11" style="110" customWidth="1"/>
    <col min="11021" max="11021" width="9.42578125" style="110" customWidth="1"/>
    <col min="11022" max="11022" width="10" style="110" customWidth="1"/>
    <col min="11023" max="11023" width="11" style="110" customWidth="1"/>
    <col min="11024" max="11024" width="9.5703125" style="110" customWidth="1"/>
    <col min="11025" max="11025" width="10.140625" style="110" customWidth="1"/>
    <col min="11026" max="11065" width="10.7109375" style="110" customWidth="1"/>
    <col min="11066" max="11066" width="1.85546875" style="110" bestFit="1" customWidth="1"/>
    <col min="11067" max="11067" width="34.5703125" style="110" bestFit="1" customWidth="1"/>
    <col min="11068" max="11069" width="10.7109375" style="110" customWidth="1"/>
    <col min="11070" max="11070" width="2.7109375" style="110" bestFit="1" customWidth="1"/>
    <col min="11071" max="11071" width="11.5703125" style="110" bestFit="1" customWidth="1"/>
    <col min="11072" max="11248" width="10.7109375" style="110"/>
    <col min="11249" max="11249" width="5.28515625" style="110" customWidth="1"/>
    <col min="11250" max="11250" width="6.42578125" style="110" customWidth="1"/>
    <col min="11251" max="11251" width="22" style="110" customWidth="1"/>
    <col min="11252" max="11252" width="7.5703125" style="110" bestFit="1" customWidth="1"/>
    <col min="11253" max="11253" width="4.42578125" style="110" customWidth="1"/>
    <col min="11254" max="11254" width="7.42578125" style="110" bestFit="1" customWidth="1"/>
    <col min="11255" max="11255" width="2.85546875" style="110" bestFit="1" customWidth="1"/>
    <col min="11256" max="11256" width="7" style="110" bestFit="1" customWidth="1"/>
    <col min="11257" max="11257" width="5.7109375" style="110" bestFit="1" customWidth="1"/>
    <col min="11258" max="11258" width="7.85546875" style="110" bestFit="1" customWidth="1"/>
    <col min="11259" max="11260" width="0" style="110" hidden="1" customWidth="1"/>
    <col min="11261" max="11261" width="12.5703125" style="110" customWidth="1"/>
    <col min="11262" max="11262" width="0" style="110" hidden="1" customWidth="1"/>
    <col min="11263" max="11263" width="11" style="110" customWidth="1"/>
    <col min="11264" max="11264" width="9.140625" style="110" customWidth="1"/>
    <col min="11265" max="11265" width="9.85546875" style="110" customWidth="1"/>
    <col min="11266" max="11269" width="0" style="110" hidden="1" customWidth="1"/>
    <col min="11270" max="11270" width="1.5703125" style="110" customWidth="1"/>
    <col min="11271" max="11273" width="0" style="110" hidden="1" customWidth="1"/>
    <col min="11274" max="11274" width="10.42578125" style="110" customWidth="1"/>
    <col min="11275" max="11276" width="11" style="110" customWidth="1"/>
    <col min="11277" max="11277" width="9.42578125" style="110" customWidth="1"/>
    <col min="11278" max="11278" width="10" style="110" customWidth="1"/>
    <col min="11279" max="11279" width="11" style="110" customWidth="1"/>
    <col min="11280" max="11280" width="9.5703125" style="110" customWidth="1"/>
    <col min="11281" max="11281" width="10.140625" style="110" customWidth="1"/>
    <col min="11282" max="11321" width="10.7109375" style="110" customWidth="1"/>
    <col min="11322" max="11322" width="1.85546875" style="110" bestFit="1" customWidth="1"/>
    <col min="11323" max="11323" width="34.5703125" style="110" bestFit="1" customWidth="1"/>
    <col min="11324" max="11325" width="10.7109375" style="110" customWidth="1"/>
    <col min="11326" max="11326" width="2.7109375" style="110" bestFit="1" customWidth="1"/>
    <col min="11327" max="11327" width="11.5703125" style="110" bestFit="1" customWidth="1"/>
    <col min="11328" max="11504" width="10.7109375" style="110"/>
    <col min="11505" max="11505" width="5.28515625" style="110" customWidth="1"/>
    <col min="11506" max="11506" width="6.42578125" style="110" customWidth="1"/>
    <col min="11507" max="11507" width="22" style="110" customWidth="1"/>
    <col min="11508" max="11508" width="7.5703125" style="110" bestFit="1" customWidth="1"/>
    <col min="11509" max="11509" width="4.42578125" style="110" customWidth="1"/>
    <col min="11510" max="11510" width="7.42578125" style="110" bestFit="1" customWidth="1"/>
    <col min="11511" max="11511" width="2.85546875" style="110" bestFit="1" customWidth="1"/>
    <col min="11512" max="11512" width="7" style="110" bestFit="1" customWidth="1"/>
    <col min="11513" max="11513" width="5.7109375" style="110" bestFit="1" customWidth="1"/>
    <col min="11514" max="11514" width="7.85546875" style="110" bestFit="1" customWidth="1"/>
    <col min="11515" max="11516" width="0" style="110" hidden="1" customWidth="1"/>
    <col min="11517" max="11517" width="12.5703125" style="110" customWidth="1"/>
    <col min="11518" max="11518" width="0" style="110" hidden="1" customWidth="1"/>
    <col min="11519" max="11519" width="11" style="110" customWidth="1"/>
    <col min="11520" max="11520" width="9.140625" style="110" customWidth="1"/>
    <col min="11521" max="11521" width="9.85546875" style="110" customWidth="1"/>
    <col min="11522" max="11525" width="0" style="110" hidden="1" customWidth="1"/>
    <col min="11526" max="11526" width="1.5703125" style="110" customWidth="1"/>
    <col min="11527" max="11529" width="0" style="110" hidden="1" customWidth="1"/>
    <col min="11530" max="11530" width="10.42578125" style="110" customWidth="1"/>
    <col min="11531" max="11532" width="11" style="110" customWidth="1"/>
    <col min="11533" max="11533" width="9.42578125" style="110" customWidth="1"/>
    <col min="11534" max="11534" width="10" style="110" customWidth="1"/>
    <col min="11535" max="11535" width="11" style="110" customWidth="1"/>
    <col min="11536" max="11536" width="9.5703125" style="110" customWidth="1"/>
    <col min="11537" max="11537" width="10.140625" style="110" customWidth="1"/>
    <col min="11538" max="11577" width="10.7109375" style="110" customWidth="1"/>
    <col min="11578" max="11578" width="1.85546875" style="110" bestFit="1" customWidth="1"/>
    <col min="11579" max="11579" width="34.5703125" style="110" bestFit="1" customWidth="1"/>
    <col min="11580" max="11581" width="10.7109375" style="110" customWidth="1"/>
    <col min="11582" max="11582" width="2.7109375" style="110" bestFit="1" customWidth="1"/>
    <col min="11583" max="11583" width="11.5703125" style="110" bestFit="1" customWidth="1"/>
    <col min="11584" max="11760" width="10.7109375" style="110"/>
    <col min="11761" max="11761" width="5.28515625" style="110" customWidth="1"/>
    <col min="11762" max="11762" width="6.42578125" style="110" customWidth="1"/>
    <col min="11763" max="11763" width="22" style="110" customWidth="1"/>
    <col min="11764" max="11764" width="7.5703125" style="110" bestFit="1" customWidth="1"/>
    <col min="11765" max="11765" width="4.42578125" style="110" customWidth="1"/>
    <col min="11766" max="11766" width="7.42578125" style="110" bestFit="1" customWidth="1"/>
    <col min="11767" max="11767" width="2.85546875" style="110" bestFit="1" customWidth="1"/>
    <col min="11768" max="11768" width="7" style="110" bestFit="1" customWidth="1"/>
    <col min="11769" max="11769" width="5.7109375" style="110" bestFit="1" customWidth="1"/>
    <col min="11770" max="11770" width="7.85546875" style="110" bestFit="1" customWidth="1"/>
    <col min="11771" max="11772" width="0" style="110" hidden="1" customWidth="1"/>
    <col min="11773" max="11773" width="12.5703125" style="110" customWidth="1"/>
    <col min="11774" max="11774" width="0" style="110" hidden="1" customWidth="1"/>
    <col min="11775" max="11775" width="11" style="110" customWidth="1"/>
    <col min="11776" max="11776" width="9.140625" style="110" customWidth="1"/>
    <col min="11777" max="11777" width="9.85546875" style="110" customWidth="1"/>
    <col min="11778" max="11781" width="0" style="110" hidden="1" customWidth="1"/>
    <col min="11782" max="11782" width="1.5703125" style="110" customWidth="1"/>
    <col min="11783" max="11785" width="0" style="110" hidden="1" customWidth="1"/>
    <col min="11786" max="11786" width="10.42578125" style="110" customWidth="1"/>
    <col min="11787" max="11788" width="11" style="110" customWidth="1"/>
    <col min="11789" max="11789" width="9.42578125" style="110" customWidth="1"/>
    <col min="11790" max="11790" width="10" style="110" customWidth="1"/>
    <col min="11791" max="11791" width="11" style="110" customWidth="1"/>
    <col min="11792" max="11792" width="9.5703125" style="110" customWidth="1"/>
    <col min="11793" max="11793" width="10.140625" style="110" customWidth="1"/>
    <col min="11794" max="11833" width="10.7109375" style="110" customWidth="1"/>
    <col min="11834" max="11834" width="1.85546875" style="110" bestFit="1" customWidth="1"/>
    <col min="11835" max="11835" width="34.5703125" style="110" bestFit="1" customWidth="1"/>
    <col min="11836" max="11837" width="10.7109375" style="110" customWidth="1"/>
    <col min="11838" max="11838" width="2.7109375" style="110" bestFit="1" customWidth="1"/>
    <col min="11839" max="11839" width="11.5703125" style="110" bestFit="1" customWidth="1"/>
    <col min="11840" max="12016" width="10.7109375" style="110"/>
    <col min="12017" max="12017" width="5.28515625" style="110" customWidth="1"/>
    <col min="12018" max="12018" width="6.42578125" style="110" customWidth="1"/>
    <col min="12019" max="12019" width="22" style="110" customWidth="1"/>
    <col min="12020" max="12020" width="7.5703125" style="110" bestFit="1" customWidth="1"/>
    <col min="12021" max="12021" width="4.42578125" style="110" customWidth="1"/>
    <col min="12022" max="12022" width="7.42578125" style="110" bestFit="1" customWidth="1"/>
    <col min="12023" max="12023" width="2.85546875" style="110" bestFit="1" customWidth="1"/>
    <col min="12024" max="12024" width="7" style="110" bestFit="1" customWidth="1"/>
    <col min="12025" max="12025" width="5.7109375" style="110" bestFit="1" customWidth="1"/>
    <col min="12026" max="12026" width="7.85546875" style="110" bestFit="1" customWidth="1"/>
    <col min="12027" max="12028" width="0" style="110" hidden="1" customWidth="1"/>
    <col min="12029" max="12029" width="12.5703125" style="110" customWidth="1"/>
    <col min="12030" max="12030" width="0" style="110" hidden="1" customWidth="1"/>
    <col min="12031" max="12031" width="11" style="110" customWidth="1"/>
    <col min="12032" max="12032" width="9.140625" style="110" customWidth="1"/>
    <col min="12033" max="12033" width="9.85546875" style="110" customWidth="1"/>
    <col min="12034" max="12037" width="0" style="110" hidden="1" customWidth="1"/>
    <col min="12038" max="12038" width="1.5703125" style="110" customWidth="1"/>
    <col min="12039" max="12041" width="0" style="110" hidden="1" customWidth="1"/>
    <col min="12042" max="12042" width="10.42578125" style="110" customWidth="1"/>
    <col min="12043" max="12044" width="11" style="110" customWidth="1"/>
    <col min="12045" max="12045" width="9.42578125" style="110" customWidth="1"/>
    <col min="12046" max="12046" width="10" style="110" customWidth="1"/>
    <col min="12047" max="12047" width="11" style="110" customWidth="1"/>
    <col min="12048" max="12048" width="9.5703125" style="110" customWidth="1"/>
    <col min="12049" max="12049" width="10.140625" style="110" customWidth="1"/>
    <col min="12050" max="12089" width="10.7109375" style="110" customWidth="1"/>
    <col min="12090" max="12090" width="1.85546875" style="110" bestFit="1" customWidth="1"/>
    <col min="12091" max="12091" width="34.5703125" style="110" bestFit="1" customWidth="1"/>
    <col min="12092" max="12093" width="10.7109375" style="110" customWidth="1"/>
    <col min="12094" max="12094" width="2.7109375" style="110" bestFit="1" customWidth="1"/>
    <col min="12095" max="12095" width="11.5703125" style="110" bestFit="1" customWidth="1"/>
    <col min="12096" max="12272" width="10.7109375" style="110"/>
    <col min="12273" max="12273" width="5.28515625" style="110" customWidth="1"/>
    <col min="12274" max="12274" width="6.42578125" style="110" customWidth="1"/>
    <col min="12275" max="12275" width="22" style="110" customWidth="1"/>
    <col min="12276" max="12276" width="7.5703125" style="110" bestFit="1" customWidth="1"/>
    <col min="12277" max="12277" width="4.42578125" style="110" customWidth="1"/>
    <col min="12278" max="12278" width="7.42578125" style="110" bestFit="1" customWidth="1"/>
    <col min="12279" max="12279" width="2.85546875" style="110" bestFit="1" customWidth="1"/>
    <col min="12280" max="12280" width="7" style="110" bestFit="1" customWidth="1"/>
    <col min="12281" max="12281" width="5.7109375" style="110" bestFit="1" customWidth="1"/>
    <col min="12282" max="12282" width="7.85546875" style="110" bestFit="1" customWidth="1"/>
    <col min="12283" max="12284" width="0" style="110" hidden="1" customWidth="1"/>
    <col min="12285" max="12285" width="12.5703125" style="110" customWidth="1"/>
    <col min="12286" max="12286" width="0" style="110" hidden="1" customWidth="1"/>
    <col min="12287" max="12287" width="11" style="110" customWidth="1"/>
    <col min="12288" max="12288" width="9.140625" style="110" customWidth="1"/>
    <col min="12289" max="12289" width="9.85546875" style="110" customWidth="1"/>
    <col min="12290" max="12293" width="0" style="110" hidden="1" customWidth="1"/>
    <col min="12294" max="12294" width="1.5703125" style="110" customWidth="1"/>
    <col min="12295" max="12297" width="0" style="110" hidden="1" customWidth="1"/>
    <col min="12298" max="12298" width="10.42578125" style="110" customWidth="1"/>
    <col min="12299" max="12300" width="11" style="110" customWidth="1"/>
    <col min="12301" max="12301" width="9.42578125" style="110" customWidth="1"/>
    <col min="12302" max="12302" width="10" style="110" customWidth="1"/>
    <col min="12303" max="12303" width="11" style="110" customWidth="1"/>
    <col min="12304" max="12304" width="9.5703125" style="110" customWidth="1"/>
    <col min="12305" max="12305" width="10.140625" style="110" customWidth="1"/>
    <col min="12306" max="12345" width="10.7109375" style="110" customWidth="1"/>
    <col min="12346" max="12346" width="1.85546875" style="110" bestFit="1" customWidth="1"/>
    <col min="12347" max="12347" width="34.5703125" style="110" bestFit="1" customWidth="1"/>
    <col min="12348" max="12349" width="10.7109375" style="110" customWidth="1"/>
    <col min="12350" max="12350" width="2.7109375" style="110" bestFit="1" customWidth="1"/>
    <col min="12351" max="12351" width="11.5703125" style="110" bestFit="1" customWidth="1"/>
    <col min="12352" max="12528" width="10.7109375" style="110"/>
    <col min="12529" max="12529" width="5.28515625" style="110" customWidth="1"/>
    <col min="12530" max="12530" width="6.42578125" style="110" customWidth="1"/>
    <col min="12531" max="12531" width="22" style="110" customWidth="1"/>
    <col min="12532" max="12532" width="7.5703125" style="110" bestFit="1" customWidth="1"/>
    <col min="12533" max="12533" width="4.42578125" style="110" customWidth="1"/>
    <col min="12534" max="12534" width="7.42578125" style="110" bestFit="1" customWidth="1"/>
    <col min="12535" max="12535" width="2.85546875" style="110" bestFit="1" customWidth="1"/>
    <col min="12536" max="12536" width="7" style="110" bestFit="1" customWidth="1"/>
    <col min="12537" max="12537" width="5.7109375" style="110" bestFit="1" customWidth="1"/>
    <col min="12538" max="12538" width="7.85546875" style="110" bestFit="1" customWidth="1"/>
    <col min="12539" max="12540" width="0" style="110" hidden="1" customWidth="1"/>
    <col min="12541" max="12541" width="12.5703125" style="110" customWidth="1"/>
    <col min="12542" max="12542" width="0" style="110" hidden="1" customWidth="1"/>
    <col min="12543" max="12543" width="11" style="110" customWidth="1"/>
    <col min="12544" max="12544" width="9.140625" style="110" customWidth="1"/>
    <col min="12545" max="12545" width="9.85546875" style="110" customWidth="1"/>
    <col min="12546" max="12549" width="0" style="110" hidden="1" customWidth="1"/>
    <col min="12550" max="12550" width="1.5703125" style="110" customWidth="1"/>
    <col min="12551" max="12553" width="0" style="110" hidden="1" customWidth="1"/>
    <col min="12554" max="12554" width="10.42578125" style="110" customWidth="1"/>
    <col min="12555" max="12556" width="11" style="110" customWidth="1"/>
    <col min="12557" max="12557" width="9.42578125" style="110" customWidth="1"/>
    <col min="12558" max="12558" width="10" style="110" customWidth="1"/>
    <col min="12559" max="12559" width="11" style="110" customWidth="1"/>
    <col min="12560" max="12560" width="9.5703125" style="110" customWidth="1"/>
    <col min="12561" max="12561" width="10.140625" style="110" customWidth="1"/>
    <col min="12562" max="12601" width="10.7109375" style="110" customWidth="1"/>
    <col min="12602" max="12602" width="1.85546875" style="110" bestFit="1" customWidth="1"/>
    <col min="12603" max="12603" width="34.5703125" style="110" bestFit="1" customWidth="1"/>
    <col min="12604" max="12605" width="10.7109375" style="110" customWidth="1"/>
    <col min="12606" max="12606" width="2.7109375" style="110" bestFit="1" customWidth="1"/>
    <col min="12607" max="12607" width="11.5703125" style="110" bestFit="1" customWidth="1"/>
    <col min="12608" max="12784" width="10.7109375" style="110"/>
    <col min="12785" max="12785" width="5.28515625" style="110" customWidth="1"/>
    <col min="12786" max="12786" width="6.42578125" style="110" customWidth="1"/>
    <col min="12787" max="12787" width="22" style="110" customWidth="1"/>
    <col min="12788" max="12788" width="7.5703125" style="110" bestFit="1" customWidth="1"/>
    <col min="12789" max="12789" width="4.42578125" style="110" customWidth="1"/>
    <col min="12790" max="12790" width="7.42578125" style="110" bestFit="1" customWidth="1"/>
    <col min="12791" max="12791" width="2.85546875" style="110" bestFit="1" customWidth="1"/>
    <col min="12792" max="12792" width="7" style="110" bestFit="1" customWidth="1"/>
    <col min="12793" max="12793" width="5.7109375" style="110" bestFit="1" customWidth="1"/>
    <col min="12794" max="12794" width="7.85546875" style="110" bestFit="1" customWidth="1"/>
    <col min="12795" max="12796" width="0" style="110" hidden="1" customWidth="1"/>
    <col min="12797" max="12797" width="12.5703125" style="110" customWidth="1"/>
    <col min="12798" max="12798" width="0" style="110" hidden="1" customWidth="1"/>
    <col min="12799" max="12799" width="11" style="110" customWidth="1"/>
    <col min="12800" max="12800" width="9.140625" style="110" customWidth="1"/>
    <col min="12801" max="12801" width="9.85546875" style="110" customWidth="1"/>
    <col min="12802" max="12805" width="0" style="110" hidden="1" customWidth="1"/>
    <col min="12806" max="12806" width="1.5703125" style="110" customWidth="1"/>
    <col min="12807" max="12809" width="0" style="110" hidden="1" customWidth="1"/>
    <col min="12810" max="12810" width="10.42578125" style="110" customWidth="1"/>
    <col min="12811" max="12812" width="11" style="110" customWidth="1"/>
    <col min="12813" max="12813" width="9.42578125" style="110" customWidth="1"/>
    <col min="12814" max="12814" width="10" style="110" customWidth="1"/>
    <col min="12815" max="12815" width="11" style="110" customWidth="1"/>
    <col min="12816" max="12816" width="9.5703125" style="110" customWidth="1"/>
    <col min="12817" max="12817" width="10.140625" style="110" customWidth="1"/>
    <col min="12818" max="12857" width="10.7109375" style="110" customWidth="1"/>
    <col min="12858" max="12858" width="1.85546875" style="110" bestFit="1" customWidth="1"/>
    <col min="12859" max="12859" width="34.5703125" style="110" bestFit="1" customWidth="1"/>
    <col min="12860" max="12861" width="10.7109375" style="110" customWidth="1"/>
    <col min="12862" max="12862" width="2.7109375" style="110" bestFit="1" customWidth="1"/>
    <col min="12863" max="12863" width="11.5703125" style="110" bestFit="1" customWidth="1"/>
    <col min="12864" max="13040" width="10.7109375" style="110"/>
    <col min="13041" max="13041" width="5.28515625" style="110" customWidth="1"/>
    <col min="13042" max="13042" width="6.42578125" style="110" customWidth="1"/>
    <col min="13043" max="13043" width="22" style="110" customWidth="1"/>
    <col min="13044" max="13044" width="7.5703125" style="110" bestFit="1" customWidth="1"/>
    <col min="13045" max="13045" width="4.42578125" style="110" customWidth="1"/>
    <col min="13046" max="13046" width="7.42578125" style="110" bestFit="1" customWidth="1"/>
    <col min="13047" max="13047" width="2.85546875" style="110" bestFit="1" customWidth="1"/>
    <col min="13048" max="13048" width="7" style="110" bestFit="1" customWidth="1"/>
    <col min="13049" max="13049" width="5.7109375" style="110" bestFit="1" customWidth="1"/>
    <col min="13050" max="13050" width="7.85546875" style="110" bestFit="1" customWidth="1"/>
    <col min="13051" max="13052" width="0" style="110" hidden="1" customWidth="1"/>
    <col min="13053" max="13053" width="12.5703125" style="110" customWidth="1"/>
    <col min="13054" max="13054" width="0" style="110" hidden="1" customWidth="1"/>
    <col min="13055" max="13055" width="11" style="110" customWidth="1"/>
    <col min="13056" max="13056" width="9.140625" style="110" customWidth="1"/>
    <col min="13057" max="13057" width="9.85546875" style="110" customWidth="1"/>
    <col min="13058" max="13061" width="0" style="110" hidden="1" customWidth="1"/>
    <col min="13062" max="13062" width="1.5703125" style="110" customWidth="1"/>
    <col min="13063" max="13065" width="0" style="110" hidden="1" customWidth="1"/>
    <col min="13066" max="13066" width="10.42578125" style="110" customWidth="1"/>
    <col min="13067" max="13068" width="11" style="110" customWidth="1"/>
    <col min="13069" max="13069" width="9.42578125" style="110" customWidth="1"/>
    <col min="13070" max="13070" width="10" style="110" customWidth="1"/>
    <col min="13071" max="13071" width="11" style="110" customWidth="1"/>
    <col min="13072" max="13072" width="9.5703125" style="110" customWidth="1"/>
    <col min="13073" max="13073" width="10.140625" style="110" customWidth="1"/>
    <col min="13074" max="13113" width="10.7109375" style="110" customWidth="1"/>
    <col min="13114" max="13114" width="1.85546875" style="110" bestFit="1" customWidth="1"/>
    <col min="13115" max="13115" width="34.5703125" style="110" bestFit="1" customWidth="1"/>
    <col min="13116" max="13117" width="10.7109375" style="110" customWidth="1"/>
    <col min="13118" max="13118" width="2.7109375" style="110" bestFit="1" customWidth="1"/>
    <col min="13119" max="13119" width="11.5703125" style="110" bestFit="1" customWidth="1"/>
    <col min="13120" max="13296" width="10.7109375" style="110"/>
    <col min="13297" max="13297" width="5.28515625" style="110" customWidth="1"/>
    <col min="13298" max="13298" width="6.42578125" style="110" customWidth="1"/>
    <col min="13299" max="13299" width="22" style="110" customWidth="1"/>
    <col min="13300" max="13300" width="7.5703125" style="110" bestFit="1" customWidth="1"/>
    <col min="13301" max="13301" width="4.42578125" style="110" customWidth="1"/>
    <col min="13302" max="13302" width="7.42578125" style="110" bestFit="1" customWidth="1"/>
    <col min="13303" max="13303" width="2.85546875" style="110" bestFit="1" customWidth="1"/>
    <col min="13304" max="13304" width="7" style="110" bestFit="1" customWidth="1"/>
    <col min="13305" max="13305" width="5.7109375" style="110" bestFit="1" customWidth="1"/>
    <col min="13306" max="13306" width="7.85546875" style="110" bestFit="1" customWidth="1"/>
    <col min="13307" max="13308" width="0" style="110" hidden="1" customWidth="1"/>
    <col min="13309" max="13309" width="12.5703125" style="110" customWidth="1"/>
    <col min="13310" max="13310" width="0" style="110" hidden="1" customWidth="1"/>
    <col min="13311" max="13311" width="11" style="110" customWidth="1"/>
    <col min="13312" max="13312" width="9.140625" style="110" customWidth="1"/>
    <col min="13313" max="13313" width="9.85546875" style="110" customWidth="1"/>
    <col min="13314" max="13317" width="0" style="110" hidden="1" customWidth="1"/>
    <col min="13318" max="13318" width="1.5703125" style="110" customWidth="1"/>
    <col min="13319" max="13321" width="0" style="110" hidden="1" customWidth="1"/>
    <col min="13322" max="13322" width="10.42578125" style="110" customWidth="1"/>
    <col min="13323" max="13324" width="11" style="110" customWidth="1"/>
    <col min="13325" max="13325" width="9.42578125" style="110" customWidth="1"/>
    <col min="13326" max="13326" width="10" style="110" customWidth="1"/>
    <col min="13327" max="13327" width="11" style="110" customWidth="1"/>
    <col min="13328" max="13328" width="9.5703125" style="110" customWidth="1"/>
    <col min="13329" max="13329" width="10.140625" style="110" customWidth="1"/>
    <col min="13330" max="13369" width="10.7109375" style="110" customWidth="1"/>
    <col min="13370" max="13370" width="1.85546875" style="110" bestFit="1" customWidth="1"/>
    <col min="13371" max="13371" width="34.5703125" style="110" bestFit="1" customWidth="1"/>
    <col min="13372" max="13373" width="10.7109375" style="110" customWidth="1"/>
    <col min="13374" max="13374" width="2.7109375" style="110" bestFit="1" customWidth="1"/>
    <col min="13375" max="13375" width="11.5703125" style="110" bestFit="1" customWidth="1"/>
    <col min="13376" max="13552" width="10.7109375" style="110"/>
    <col min="13553" max="13553" width="5.28515625" style="110" customWidth="1"/>
    <col min="13554" max="13554" width="6.42578125" style="110" customWidth="1"/>
    <col min="13555" max="13555" width="22" style="110" customWidth="1"/>
    <col min="13556" max="13556" width="7.5703125" style="110" bestFit="1" customWidth="1"/>
    <col min="13557" max="13557" width="4.42578125" style="110" customWidth="1"/>
    <col min="13558" max="13558" width="7.42578125" style="110" bestFit="1" customWidth="1"/>
    <col min="13559" max="13559" width="2.85546875" style="110" bestFit="1" customWidth="1"/>
    <col min="13560" max="13560" width="7" style="110" bestFit="1" customWidth="1"/>
    <col min="13561" max="13561" width="5.7109375" style="110" bestFit="1" customWidth="1"/>
    <col min="13562" max="13562" width="7.85546875" style="110" bestFit="1" customWidth="1"/>
    <col min="13563" max="13564" width="0" style="110" hidden="1" customWidth="1"/>
    <col min="13565" max="13565" width="12.5703125" style="110" customWidth="1"/>
    <col min="13566" max="13566" width="0" style="110" hidden="1" customWidth="1"/>
    <col min="13567" max="13567" width="11" style="110" customWidth="1"/>
    <col min="13568" max="13568" width="9.140625" style="110" customWidth="1"/>
    <col min="13569" max="13569" width="9.85546875" style="110" customWidth="1"/>
    <col min="13570" max="13573" width="0" style="110" hidden="1" customWidth="1"/>
    <col min="13574" max="13574" width="1.5703125" style="110" customWidth="1"/>
    <col min="13575" max="13577" width="0" style="110" hidden="1" customWidth="1"/>
    <col min="13578" max="13578" width="10.42578125" style="110" customWidth="1"/>
    <col min="13579" max="13580" width="11" style="110" customWidth="1"/>
    <col min="13581" max="13581" width="9.42578125" style="110" customWidth="1"/>
    <col min="13582" max="13582" width="10" style="110" customWidth="1"/>
    <col min="13583" max="13583" width="11" style="110" customWidth="1"/>
    <col min="13584" max="13584" width="9.5703125" style="110" customWidth="1"/>
    <col min="13585" max="13585" width="10.140625" style="110" customWidth="1"/>
    <col min="13586" max="13625" width="10.7109375" style="110" customWidth="1"/>
    <col min="13626" max="13626" width="1.85546875" style="110" bestFit="1" customWidth="1"/>
    <col min="13627" max="13627" width="34.5703125" style="110" bestFit="1" customWidth="1"/>
    <col min="13628" max="13629" width="10.7109375" style="110" customWidth="1"/>
    <col min="13630" max="13630" width="2.7109375" style="110" bestFit="1" customWidth="1"/>
    <col min="13631" max="13631" width="11.5703125" style="110" bestFit="1" customWidth="1"/>
    <col min="13632" max="13808" width="10.7109375" style="110"/>
    <col min="13809" max="13809" width="5.28515625" style="110" customWidth="1"/>
    <col min="13810" max="13810" width="6.42578125" style="110" customWidth="1"/>
    <col min="13811" max="13811" width="22" style="110" customWidth="1"/>
    <col min="13812" max="13812" width="7.5703125" style="110" bestFit="1" customWidth="1"/>
    <col min="13813" max="13813" width="4.42578125" style="110" customWidth="1"/>
    <col min="13814" max="13814" width="7.42578125" style="110" bestFit="1" customWidth="1"/>
    <col min="13815" max="13815" width="2.85546875" style="110" bestFit="1" customWidth="1"/>
    <col min="13816" max="13816" width="7" style="110" bestFit="1" customWidth="1"/>
    <col min="13817" max="13817" width="5.7109375" style="110" bestFit="1" customWidth="1"/>
    <col min="13818" max="13818" width="7.85546875" style="110" bestFit="1" customWidth="1"/>
    <col min="13819" max="13820" width="0" style="110" hidden="1" customWidth="1"/>
    <col min="13821" max="13821" width="12.5703125" style="110" customWidth="1"/>
    <col min="13822" max="13822" width="0" style="110" hidden="1" customWidth="1"/>
    <col min="13823" max="13823" width="11" style="110" customWidth="1"/>
    <col min="13824" max="13824" width="9.140625" style="110" customWidth="1"/>
    <col min="13825" max="13825" width="9.85546875" style="110" customWidth="1"/>
    <col min="13826" max="13829" width="0" style="110" hidden="1" customWidth="1"/>
    <col min="13830" max="13830" width="1.5703125" style="110" customWidth="1"/>
    <col min="13831" max="13833" width="0" style="110" hidden="1" customWidth="1"/>
    <col min="13834" max="13834" width="10.42578125" style="110" customWidth="1"/>
    <col min="13835" max="13836" width="11" style="110" customWidth="1"/>
    <col min="13837" max="13837" width="9.42578125" style="110" customWidth="1"/>
    <col min="13838" max="13838" width="10" style="110" customWidth="1"/>
    <col min="13839" max="13839" width="11" style="110" customWidth="1"/>
    <col min="13840" max="13840" width="9.5703125" style="110" customWidth="1"/>
    <col min="13841" max="13841" width="10.140625" style="110" customWidth="1"/>
    <col min="13842" max="13881" width="10.7109375" style="110" customWidth="1"/>
    <col min="13882" max="13882" width="1.85546875" style="110" bestFit="1" customWidth="1"/>
    <col min="13883" max="13883" width="34.5703125" style="110" bestFit="1" customWidth="1"/>
    <col min="13884" max="13885" width="10.7109375" style="110" customWidth="1"/>
    <col min="13886" max="13886" width="2.7109375" style="110" bestFit="1" customWidth="1"/>
    <col min="13887" max="13887" width="11.5703125" style="110" bestFit="1" customWidth="1"/>
    <col min="13888" max="14064" width="10.7109375" style="110"/>
    <col min="14065" max="14065" width="5.28515625" style="110" customWidth="1"/>
    <col min="14066" max="14066" width="6.42578125" style="110" customWidth="1"/>
    <col min="14067" max="14067" width="22" style="110" customWidth="1"/>
    <col min="14068" max="14068" width="7.5703125" style="110" bestFit="1" customWidth="1"/>
    <col min="14069" max="14069" width="4.42578125" style="110" customWidth="1"/>
    <col min="14070" max="14070" width="7.42578125" style="110" bestFit="1" customWidth="1"/>
    <col min="14071" max="14071" width="2.85546875" style="110" bestFit="1" customWidth="1"/>
    <col min="14072" max="14072" width="7" style="110" bestFit="1" customWidth="1"/>
    <col min="14073" max="14073" width="5.7109375" style="110" bestFit="1" customWidth="1"/>
    <col min="14074" max="14074" width="7.85546875" style="110" bestFit="1" customWidth="1"/>
    <col min="14075" max="14076" width="0" style="110" hidden="1" customWidth="1"/>
    <col min="14077" max="14077" width="12.5703125" style="110" customWidth="1"/>
    <col min="14078" max="14078" width="0" style="110" hidden="1" customWidth="1"/>
    <col min="14079" max="14079" width="11" style="110" customWidth="1"/>
    <col min="14080" max="14080" width="9.140625" style="110" customWidth="1"/>
    <col min="14081" max="14081" width="9.85546875" style="110" customWidth="1"/>
    <col min="14082" max="14085" width="0" style="110" hidden="1" customWidth="1"/>
    <col min="14086" max="14086" width="1.5703125" style="110" customWidth="1"/>
    <col min="14087" max="14089" width="0" style="110" hidden="1" customWidth="1"/>
    <col min="14090" max="14090" width="10.42578125" style="110" customWidth="1"/>
    <col min="14091" max="14092" width="11" style="110" customWidth="1"/>
    <col min="14093" max="14093" width="9.42578125" style="110" customWidth="1"/>
    <col min="14094" max="14094" width="10" style="110" customWidth="1"/>
    <col min="14095" max="14095" width="11" style="110" customWidth="1"/>
    <col min="14096" max="14096" width="9.5703125" style="110" customWidth="1"/>
    <col min="14097" max="14097" width="10.140625" style="110" customWidth="1"/>
    <col min="14098" max="14137" width="10.7109375" style="110" customWidth="1"/>
    <col min="14138" max="14138" width="1.85546875" style="110" bestFit="1" customWidth="1"/>
    <col min="14139" max="14139" width="34.5703125" style="110" bestFit="1" customWidth="1"/>
    <col min="14140" max="14141" width="10.7109375" style="110" customWidth="1"/>
    <col min="14142" max="14142" width="2.7109375" style="110" bestFit="1" customWidth="1"/>
    <col min="14143" max="14143" width="11.5703125" style="110" bestFit="1" customWidth="1"/>
    <col min="14144" max="14320" width="10.7109375" style="110"/>
    <col min="14321" max="14321" width="5.28515625" style="110" customWidth="1"/>
    <col min="14322" max="14322" width="6.42578125" style="110" customWidth="1"/>
    <col min="14323" max="14323" width="22" style="110" customWidth="1"/>
    <col min="14324" max="14324" width="7.5703125" style="110" bestFit="1" customWidth="1"/>
    <col min="14325" max="14325" width="4.42578125" style="110" customWidth="1"/>
    <col min="14326" max="14326" width="7.42578125" style="110" bestFit="1" customWidth="1"/>
    <col min="14327" max="14327" width="2.85546875" style="110" bestFit="1" customWidth="1"/>
    <col min="14328" max="14328" width="7" style="110" bestFit="1" customWidth="1"/>
    <col min="14329" max="14329" width="5.7109375" style="110" bestFit="1" customWidth="1"/>
    <col min="14330" max="14330" width="7.85546875" style="110" bestFit="1" customWidth="1"/>
    <col min="14331" max="14332" width="0" style="110" hidden="1" customWidth="1"/>
    <col min="14333" max="14333" width="12.5703125" style="110" customWidth="1"/>
    <col min="14334" max="14334" width="0" style="110" hidden="1" customWidth="1"/>
    <col min="14335" max="14335" width="11" style="110" customWidth="1"/>
    <col min="14336" max="14336" width="9.140625" style="110" customWidth="1"/>
    <col min="14337" max="14337" width="9.85546875" style="110" customWidth="1"/>
    <col min="14338" max="14341" width="0" style="110" hidden="1" customWidth="1"/>
    <col min="14342" max="14342" width="1.5703125" style="110" customWidth="1"/>
    <col min="14343" max="14345" width="0" style="110" hidden="1" customWidth="1"/>
    <col min="14346" max="14346" width="10.42578125" style="110" customWidth="1"/>
    <col min="14347" max="14348" width="11" style="110" customWidth="1"/>
    <col min="14349" max="14349" width="9.42578125" style="110" customWidth="1"/>
    <col min="14350" max="14350" width="10" style="110" customWidth="1"/>
    <col min="14351" max="14351" width="11" style="110" customWidth="1"/>
    <col min="14352" max="14352" width="9.5703125" style="110" customWidth="1"/>
    <col min="14353" max="14353" width="10.140625" style="110" customWidth="1"/>
    <col min="14354" max="14393" width="10.7109375" style="110" customWidth="1"/>
    <col min="14394" max="14394" width="1.85546875" style="110" bestFit="1" customWidth="1"/>
    <col min="14395" max="14395" width="34.5703125" style="110" bestFit="1" customWidth="1"/>
    <col min="14396" max="14397" width="10.7109375" style="110" customWidth="1"/>
    <col min="14398" max="14398" width="2.7109375" style="110" bestFit="1" customWidth="1"/>
    <col min="14399" max="14399" width="11.5703125" style="110" bestFit="1" customWidth="1"/>
    <col min="14400" max="14576" width="10.7109375" style="110"/>
    <col min="14577" max="14577" width="5.28515625" style="110" customWidth="1"/>
    <col min="14578" max="14578" width="6.42578125" style="110" customWidth="1"/>
    <col min="14579" max="14579" width="22" style="110" customWidth="1"/>
    <col min="14580" max="14580" width="7.5703125" style="110" bestFit="1" customWidth="1"/>
    <col min="14581" max="14581" width="4.42578125" style="110" customWidth="1"/>
    <col min="14582" max="14582" width="7.42578125" style="110" bestFit="1" customWidth="1"/>
    <col min="14583" max="14583" width="2.85546875" style="110" bestFit="1" customWidth="1"/>
    <col min="14584" max="14584" width="7" style="110" bestFit="1" customWidth="1"/>
    <col min="14585" max="14585" width="5.7109375" style="110" bestFit="1" customWidth="1"/>
    <col min="14586" max="14586" width="7.85546875" style="110" bestFit="1" customWidth="1"/>
    <col min="14587" max="14588" width="0" style="110" hidden="1" customWidth="1"/>
    <col min="14589" max="14589" width="12.5703125" style="110" customWidth="1"/>
    <col min="14590" max="14590" width="0" style="110" hidden="1" customWidth="1"/>
    <col min="14591" max="14591" width="11" style="110" customWidth="1"/>
    <col min="14592" max="14592" width="9.140625" style="110" customWidth="1"/>
    <col min="14593" max="14593" width="9.85546875" style="110" customWidth="1"/>
    <col min="14594" max="14597" width="0" style="110" hidden="1" customWidth="1"/>
    <col min="14598" max="14598" width="1.5703125" style="110" customWidth="1"/>
    <col min="14599" max="14601" width="0" style="110" hidden="1" customWidth="1"/>
    <col min="14602" max="14602" width="10.42578125" style="110" customWidth="1"/>
    <col min="14603" max="14604" width="11" style="110" customWidth="1"/>
    <col min="14605" max="14605" width="9.42578125" style="110" customWidth="1"/>
    <col min="14606" max="14606" width="10" style="110" customWidth="1"/>
    <col min="14607" max="14607" width="11" style="110" customWidth="1"/>
    <col min="14608" max="14608" width="9.5703125" style="110" customWidth="1"/>
    <col min="14609" max="14609" width="10.140625" style="110" customWidth="1"/>
    <col min="14610" max="14649" width="10.7109375" style="110" customWidth="1"/>
    <col min="14650" max="14650" width="1.85546875" style="110" bestFit="1" customWidth="1"/>
    <col min="14651" max="14651" width="34.5703125" style="110" bestFit="1" customWidth="1"/>
    <col min="14652" max="14653" width="10.7109375" style="110" customWidth="1"/>
    <col min="14654" max="14654" width="2.7109375" style="110" bestFit="1" customWidth="1"/>
    <col min="14655" max="14655" width="11.5703125" style="110" bestFit="1" customWidth="1"/>
    <col min="14656" max="14832" width="10.7109375" style="110"/>
    <col min="14833" max="14833" width="5.28515625" style="110" customWidth="1"/>
    <col min="14834" max="14834" width="6.42578125" style="110" customWidth="1"/>
    <col min="14835" max="14835" width="22" style="110" customWidth="1"/>
    <col min="14836" max="14836" width="7.5703125" style="110" bestFit="1" customWidth="1"/>
    <col min="14837" max="14837" width="4.42578125" style="110" customWidth="1"/>
    <col min="14838" max="14838" width="7.42578125" style="110" bestFit="1" customWidth="1"/>
    <col min="14839" max="14839" width="2.85546875" style="110" bestFit="1" customWidth="1"/>
    <col min="14840" max="14840" width="7" style="110" bestFit="1" customWidth="1"/>
    <col min="14841" max="14841" width="5.7109375" style="110" bestFit="1" customWidth="1"/>
    <col min="14842" max="14842" width="7.85546875" style="110" bestFit="1" customWidth="1"/>
    <col min="14843" max="14844" width="0" style="110" hidden="1" customWidth="1"/>
    <col min="14845" max="14845" width="12.5703125" style="110" customWidth="1"/>
    <col min="14846" max="14846" width="0" style="110" hidden="1" customWidth="1"/>
    <col min="14847" max="14847" width="11" style="110" customWidth="1"/>
    <col min="14848" max="14848" width="9.140625" style="110" customWidth="1"/>
    <col min="14849" max="14849" width="9.85546875" style="110" customWidth="1"/>
    <col min="14850" max="14853" width="0" style="110" hidden="1" customWidth="1"/>
    <col min="14854" max="14854" width="1.5703125" style="110" customWidth="1"/>
    <col min="14855" max="14857" width="0" style="110" hidden="1" customWidth="1"/>
    <col min="14858" max="14858" width="10.42578125" style="110" customWidth="1"/>
    <col min="14859" max="14860" width="11" style="110" customWidth="1"/>
    <col min="14861" max="14861" width="9.42578125" style="110" customWidth="1"/>
    <col min="14862" max="14862" width="10" style="110" customWidth="1"/>
    <col min="14863" max="14863" width="11" style="110" customWidth="1"/>
    <col min="14864" max="14864" width="9.5703125" style="110" customWidth="1"/>
    <col min="14865" max="14865" width="10.140625" style="110" customWidth="1"/>
    <col min="14866" max="14905" width="10.7109375" style="110" customWidth="1"/>
    <col min="14906" max="14906" width="1.85546875" style="110" bestFit="1" customWidth="1"/>
    <col min="14907" max="14907" width="34.5703125" style="110" bestFit="1" customWidth="1"/>
    <col min="14908" max="14909" width="10.7109375" style="110" customWidth="1"/>
    <col min="14910" max="14910" width="2.7109375" style="110" bestFit="1" customWidth="1"/>
    <col min="14911" max="14911" width="11.5703125" style="110" bestFit="1" customWidth="1"/>
    <col min="14912" max="15088" width="10.7109375" style="110"/>
    <col min="15089" max="15089" width="5.28515625" style="110" customWidth="1"/>
    <col min="15090" max="15090" width="6.42578125" style="110" customWidth="1"/>
    <col min="15091" max="15091" width="22" style="110" customWidth="1"/>
    <col min="15092" max="15092" width="7.5703125" style="110" bestFit="1" customWidth="1"/>
    <col min="15093" max="15093" width="4.42578125" style="110" customWidth="1"/>
    <col min="15094" max="15094" width="7.42578125" style="110" bestFit="1" customWidth="1"/>
    <col min="15095" max="15095" width="2.85546875" style="110" bestFit="1" customWidth="1"/>
    <col min="15096" max="15096" width="7" style="110" bestFit="1" customWidth="1"/>
    <col min="15097" max="15097" width="5.7109375" style="110" bestFit="1" customWidth="1"/>
    <col min="15098" max="15098" width="7.85546875" style="110" bestFit="1" customWidth="1"/>
    <col min="15099" max="15100" width="0" style="110" hidden="1" customWidth="1"/>
    <col min="15101" max="15101" width="12.5703125" style="110" customWidth="1"/>
    <col min="15102" max="15102" width="0" style="110" hidden="1" customWidth="1"/>
    <col min="15103" max="15103" width="11" style="110" customWidth="1"/>
    <col min="15104" max="15104" width="9.140625" style="110" customWidth="1"/>
    <col min="15105" max="15105" width="9.85546875" style="110" customWidth="1"/>
    <col min="15106" max="15109" width="0" style="110" hidden="1" customWidth="1"/>
    <col min="15110" max="15110" width="1.5703125" style="110" customWidth="1"/>
    <col min="15111" max="15113" width="0" style="110" hidden="1" customWidth="1"/>
    <col min="15114" max="15114" width="10.42578125" style="110" customWidth="1"/>
    <col min="15115" max="15116" width="11" style="110" customWidth="1"/>
    <col min="15117" max="15117" width="9.42578125" style="110" customWidth="1"/>
    <col min="15118" max="15118" width="10" style="110" customWidth="1"/>
    <col min="15119" max="15119" width="11" style="110" customWidth="1"/>
    <col min="15120" max="15120" width="9.5703125" style="110" customWidth="1"/>
    <col min="15121" max="15121" width="10.140625" style="110" customWidth="1"/>
    <col min="15122" max="15161" width="10.7109375" style="110" customWidth="1"/>
    <col min="15162" max="15162" width="1.85546875" style="110" bestFit="1" customWidth="1"/>
    <col min="15163" max="15163" width="34.5703125" style="110" bestFit="1" customWidth="1"/>
    <col min="15164" max="15165" width="10.7109375" style="110" customWidth="1"/>
    <col min="15166" max="15166" width="2.7109375" style="110" bestFit="1" customWidth="1"/>
    <col min="15167" max="15167" width="11.5703125" style="110" bestFit="1" customWidth="1"/>
    <col min="15168" max="15344" width="10.7109375" style="110"/>
    <col min="15345" max="15345" width="5.28515625" style="110" customWidth="1"/>
    <col min="15346" max="15346" width="6.42578125" style="110" customWidth="1"/>
    <col min="15347" max="15347" width="22" style="110" customWidth="1"/>
    <col min="15348" max="15348" width="7.5703125" style="110" bestFit="1" customWidth="1"/>
    <col min="15349" max="15349" width="4.42578125" style="110" customWidth="1"/>
    <col min="15350" max="15350" width="7.42578125" style="110" bestFit="1" customWidth="1"/>
    <col min="15351" max="15351" width="2.85546875" style="110" bestFit="1" customWidth="1"/>
    <col min="15352" max="15352" width="7" style="110" bestFit="1" customWidth="1"/>
    <col min="15353" max="15353" width="5.7109375" style="110" bestFit="1" customWidth="1"/>
    <col min="15354" max="15354" width="7.85546875" style="110" bestFit="1" customWidth="1"/>
    <col min="15355" max="15356" width="0" style="110" hidden="1" customWidth="1"/>
    <col min="15357" max="15357" width="12.5703125" style="110" customWidth="1"/>
    <col min="15358" max="15358" width="0" style="110" hidden="1" customWidth="1"/>
    <col min="15359" max="15359" width="11" style="110" customWidth="1"/>
    <col min="15360" max="15360" width="9.140625" style="110" customWidth="1"/>
    <col min="15361" max="15361" width="9.85546875" style="110" customWidth="1"/>
    <col min="15362" max="15365" width="0" style="110" hidden="1" customWidth="1"/>
    <col min="15366" max="15366" width="1.5703125" style="110" customWidth="1"/>
    <col min="15367" max="15369" width="0" style="110" hidden="1" customWidth="1"/>
    <col min="15370" max="15370" width="10.42578125" style="110" customWidth="1"/>
    <col min="15371" max="15372" width="11" style="110" customWidth="1"/>
    <col min="15373" max="15373" width="9.42578125" style="110" customWidth="1"/>
    <col min="15374" max="15374" width="10" style="110" customWidth="1"/>
    <col min="15375" max="15375" width="11" style="110" customWidth="1"/>
    <col min="15376" max="15376" width="9.5703125" style="110" customWidth="1"/>
    <col min="15377" max="15377" width="10.140625" style="110" customWidth="1"/>
    <col min="15378" max="15417" width="10.7109375" style="110" customWidth="1"/>
    <col min="15418" max="15418" width="1.85546875" style="110" bestFit="1" customWidth="1"/>
    <col min="15419" max="15419" width="34.5703125" style="110" bestFit="1" customWidth="1"/>
    <col min="15420" max="15421" width="10.7109375" style="110" customWidth="1"/>
    <col min="15422" max="15422" width="2.7109375" style="110" bestFit="1" customWidth="1"/>
    <col min="15423" max="15423" width="11.5703125" style="110" bestFit="1" customWidth="1"/>
    <col min="15424" max="15600" width="10.7109375" style="110"/>
    <col min="15601" max="15601" width="5.28515625" style="110" customWidth="1"/>
    <col min="15602" max="15602" width="6.42578125" style="110" customWidth="1"/>
    <col min="15603" max="15603" width="22" style="110" customWidth="1"/>
    <col min="15604" max="15604" width="7.5703125" style="110" bestFit="1" customWidth="1"/>
    <col min="15605" max="15605" width="4.42578125" style="110" customWidth="1"/>
    <col min="15606" max="15606" width="7.42578125" style="110" bestFit="1" customWidth="1"/>
    <col min="15607" max="15607" width="2.85546875" style="110" bestFit="1" customWidth="1"/>
    <col min="15608" max="15608" width="7" style="110" bestFit="1" customWidth="1"/>
    <col min="15609" max="15609" width="5.7109375" style="110" bestFit="1" customWidth="1"/>
    <col min="15610" max="15610" width="7.85546875" style="110" bestFit="1" customWidth="1"/>
    <col min="15611" max="15612" width="0" style="110" hidden="1" customWidth="1"/>
    <col min="15613" max="15613" width="12.5703125" style="110" customWidth="1"/>
    <col min="15614" max="15614" width="0" style="110" hidden="1" customWidth="1"/>
    <col min="15615" max="15615" width="11" style="110" customWidth="1"/>
    <col min="15616" max="15616" width="9.140625" style="110" customWidth="1"/>
    <col min="15617" max="15617" width="9.85546875" style="110" customWidth="1"/>
    <col min="15618" max="15621" width="0" style="110" hidden="1" customWidth="1"/>
    <col min="15622" max="15622" width="1.5703125" style="110" customWidth="1"/>
    <col min="15623" max="15625" width="0" style="110" hidden="1" customWidth="1"/>
    <col min="15626" max="15626" width="10.42578125" style="110" customWidth="1"/>
    <col min="15627" max="15628" width="11" style="110" customWidth="1"/>
    <col min="15629" max="15629" width="9.42578125" style="110" customWidth="1"/>
    <col min="15630" max="15630" width="10" style="110" customWidth="1"/>
    <col min="15631" max="15631" width="11" style="110" customWidth="1"/>
    <col min="15632" max="15632" width="9.5703125" style="110" customWidth="1"/>
    <col min="15633" max="15633" width="10.140625" style="110" customWidth="1"/>
    <col min="15634" max="15673" width="10.7109375" style="110" customWidth="1"/>
    <col min="15674" max="15674" width="1.85546875" style="110" bestFit="1" customWidth="1"/>
    <col min="15675" max="15675" width="34.5703125" style="110" bestFit="1" customWidth="1"/>
    <col min="15676" max="15677" width="10.7109375" style="110" customWidth="1"/>
    <col min="15678" max="15678" width="2.7109375" style="110" bestFit="1" customWidth="1"/>
    <col min="15679" max="15679" width="11.5703125" style="110" bestFit="1" customWidth="1"/>
    <col min="15680" max="15856" width="10.7109375" style="110"/>
    <col min="15857" max="15857" width="5.28515625" style="110" customWidth="1"/>
    <col min="15858" max="15858" width="6.42578125" style="110" customWidth="1"/>
    <col min="15859" max="15859" width="22" style="110" customWidth="1"/>
    <col min="15860" max="15860" width="7.5703125" style="110" bestFit="1" customWidth="1"/>
    <col min="15861" max="15861" width="4.42578125" style="110" customWidth="1"/>
    <col min="15862" max="15862" width="7.42578125" style="110" bestFit="1" customWidth="1"/>
    <col min="15863" max="15863" width="2.85546875" style="110" bestFit="1" customWidth="1"/>
    <col min="15864" max="15864" width="7" style="110" bestFit="1" customWidth="1"/>
    <col min="15865" max="15865" width="5.7109375" style="110" bestFit="1" customWidth="1"/>
    <col min="15866" max="15866" width="7.85546875" style="110" bestFit="1" customWidth="1"/>
    <col min="15867" max="15868" width="0" style="110" hidden="1" customWidth="1"/>
    <col min="15869" max="15869" width="12.5703125" style="110" customWidth="1"/>
    <col min="15870" max="15870" width="0" style="110" hidden="1" customWidth="1"/>
    <col min="15871" max="15871" width="11" style="110" customWidth="1"/>
    <col min="15872" max="15872" width="9.140625" style="110" customWidth="1"/>
    <col min="15873" max="15873" width="9.85546875" style="110" customWidth="1"/>
    <col min="15874" max="15877" width="0" style="110" hidden="1" customWidth="1"/>
    <col min="15878" max="15878" width="1.5703125" style="110" customWidth="1"/>
    <col min="15879" max="15881" width="0" style="110" hidden="1" customWidth="1"/>
    <col min="15882" max="15882" width="10.42578125" style="110" customWidth="1"/>
    <col min="15883" max="15884" width="11" style="110" customWidth="1"/>
    <col min="15885" max="15885" width="9.42578125" style="110" customWidth="1"/>
    <col min="15886" max="15886" width="10" style="110" customWidth="1"/>
    <col min="15887" max="15887" width="11" style="110" customWidth="1"/>
    <col min="15888" max="15888" width="9.5703125" style="110" customWidth="1"/>
    <col min="15889" max="15889" width="10.140625" style="110" customWidth="1"/>
    <col min="15890" max="15929" width="10.7109375" style="110" customWidth="1"/>
    <col min="15930" max="15930" width="1.85546875" style="110" bestFit="1" customWidth="1"/>
    <col min="15931" max="15931" width="34.5703125" style="110" bestFit="1" customWidth="1"/>
    <col min="15932" max="15933" width="10.7109375" style="110" customWidth="1"/>
    <col min="15934" max="15934" width="2.7109375" style="110" bestFit="1" customWidth="1"/>
    <col min="15935" max="15935" width="11.5703125" style="110" bestFit="1" customWidth="1"/>
    <col min="15936" max="16112" width="10.7109375" style="110"/>
    <col min="16113" max="16113" width="5.28515625" style="110" customWidth="1"/>
    <col min="16114" max="16114" width="6.42578125" style="110" customWidth="1"/>
    <col min="16115" max="16115" width="22" style="110" customWidth="1"/>
    <col min="16116" max="16116" width="7.5703125" style="110" bestFit="1" customWidth="1"/>
    <col min="16117" max="16117" width="4.42578125" style="110" customWidth="1"/>
    <col min="16118" max="16118" width="7.42578125" style="110" bestFit="1" customWidth="1"/>
    <col min="16119" max="16119" width="2.85546875" style="110" bestFit="1" customWidth="1"/>
    <col min="16120" max="16120" width="7" style="110" bestFit="1" customWidth="1"/>
    <col min="16121" max="16121" width="5.7109375" style="110" bestFit="1" customWidth="1"/>
    <col min="16122" max="16122" width="7.85546875" style="110" bestFit="1" customWidth="1"/>
    <col min="16123" max="16124" width="0" style="110" hidden="1" customWidth="1"/>
    <col min="16125" max="16125" width="12.5703125" style="110" customWidth="1"/>
    <col min="16126" max="16126" width="0" style="110" hidden="1" customWidth="1"/>
    <col min="16127" max="16127" width="11" style="110" customWidth="1"/>
    <col min="16128" max="16128" width="9.140625" style="110" customWidth="1"/>
    <col min="16129" max="16129" width="9.85546875" style="110" customWidth="1"/>
    <col min="16130" max="16133" width="0" style="110" hidden="1" customWidth="1"/>
    <col min="16134" max="16134" width="1.5703125" style="110" customWidth="1"/>
    <col min="16135" max="16137" width="0" style="110" hidden="1" customWidth="1"/>
    <col min="16138" max="16138" width="10.42578125" style="110" customWidth="1"/>
    <col min="16139" max="16140" width="11" style="110" customWidth="1"/>
    <col min="16141" max="16141" width="9.42578125" style="110" customWidth="1"/>
    <col min="16142" max="16142" width="10" style="110" customWidth="1"/>
    <col min="16143" max="16143" width="11" style="110" customWidth="1"/>
    <col min="16144" max="16144" width="9.5703125" style="110" customWidth="1"/>
    <col min="16145" max="16145" width="10.140625" style="110" customWidth="1"/>
    <col min="16146" max="16185" width="10.7109375" style="110" customWidth="1"/>
    <col min="16186" max="16186" width="1.85546875" style="110" bestFit="1" customWidth="1"/>
    <col min="16187" max="16187" width="34.5703125" style="110" bestFit="1" customWidth="1"/>
    <col min="16188" max="16189" width="10.7109375" style="110" customWidth="1"/>
    <col min="16190" max="16190" width="2.7109375" style="110" bestFit="1" customWidth="1"/>
    <col min="16191" max="16191" width="11.5703125" style="110" bestFit="1" customWidth="1"/>
    <col min="16192" max="16384" width="10.7109375" style="110"/>
  </cols>
  <sheetData>
    <row r="1" spans="1:63">
      <c r="B1" s="111" t="s">
        <v>44</v>
      </c>
      <c r="F1" s="254"/>
      <c r="G1" s="254"/>
      <c r="H1" s="112"/>
      <c r="P1" s="115"/>
      <c r="Q1" s="115"/>
      <c r="AE1" s="116"/>
    </row>
    <row r="2" spans="1:63">
      <c r="B2" s="111" t="s">
        <v>45</v>
      </c>
      <c r="F2" s="254"/>
      <c r="G2" s="254"/>
      <c r="P2" s="117">
        <v>0</v>
      </c>
      <c r="Q2" s="118" t="s">
        <v>46</v>
      </c>
      <c r="BG2" s="110" t="s">
        <v>47</v>
      </c>
    </row>
    <row r="3" spans="1:63">
      <c r="B3" s="255">
        <f>'2120 Depr Summary'!H5</f>
        <v>43100</v>
      </c>
      <c r="C3" s="255"/>
      <c r="P3" s="117">
        <v>12</v>
      </c>
      <c r="Q3" s="118" t="s">
        <v>48</v>
      </c>
      <c r="AE3" s="110" t="s">
        <v>49</v>
      </c>
      <c r="AF3" s="110" t="s">
        <v>50</v>
      </c>
    </row>
    <row r="4" spans="1:63" ht="11.25" customHeight="1">
      <c r="P4" s="120">
        <v>2016</v>
      </c>
      <c r="Q4" s="118" t="s">
        <v>51</v>
      </c>
      <c r="AE4" s="110" t="s">
        <v>52</v>
      </c>
      <c r="AF4" s="110" t="s">
        <v>53</v>
      </c>
      <c r="BF4" s="110">
        <v>1</v>
      </c>
      <c r="BG4" s="110" t="s">
        <v>54</v>
      </c>
      <c r="BJ4" s="110">
        <v>12</v>
      </c>
      <c r="BK4" s="110" t="s">
        <v>55</v>
      </c>
    </row>
    <row r="5" spans="1:63" ht="11.25" customHeight="1">
      <c r="P5" s="120">
        <v>2017</v>
      </c>
      <c r="Q5" s="118" t="s">
        <v>56</v>
      </c>
      <c r="AE5" s="110" t="s">
        <v>57</v>
      </c>
      <c r="AF5" s="110" t="s">
        <v>58</v>
      </c>
      <c r="BG5" s="110">
        <v>1993</v>
      </c>
      <c r="BJ5" s="110">
        <v>0</v>
      </c>
      <c r="BK5" s="110" t="s">
        <v>59</v>
      </c>
    </row>
    <row r="6" spans="1:63">
      <c r="AE6" s="110" t="s">
        <v>60</v>
      </c>
      <c r="AF6" s="110" t="s">
        <v>61</v>
      </c>
      <c r="BJ6" s="110">
        <v>93</v>
      </c>
      <c r="BK6" s="110" t="s">
        <v>51</v>
      </c>
    </row>
    <row r="7" spans="1:63">
      <c r="AC7" s="121"/>
      <c r="AE7" s="110" t="s">
        <v>62</v>
      </c>
      <c r="AF7" s="110" t="s">
        <v>63</v>
      </c>
      <c r="BJ7" s="110">
        <v>94</v>
      </c>
      <c r="BK7" s="110" t="s">
        <v>64</v>
      </c>
    </row>
    <row r="8" spans="1:63">
      <c r="C8" s="115"/>
      <c r="D8" s="115"/>
      <c r="E8" s="115"/>
      <c r="F8" s="115"/>
      <c r="G8" s="122"/>
      <c r="H8" s="115"/>
      <c r="I8" s="115"/>
      <c r="J8" s="115"/>
      <c r="K8" s="123"/>
      <c r="S8" s="119" t="s">
        <v>65</v>
      </c>
      <c r="V8" s="121" t="s">
        <v>43</v>
      </c>
      <c r="X8" s="119" t="s">
        <v>2</v>
      </c>
      <c r="Y8" s="119" t="s">
        <v>66</v>
      </c>
      <c r="AA8" s="121" t="s">
        <v>66</v>
      </c>
      <c r="AB8" s="121" t="s">
        <v>66</v>
      </c>
      <c r="AC8" s="121"/>
    </row>
    <row r="9" spans="1:63">
      <c r="B9" s="121"/>
      <c r="C9" s="121" t="s">
        <v>25</v>
      </c>
      <c r="D9" s="124"/>
      <c r="E9" s="121" t="s">
        <v>68</v>
      </c>
      <c r="F9" s="121"/>
      <c r="G9" s="125" t="s">
        <v>7</v>
      </c>
      <c r="H9" s="115"/>
      <c r="I9" s="121" t="s">
        <v>25</v>
      </c>
      <c r="J9" s="121"/>
      <c r="K9" s="126" t="s">
        <v>69</v>
      </c>
      <c r="L9" s="121" t="s">
        <v>25</v>
      </c>
      <c r="N9" s="127" t="s">
        <v>25</v>
      </c>
      <c r="O9" s="119" t="s">
        <v>70</v>
      </c>
      <c r="P9" s="124" t="s">
        <v>25</v>
      </c>
      <c r="Q9" s="124"/>
      <c r="R9" s="121" t="s">
        <v>43</v>
      </c>
      <c r="S9" s="119" t="s">
        <v>69</v>
      </c>
      <c r="T9" s="121" t="s">
        <v>43</v>
      </c>
      <c r="U9" s="121" t="s">
        <v>71</v>
      </c>
      <c r="V9" s="121" t="s">
        <v>66</v>
      </c>
      <c r="X9" s="119" t="s">
        <v>72</v>
      </c>
      <c r="Y9" s="119" t="s">
        <v>72</v>
      </c>
      <c r="Z9" s="119" t="s">
        <v>73</v>
      </c>
      <c r="AA9" s="121" t="s">
        <v>74</v>
      </c>
      <c r="AB9" s="121" t="s">
        <v>74</v>
      </c>
      <c r="AC9" s="121" t="s">
        <v>4</v>
      </c>
    </row>
    <row r="10" spans="1:63">
      <c r="B10" s="121"/>
      <c r="C10" s="121"/>
      <c r="D10" s="124"/>
      <c r="E10" s="121" t="s">
        <v>76</v>
      </c>
      <c r="F10" s="121"/>
      <c r="G10" s="125" t="s">
        <v>77</v>
      </c>
      <c r="H10" s="115"/>
      <c r="I10" s="121" t="s">
        <v>78</v>
      </c>
      <c r="J10" s="121" t="s">
        <v>79</v>
      </c>
      <c r="K10" s="126" t="s">
        <v>80</v>
      </c>
      <c r="L10" s="121" t="s">
        <v>70</v>
      </c>
      <c r="M10" s="110" t="s">
        <v>81</v>
      </c>
      <c r="N10" s="127" t="s">
        <v>70</v>
      </c>
      <c r="O10" s="119" t="s">
        <v>65</v>
      </c>
      <c r="P10" s="121" t="s">
        <v>8</v>
      </c>
      <c r="Q10" s="121" t="s">
        <v>82</v>
      </c>
      <c r="R10" s="121" t="s">
        <v>9</v>
      </c>
      <c r="S10" s="119" t="s">
        <v>83</v>
      </c>
      <c r="T10" s="121" t="s">
        <v>84</v>
      </c>
      <c r="U10" s="121" t="s">
        <v>85</v>
      </c>
      <c r="V10" s="121" t="s">
        <v>86</v>
      </c>
      <c r="W10" s="121"/>
      <c r="X10" s="121" t="s">
        <v>87</v>
      </c>
      <c r="Y10" s="121" t="s">
        <v>87</v>
      </c>
      <c r="Z10" s="121" t="s">
        <v>85</v>
      </c>
      <c r="AA10" s="121" t="s">
        <v>88</v>
      </c>
      <c r="AB10" s="121" t="s">
        <v>88</v>
      </c>
      <c r="AC10" s="121" t="s">
        <v>11</v>
      </c>
      <c r="AD10" s="119" t="s">
        <v>49</v>
      </c>
      <c r="AE10" s="119" t="s">
        <v>89</v>
      </c>
      <c r="AF10" s="119" t="s">
        <v>90</v>
      </c>
      <c r="AG10" s="119" t="s">
        <v>60</v>
      </c>
      <c r="AH10" s="119" t="s">
        <v>62</v>
      </c>
      <c r="BF10" s="110">
        <v>2</v>
      </c>
      <c r="BG10" s="110" t="s">
        <v>91</v>
      </c>
    </row>
    <row r="11" spans="1:63">
      <c r="A11" s="128" t="s">
        <v>92</v>
      </c>
      <c r="B11" s="128" t="s">
        <v>93</v>
      </c>
      <c r="C11" s="128" t="s">
        <v>353</v>
      </c>
      <c r="D11" s="129" t="s">
        <v>95</v>
      </c>
      <c r="E11" s="128" t="s">
        <v>69</v>
      </c>
      <c r="F11" s="128" t="s">
        <v>96</v>
      </c>
      <c r="G11" s="130" t="s">
        <v>71</v>
      </c>
      <c r="H11" s="115" t="s">
        <v>97</v>
      </c>
      <c r="I11" s="128" t="s">
        <v>98</v>
      </c>
      <c r="J11" s="128" t="s">
        <v>99</v>
      </c>
      <c r="K11" s="131" t="s">
        <v>8</v>
      </c>
      <c r="L11" s="128" t="s">
        <v>6</v>
      </c>
      <c r="M11" s="132" t="s">
        <v>97</v>
      </c>
      <c r="N11" s="133" t="s">
        <v>6</v>
      </c>
      <c r="O11" s="132" t="s">
        <v>97</v>
      </c>
      <c r="P11" s="128" t="s">
        <v>6</v>
      </c>
      <c r="Q11" s="128" t="s">
        <v>8</v>
      </c>
      <c r="R11" s="121" t="s">
        <v>8</v>
      </c>
      <c r="S11" s="132" t="s">
        <v>97</v>
      </c>
      <c r="T11" s="121" t="s">
        <v>100</v>
      </c>
      <c r="U11" s="128" t="s">
        <v>97</v>
      </c>
      <c r="V11" s="121" t="s">
        <v>88</v>
      </c>
      <c r="W11" s="121"/>
      <c r="X11" s="134">
        <f>'2120 Depr Summary'!F5</f>
        <v>42736</v>
      </c>
      <c r="Y11" s="134">
        <f>+B3</f>
        <v>43100</v>
      </c>
      <c r="Z11" s="121" t="s">
        <v>71</v>
      </c>
      <c r="AA11" s="135">
        <f>+X11</f>
        <v>42736</v>
      </c>
      <c r="AB11" s="135">
        <f>+B3</f>
        <v>43100</v>
      </c>
      <c r="AC11" s="135">
        <f>+B3</f>
        <v>43100</v>
      </c>
    </row>
    <row r="12" spans="1:63">
      <c r="D12" s="124" t="s">
        <v>150</v>
      </c>
      <c r="E12" s="119"/>
      <c r="G12" s="110"/>
      <c r="J12" s="119"/>
      <c r="L12" s="132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</row>
    <row r="13" spans="1:63">
      <c r="C13" s="110">
        <v>10</v>
      </c>
      <c r="D13" s="136" t="s">
        <v>151</v>
      </c>
      <c r="E13" s="119">
        <v>1981</v>
      </c>
      <c r="F13" s="110">
        <v>9</v>
      </c>
      <c r="G13" s="159">
        <v>0</v>
      </c>
      <c r="H13" s="159"/>
      <c r="I13" s="119" t="s">
        <v>103</v>
      </c>
      <c r="J13" s="119">
        <v>10</v>
      </c>
      <c r="K13" s="113">
        <f t="shared" ref="K13:K44" si="0">E13+J13</f>
        <v>1991</v>
      </c>
      <c r="L13" s="160"/>
      <c r="N13" s="138">
        <v>3369.97</v>
      </c>
      <c r="O13" s="147"/>
      <c r="P13" s="139">
        <f t="shared" ref="P13:P44" si="1">N13-N13*G13</f>
        <v>3369.97</v>
      </c>
      <c r="Q13" s="139">
        <f t="shared" ref="Q13:Q44" si="2">P13/J13/12</f>
        <v>28.083083333333331</v>
      </c>
      <c r="R13" s="139">
        <f t="shared" ref="R13:R44" si="3">IF(O13&gt;0,0,IF(OR(AD13&gt;AE13,AF13&lt;AG13),0,IF(AND(AF13&gt;=AG13,AF13&lt;=AE13),Q13*((AF13-AG13)*12),IF(AND(AG13&lt;=AD13,AE13&gt;=AD13),((AE13-AD13)*12)*Q13,IF(AF13&gt;AE13,12*Q13,0)))))</f>
        <v>0</v>
      </c>
      <c r="S13" s="139"/>
      <c r="T13" s="139">
        <f t="shared" ref="T13:T44" si="4">IF(S13&gt;0,S13,R13)</f>
        <v>0</v>
      </c>
      <c r="U13" s="139">
        <v>1</v>
      </c>
      <c r="V13" s="139">
        <f t="shared" ref="V13:V44" si="5">U13*SUM(R13:S13)</f>
        <v>0</v>
      </c>
      <c r="W13" s="139"/>
      <c r="X13" s="139">
        <f t="shared" ref="X13:X44" si="6">IF(AD13&gt;AE13,0,IF(AF13&lt;AG13,P13,IF(AND(AF13&gt;=AG13,AF13&lt;=AE13),(P13-T13),IF(AND(AG13&lt;=AD13,AE13&gt;=AD13),0,IF(AF13&gt;AE13,((AG13-AD13)*12)*Q13,0)))))</f>
        <v>3369.97</v>
      </c>
      <c r="Y13" s="139">
        <f t="shared" ref="Y13:Y44" si="7">X13*U13</f>
        <v>3369.97</v>
      </c>
      <c r="Z13" s="139">
        <v>1</v>
      </c>
      <c r="AA13" s="139">
        <f t="shared" ref="AA13:AA44" si="8">Y13*Z13</f>
        <v>3369.97</v>
      </c>
      <c r="AB13" s="139">
        <f t="shared" ref="AB13:AB44" si="9">IF(O13&gt;0,0,AA13+V13*Z13)*Z13</f>
        <v>3369.97</v>
      </c>
      <c r="AC13" s="139">
        <f t="shared" ref="AC13:AC44" si="10">IF(O13&gt;0,(N13-AA13)/2,IF(AD13&gt;=AG13,(((N13*U13)*Z13)-AB13)/2,((((N13*U13)*Z13)-AA13)+(((N13*U13)*Z13)-AB13))/2))</f>
        <v>0</v>
      </c>
      <c r="AD13" s="115">
        <f t="shared" ref="AD13:AD44" si="11">$E13+(($F13-1)/12)</f>
        <v>1981.6666666666667</v>
      </c>
      <c r="AE13" s="115">
        <f t="shared" ref="AE13:AE44" si="12">($P$5+1)-($P$2/12)</f>
        <v>2018</v>
      </c>
      <c r="AF13" s="115">
        <f t="shared" ref="AF13:AF44" si="13">$K13+(($F13-1)/12)</f>
        <v>1991.6666666666667</v>
      </c>
      <c r="AG13" s="115">
        <f t="shared" ref="AG13:AG44" si="14">$P$4+($P$3/12)</f>
        <v>2017</v>
      </c>
      <c r="AH13" s="115">
        <f t="shared" ref="AH13:AH44" si="15">$L13+(($M13-1)/12)</f>
        <v>-8.3333333333333329E-2</v>
      </c>
    </row>
    <row r="14" spans="1:63">
      <c r="C14" s="110">
        <v>4</v>
      </c>
      <c r="D14" s="136" t="s">
        <v>152</v>
      </c>
      <c r="E14" s="119">
        <v>1982</v>
      </c>
      <c r="F14" s="110">
        <v>6</v>
      </c>
      <c r="G14" s="159">
        <v>0</v>
      </c>
      <c r="H14" s="159"/>
      <c r="I14" s="119" t="s">
        <v>103</v>
      </c>
      <c r="J14" s="119">
        <v>7</v>
      </c>
      <c r="K14" s="113">
        <f t="shared" si="0"/>
        <v>1989</v>
      </c>
      <c r="L14" s="160"/>
      <c r="N14" s="138">
        <v>1076.96</v>
      </c>
      <c r="O14" s="147"/>
      <c r="P14" s="139">
        <f t="shared" si="1"/>
        <v>1076.96</v>
      </c>
      <c r="Q14" s="139">
        <f t="shared" si="2"/>
        <v>12.820952380952383</v>
      </c>
      <c r="R14" s="139">
        <f t="shared" si="3"/>
        <v>0</v>
      </c>
      <c r="S14" s="139"/>
      <c r="T14" s="139">
        <f t="shared" si="4"/>
        <v>0</v>
      </c>
      <c r="U14" s="139">
        <v>1</v>
      </c>
      <c r="V14" s="139">
        <f t="shared" si="5"/>
        <v>0</v>
      </c>
      <c r="W14" s="139"/>
      <c r="X14" s="139">
        <f t="shared" si="6"/>
        <v>1076.96</v>
      </c>
      <c r="Y14" s="139">
        <f t="shared" si="7"/>
        <v>1076.96</v>
      </c>
      <c r="Z14" s="139">
        <v>1</v>
      </c>
      <c r="AA14" s="139">
        <f t="shared" si="8"/>
        <v>1076.96</v>
      </c>
      <c r="AB14" s="139">
        <f t="shared" si="9"/>
        <v>1076.96</v>
      </c>
      <c r="AC14" s="139">
        <f t="shared" si="10"/>
        <v>0</v>
      </c>
      <c r="AD14" s="115">
        <f t="shared" si="11"/>
        <v>1982.4166666666667</v>
      </c>
      <c r="AE14" s="115">
        <f t="shared" si="12"/>
        <v>2018</v>
      </c>
      <c r="AF14" s="115">
        <f t="shared" si="13"/>
        <v>1989.4166666666667</v>
      </c>
      <c r="AG14" s="115">
        <f t="shared" si="14"/>
        <v>2017</v>
      </c>
      <c r="AH14" s="115">
        <f t="shared" si="15"/>
        <v>-8.3333333333333329E-2</v>
      </c>
    </row>
    <row r="15" spans="1:63">
      <c r="C15" s="110">
        <v>12</v>
      </c>
      <c r="D15" s="136" t="s">
        <v>153</v>
      </c>
      <c r="E15" s="119">
        <v>1982</v>
      </c>
      <c r="F15" s="110">
        <v>11</v>
      </c>
      <c r="G15" s="159">
        <v>0</v>
      </c>
      <c r="H15" s="159"/>
      <c r="I15" s="119" t="s">
        <v>103</v>
      </c>
      <c r="J15" s="119">
        <v>7</v>
      </c>
      <c r="K15" s="113">
        <f t="shared" si="0"/>
        <v>1989</v>
      </c>
      <c r="L15" s="160"/>
      <c r="N15" s="138">
        <v>3131</v>
      </c>
      <c r="O15" s="147"/>
      <c r="P15" s="139">
        <f t="shared" si="1"/>
        <v>3131</v>
      </c>
      <c r="Q15" s="139">
        <f t="shared" si="2"/>
        <v>37.273809523809526</v>
      </c>
      <c r="R15" s="139">
        <f t="shared" si="3"/>
        <v>0</v>
      </c>
      <c r="S15" s="139"/>
      <c r="T15" s="139">
        <f t="shared" si="4"/>
        <v>0</v>
      </c>
      <c r="U15" s="139">
        <v>1</v>
      </c>
      <c r="V15" s="139">
        <f t="shared" si="5"/>
        <v>0</v>
      </c>
      <c r="W15" s="139"/>
      <c r="X15" s="139">
        <f t="shared" si="6"/>
        <v>3131</v>
      </c>
      <c r="Y15" s="139">
        <f t="shared" si="7"/>
        <v>3131</v>
      </c>
      <c r="Z15" s="139">
        <v>1</v>
      </c>
      <c r="AA15" s="139">
        <f t="shared" si="8"/>
        <v>3131</v>
      </c>
      <c r="AB15" s="139">
        <f t="shared" si="9"/>
        <v>3131</v>
      </c>
      <c r="AC15" s="139">
        <f t="shared" si="10"/>
        <v>0</v>
      </c>
      <c r="AD15" s="115">
        <f t="shared" si="11"/>
        <v>1982.8333333333333</v>
      </c>
      <c r="AE15" s="115">
        <f t="shared" si="12"/>
        <v>2018</v>
      </c>
      <c r="AF15" s="115">
        <f t="shared" si="13"/>
        <v>1989.8333333333333</v>
      </c>
      <c r="AG15" s="115">
        <f t="shared" si="14"/>
        <v>2017</v>
      </c>
      <c r="AH15" s="115">
        <f t="shared" si="15"/>
        <v>-8.3333333333333329E-2</v>
      </c>
    </row>
    <row r="16" spans="1:63">
      <c r="C16" s="110">
        <v>1</v>
      </c>
      <c r="D16" s="136" t="s">
        <v>154</v>
      </c>
      <c r="E16" s="119">
        <v>1983</v>
      </c>
      <c r="F16" s="110">
        <v>9</v>
      </c>
      <c r="G16" s="159">
        <v>0</v>
      </c>
      <c r="H16" s="159"/>
      <c r="I16" s="119" t="s">
        <v>103</v>
      </c>
      <c r="J16" s="119">
        <v>10</v>
      </c>
      <c r="K16" s="113">
        <f t="shared" si="0"/>
        <v>1993</v>
      </c>
      <c r="L16" s="160"/>
      <c r="N16" s="138">
        <v>2291</v>
      </c>
      <c r="O16" s="147"/>
      <c r="P16" s="139">
        <f t="shared" si="1"/>
        <v>2291</v>
      </c>
      <c r="Q16" s="139">
        <f t="shared" si="2"/>
        <v>19.091666666666665</v>
      </c>
      <c r="R16" s="139">
        <f t="shared" si="3"/>
        <v>0</v>
      </c>
      <c r="S16" s="139"/>
      <c r="T16" s="139">
        <f t="shared" si="4"/>
        <v>0</v>
      </c>
      <c r="U16" s="139">
        <v>1</v>
      </c>
      <c r="V16" s="139">
        <f t="shared" si="5"/>
        <v>0</v>
      </c>
      <c r="W16" s="139"/>
      <c r="X16" s="139">
        <f t="shared" si="6"/>
        <v>2291</v>
      </c>
      <c r="Y16" s="139">
        <f t="shared" si="7"/>
        <v>2291</v>
      </c>
      <c r="Z16" s="139">
        <v>1</v>
      </c>
      <c r="AA16" s="139">
        <f t="shared" si="8"/>
        <v>2291</v>
      </c>
      <c r="AB16" s="139">
        <f t="shared" si="9"/>
        <v>2291</v>
      </c>
      <c r="AC16" s="139">
        <f t="shared" si="10"/>
        <v>0</v>
      </c>
      <c r="AD16" s="115">
        <f t="shared" si="11"/>
        <v>1983.6666666666667</v>
      </c>
      <c r="AE16" s="115">
        <f t="shared" si="12"/>
        <v>2018</v>
      </c>
      <c r="AF16" s="115">
        <f t="shared" si="13"/>
        <v>1993.6666666666667</v>
      </c>
      <c r="AG16" s="115">
        <f t="shared" si="14"/>
        <v>2017</v>
      </c>
      <c r="AH16" s="115">
        <f t="shared" si="15"/>
        <v>-8.3333333333333329E-2</v>
      </c>
    </row>
    <row r="17" spans="1:34">
      <c r="D17" s="136" t="s">
        <v>154</v>
      </c>
      <c r="E17" s="119">
        <v>1983</v>
      </c>
      <c r="F17" s="110">
        <v>9</v>
      </c>
      <c r="G17" s="159">
        <v>0</v>
      </c>
      <c r="H17" s="159"/>
      <c r="I17" s="119" t="s">
        <v>103</v>
      </c>
      <c r="J17" s="119">
        <v>10</v>
      </c>
      <c r="K17" s="113">
        <f t="shared" si="0"/>
        <v>1993</v>
      </c>
      <c r="L17" s="160"/>
      <c r="N17" s="138">
        <v>2290.84</v>
      </c>
      <c r="O17" s="147"/>
      <c r="P17" s="139">
        <f t="shared" si="1"/>
        <v>2290.84</v>
      </c>
      <c r="Q17" s="139">
        <f t="shared" si="2"/>
        <v>19.090333333333334</v>
      </c>
      <c r="R17" s="139">
        <f t="shared" si="3"/>
        <v>0</v>
      </c>
      <c r="S17" s="139"/>
      <c r="T17" s="139">
        <f t="shared" si="4"/>
        <v>0</v>
      </c>
      <c r="U17" s="139">
        <v>1</v>
      </c>
      <c r="V17" s="139">
        <f t="shared" si="5"/>
        <v>0</v>
      </c>
      <c r="W17" s="139"/>
      <c r="X17" s="139">
        <f t="shared" si="6"/>
        <v>2290.84</v>
      </c>
      <c r="Y17" s="139">
        <f t="shared" si="7"/>
        <v>2290.84</v>
      </c>
      <c r="Z17" s="139">
        <v>1</v>
      </c>
      <c r="AA17" s="139">
        <f t="shared" si="8"/>
        <v>2290.84</v>
      </c>
      <c r="AB17" s="139">
        <f t="shared" si="9"/>
        <v>2290.84</v>
      </c>
      <c r="AC17" s="139">
        <f t="shared" si="10"/>
        <v>0</v>
      </c>
      <c r="AD17" s="115">
        <f t="shared" si="11"/>
        <v>1983.6666666666667</v>
      </c>
      <c r="AE17" s="115">
        <f t="shared" si="12"/>
        <v>2018</v>
      </c>
      <c r="AF17" s="115">
        <f t="shared" si="13"/>
        <v>1993.6666666666667</v>
      </c>
      <c r="AG17" s="115">
        <f t="shared" si="14"/>
        <v>2017</v>
      </c>
      <c r="AH17" s="115">
        <f t="shared" si="15"/>
        <v>-8.3333333333333329E-2</v>
      </c>
    </row>
    <row r="18" spans="1:34">
      <c r="C18" s="110">
        <v>12</v>
      </c>
      <c r="D18" s="110" t="str">
        <f>D17</f>
        <v xml:space="preserve">Containers </v>
      </c>
      <c r="E18" s="119">
        <v>1984</v>
      </c>
      <c r="F18" s="110">
        <v>4</v>
      </c>
      <c r="G18" s="159">
        <v>0</v>
      </c>
      <c r="H18" s="159"/>
      <c r="I18" s="119" t="s">
        <v>103</v>
      </c>
      <c r="J18" s="119">
        <v>10</v>
      </c>
      <c r="K18" s="113">
        <f t="shared" si="0"/>
        <v>1994</v>
      </c>
      <c r="L18" s="160"/>
      <c r="N18" s="138">
        <v>3369.97</v>
      </c>
      <c r="O18" s="147"/>
      <c r="P18" s="139">
        <f t="shared" si="1"/>
        <v>3369.97</v>
      </c>
      <c r="Q18" s="139">
        <f t="shared" si="2"/>
        <v>28.083083333333331</v>
      </c>
      <c r="R18" s="139">
        <f t="shared" si="3"/>
        <v>0</v>
      </c>
      <c r="S18" s="139"/>
      <c r="T18" s="139">
        <f t="shared" si="4"/>
        <v>0</v>
      </c>
      <c r="U18" s="139">
        <v>1</v>
      </c>
      <c r="V18" s="139">
        <f t="shared" si="5"/>
        <v>0</v>
      </c>
      <c r="W18" s="139"/>
      <c r="X18" s="139">
        <f t="shared" si="6"/>
        <v>3369.97</v>
      </c>
      <c r="Y18" s="139">
        <f t="shared" si="7"/>
        <v>3369.97</v>
      </c>
      <c r="Z18" s="139">
        <v>1</v>
      </c>
      <c r="AA18" s="139">
        <f t="shared" si="8"/>
        <v>3369.97</v>
      </c>
      <c r="AB18" s="139">
        <f t="shared" si="9"/>
        <v>3369.97</v>
      </c>
      <c r="AC18" s="139">
        <f t="shared" si="10"/>
        <v>0</v>
      </c>
      <c r="AD18" s="115">
        <f t="shared" si="11"/>
        <v>1984.25</v>
      </c>
      <c r="AE18" s="115">
        <f t="shared" si="12"/>
        <v>2018</v>
      </c>
      <c r="AF18" s="115">
        <f t="shared" si="13"/>
        <v>1994.25</v>
      </c>
      <c r="AG18" s="115">
        <f t="shared" si="14"/>
        <v>2017</v>
      </c>
      <c r="AH18" s="115">
        <f t="shared" si="15"/>
        <v>-8.3333333333333329E-2</v>
      </c>
    </row>
    <row r="19" spans="1:34">
      <c r="C19" s="110">
        <v>1</v>
      </c>
      <c r="D19" s="136" t="s">
        <v>155</v>
      </c>
      <c r="E19" s="119">
        <v>1984</v>
      </c>
      <c r="F19" s="110">
        <v>7</v>
      </c>
      <c r="G19" s="159">
        <v>0</v>
      </c>
      <c r="H19" s="159"/>
      <c r="I19" s="119" t="s">
        <v>103</v>
      </c>
      <c r="J19" s="119">
        <v>10</v>
      </c>
      <c r="K19" s="113">
        <f t="shared" si="0"/>
        <v>1994</v>
      </c>
      <c r="L19" s="160"/>
      <c r="N19" s="138">
        <v>3612.77</v>
      </c>
      <c r="O19" s="147"/>
      <c r="P19" s="139">
        <f t="shared" si="1"/>
        <v>3612.77</v>
      </c>
      <c r="Q19" s="139">
        <f t="shared" si="2"/>
        <v>30.106416666666664</v>
      </c>
      <c r="R19" s="139">
        <f t="shared" si="3"/>
        <v>0</v>
      </c>
      <c r="S19" s="139"/>
      <c r="T19" s="139">
        <f t="shared" si="4"/>
        <v>0</v>
      </c>
      <c r="U19" s="139">
        <v>1</v>
      </c>
      <c r="V19" s="139">
        <f t="shared" si="5"/>
        <v>0</v>
      </c>
      <c r="W19" s="139"/>
      <c r="X19" s="139">
        <f t="shared" si="6"/>
        <v>3612.77</v>
      </c>
      <c r="Y19" s="139">
        <f t="shared" si="7"/>
        <v>3612.77</v>
      </c>
      <c r="Z19" s="139">
        <v>1</v>
      </c>
      <c r="AA19" s="139">
        <f t="shared" si="8"/>
        <v>3612.77</v>
      </c>
      <c r="AB19" s="139">
        <f t="shared" si="9"/>
        <v>3612.77</v>
      </c>
      <c r="AC19" s="139">
        <f t="shared" si="10"/>
        <v>0</v>
      </c>
      <c r="AD19" s="115">
        <f t="shared" si="11"/>
        <v>1984.5</v>
      </c>
      <c r="AE19" s="115">
        <f t="shared" si="12"/>
        <v>2018</v>
      </c>
      <c r="AF19" s="115">
        <f t="shared" si="13"/>
        <v>1994.5</v>
      </c>
      <c r="AG19" s="115">
        <f t="shared" si="14"/>
        <v>2017</v>
      </c>
      <c r="AH19" s="115">
        <f t="shared" si="15"/>
        <v>-8.3333333333333329E-2</v>
      </c>
    </row>
    <row r="20" spans="1:34">
      <c r="A20" s="110">
        <v>118262</v>
      </c>
      <c r="C20" s="110">
        <v>8</v>
      </c>
      <c r="D20" s="136" t="s">
        <v>156</v>
      </c>
      <c r="E20" s="119">
        <v>1985</v>
      </c>
      <c r="F20" s="110">
        <v>3</v>
      </c>
      <c r="G20" s="159">
        <v>0</v>
      </c>
      <c r="H20" s="159"/>
      <c r="I20" s="119" t="s">
        <v>103</v>
      </c>
      <c r="J20" s="119">
        <v>10</v>
      </c>
      <c r="K20" s="113">
        <f t="shared" si="0"/>
        <v>1995</v>
      </c>
      <c r="L20" s="160"/>
      <c r="N20" s="138">
        <v>3229.62</v>
      </c>
      <c r="O20" s="147"/>
      <c r="P20" s="139">
        <f t="shared" si="1"/>
        <v>3229.62</v>
      </c>
      <c r="Q20" s="139">
        <f t="shared" si="2"/>
        <v>26.913499999999999</v>
      </c>
      <c r="R20" s="139">
        <f t="shared" si="3"/>
        <v>0</v>
      </c>
      <c r="S20" s="139"/>
      <c r="T20" s="139">
        <f t="shared" si="4"/>
        <v>0</v>
      </c>
      <c r="U20" s="139">
        <v>1</v>
      </c>
      <c r="V20" s="139">
        <f t="shared" si="5"/>
        <v>0</v>
      </c>
      <c r="W20" s="139"/>
      <c r="X20" s="139">
        <f t="shared" si="6"/>
        <v>3229.62</v>
      </c>
      <c r="Y20" s="139">
        <f t="shared" si="7"/>
        <v>3229.62</v>
      </c>
      <c r="Z20" s="139">
        <v>1</v>
      </c>
      <c r="AA20" s="139">
        <f t="shared" si="8"/>
        <v>3229.62</v>
      </c>
      <c r="AB20" s="139">
        <f t="shared" si="9"/>
        <v>3229.62</v>
      </c>
      <c r="AC20" s="139">
        <f t="shared" si="10"/>
        <v>0</v>
      </c>
      <c r="AD20" s="115">
        <f t="shared" si="11"/>
        <v>1985.1666666666667</v>
      </c>
      <c r="AE20" s="115">
        <f t="shared" si="12"/>
        <v>2018</v>
      </c>
      <c r="AF20" s="115">
        <f t="shared" si="13"/>
        <v>1995.1666666666667</v>
      </c>
      <c r="AG20" s="115">
        <f t="shared" si="14"/>
        <v>2017</v>
      </c>
      <c r="AH20" s="115">
        <f t="shared" si="15"/>
        <v>-8.3333333333333329E-2</v>
      </c>
    </row>
    <row r="21" spans="1:34">
      <c r="C21" s="110">
        <v>23</v>
      </c>
      <c r="D21" s="136" t="s">
        <v>157</v>
      </c>
      <c r="E21" s="119">
        <v>1985</v>
      </c>
      <c r="F21" s="110">
        <v>6</v>
      </c>
      <c r="G21" s="159">
        <v>0</v>
      </c>
      <c r="H21" s="159"/>
      <c r="I21" s="119" t="s">
        <v>103</v>
      </c>
      <c r="J21" s="119">
        <v>5</v>
      </c>
      <c r="K21" s="113">
        <f t="shared" si="0"/>
        <v>1990</v>
      </c>
      <c r="L21" s="160"/>
      <c r="N21" s="138">
        <v>6882.4</v>
      </c>
      <c r="O21" s="147"/>
      <c r="P21" s="139">
        <f t="shared" si="1"/>
        <v>6882.4</v>
      </c>
      <c r="Q21" s="139">
        <f t="shared" si="2"/>
        <v>114.70666666666666</v>
      </c>
      <c r="R21" s="139">
        <f t="shared" si="3"/>
        <v>0</v>
      </c>
      <c r="S21" s="139"/>
      <c r="T21" s="139">
        <f t="shared" si="4"/>
        <v>0</v>
      </c>
      <c r="U21" s="139">
        <v>1</v>
      </c>
      <c r="V21" s="139">
        <f t="shared" si="5"/>
        <v>0</v>
      </c>
      <c r="W21" s="139"/>
      <c r="X21" s="139">
        <f t="shared" si="6"/>
        <v>6882.4</v>
      </c>
      <c r="Y21" s="139">
        <f t="shared" si="7"/>
        <v>6882.4</v>
      </c>
      <c r="Z21" s="139">
        <v>1</v>
      </c>
      <c r="AA21" s="139">
        <f t="shared" si="8"/>
        <v>6882.4</v>
      </c>
      <c r="AB21" s="139">
        <f t="shared" si="9"/>
        <v>6882.4</v>
      </c>
      <c r="AC21" s="139">
        <f t="shared" si="10"/>
        <v>0</v>
      </c>
      <c r="AD21" s="115">
        <f t="shared" si="11"/>
        <v>1985.4166666666667</v>
      </c>
      <c r="AE21" s="115">
        <f t="shared" si="12"/>
        <v>2018</v>
      </c>
      <c r="AF21" s="115">
        <f t="shared" si="13"/>
        <v>1990.4166666666667</v>
      </c>
      <c r="AG21" s="115">
        <f t="shared" si="14"/>
        <v>2017</v>
      </c>
      <c r="AH21" s="115">
        <f t="shared" si="15"/>
        <v>-8.3333333333333329E-2</v>
      </c>
    </row>
    <row r="22" spans="1:34">
      <c r="C22" s="110">
        <v>2</v>
      </c>
      <c r="D22" s="136" t="s">
        <v>158</v>
      </c>
      <c r="E22" s="119">
        <v>1986</v>
      </c>
      <c r="F22" s="110">
        <v>3</v>
      </c>
      <c r="G22" s="159">
        <v>0</v>
      </c>
      <c r="H22" s="159"/>
      <c r="I22" s="119" t="s">
        <v>103</v>
      </c>
      <c r="J22" s="119">
        <v>10</v>
      </c>
      <c r="K22" s="113">
        <f t="shared" si="0"/>
        <v>1996</v>
      </c>
      <c r="L22" s="160"/>
      <c r="N22" s="138">
        <v>668.36</v>
      </c>
      <c r="O22" s="147"/>
      <c r="P22" s="139">
        <f t="shared" si="1"/>
        <v>668.36</v>
      </c>
      <c r="Q22" s="139">
        <f t="shared" si="2"/>
        <v>5.5696666666666665</v>
      </c>
      <c r="R22" s="139">
        <f t="shared" si="3"/>
        <v>0</v>
      </c>
      <c r="S22" s="139"/>
      <c r="T22" s="139">
        <f t="shared" si="4"/>
        <v>0</v>
      </c>
      <c r="U22" s="139">
        <v>1</v>
      </c>
      <c r="V22" s="139">
        <f t="shared" si="5"/>
        <v>0</v>
      </c>
      <c r="W22" s="139"/>
      <c r="X22" s="139">
        <f t="shared" si="6"/>
        <v>668.36</v>
      </c>
      <c r="Y22" s="139">
        <f t="shared" si="7"/>
        <v>668.36</v>
      </c>
      <c r="Z22" s="139">
        <v>1</v>
      </c>
      <c r="AA22" s="139">
        <f t="shared" si="8"/>
        <v>668.36</v>
      </c>
      <c r="AB22" s="139">
        <f t="shared" si="9"/>
        <v>668.36</v>
      </c>
      <c r="AC22" s="139">
        <f t="shared" si="10"/>
        <v>0</v>
      </c>
      <c r="AD22" s="115">
        <f t="shared" si="11"/>
        <v>1986.1666666666667</v>
      </c>
      <c r="AE22" s="115">
        <f t="shared" si="12"/>
        <v>2018</v>
      </c>
      <c r="AF22" s="115">
        <f t="shared" si="13"/>
        <v>1996.1666666666667</v>
      </c>
      <c r="AG22" s="115">
        <f t="shared" si="14"/>
        <v>2017</v>
      </c>
      <c r="AH22" s="115">
        <f t="shared" si="15"/>
        <v>-8.3333333333333329E-2</v>
      </c>
    </row>
    <row r="23" spans="1:34">
      <c r="C23" s="110">
        <v>4</v>
      </c>
      <c r="D23" s="136" t="s">
        <v>152</v>
      </c>
      <c r="E23" s="119">
        <v>1986</v>
      </c>
      <c r="F23" s="110">
        <v>5</v>
      </c>
      <c r="G23" s="159">
        <v>0</v>
      </c>
      <c r="H23" s="159"/>
      <c r="I23" s="119" t="s">
        <v>103</v>
      </c>
      <c r="J23" s="119">
        <v>10</v>
      </c>
      <c r="K23" s="113">
        <f t="shared" si="0"/>
        <v>1996</v>
      </c>
      <c r="L23" s="160"/>
      <c r="N23" s="138">
        <v>1034.8800000000001</v>
      </c>
      <c r="O23" s="147"/>
      <c r="P23" s="139">
        <f t="shared" si="1"/>
        <v>1034.8800000000001</v>
      </c>
      <c r="Q23" s="139">
        <f t="shared" si="2"/>
        <v>8.6240000000000006</v>
      </c>
      <c r="R23" s="139">
        <f t="shared" si="3"/>
        <v>0</v>
      </c>
      <c r="S23" s="139"/>
      <c r="T23" s="139">
        <f t="shared" si="4"/>
        <v>0</v>
      </c>
      <c r="U23" s="139">
        <v>1</v>
      </c>
      <c r="V23" s="139">
        <f t="shared" si="5"/>
        <v>0</v>
      </c>
      <c r="W23" s="139"/>
      <c r="X23" s="139">
        <f t="shared" si="6"/>
        <v>1034.8800000000001</v>
      </c>
      <c r="Y23" s="139">
        <f t="shared" si="7"/>
        <v>1034.8800000000001</v>
      </c>
      <c r="Z23" s="139">
        <v>1</v>
      </c>
      <c r="AA23" s="139">
        <f t="shared" si="8"/>
        <v>1034.8800000000001</v>
      </c>
      <c r="AB23" s="139">
        <f t="shared" si="9"/>
        <v>1034.8800000000001</v>
      </c>
      <c r="AC23" s="139">
        <f t="shared" si="10"/>
        <v>0</v>
      </c>
      <c r="AD23" s="115">
        <f t="shared" si="11"/>
        <v>1986.3333333333333</v>
      </c>
      <c r="AE23" s="115">
        <f t="shared" si="12"/>
        <v>2018</v>
      </c>
      <c r="AF23" s="115">
        <f t="shared" si="13"/>
        <v>1996.3333333333333</v>
      </c>
      <c r="AG23" s="115">
        <f t="shared" si="14"/>
        <v>2017</v>
      </c>
      <c r="AH23" s="115">
        <f t="shared" si="15"/>
        <v>-8.3333333333333329E-2</v>
      </c>
    </row>
    <row r="24" spans="1:34">
      <c r="C24" s="110">
        <v>1</v>
      </c>
      <c r="D24" s="110" t="str">
        <f>D19</f>
        <v>Containers 1</v>
      </c>
      <c r="E24" s="119">
        <v>1986</v>
      </c>
      <c r="F24" s="110">
        <v>6</v>
      </c>
      <c r="G24" s="159">
        <v>0</v>
      </c>
      <c r="H24" s="159"/>
      <c r="I24" s="119" t="s">
        <v>103</v>
      </c>
      <c r="J24" s="119">
        <v>10</v>
      </c>
      <c r="K24" s="113">
        <f t="shared" si="0"/>
        <v>1996</v>
      </c>
      <c r="L24" s="160"/>
      <c r="N24" s="138">
        <v>315.85000000000002</v>
      </c>
      <c r="O24" s="147"/>
      <c r="P24" s="139">
        <f t="shared" si="1"/>
        <v>315.85000000000002</v>
      </c>
      <c r="Q24" s="139">
        <f t="shared" si="2"/>
        <v>2.6320833333333336</v>
      </c>
      <c r="R24" s="139">
        <f t="shared" si="3"/>
        <v>0</v>
      </c>
      <c r="S24" s="139"/>
      <c r="T24" s="139">
        <f t="shared" si="4"/>
        <v>0</v>
      </c>
      <c r="U24" s="139">
        <v>1</v>
      </c>
      <c r="V24" s="139">
        <f t="shared" si="5"/>
        <v>0</v>
      </c>
      <c r="W24" s="139"/>
      <c r="X24" s="139">
        <f t="shared" si="6"/>
        <v>315.85000000000002</v>
      </c>
      <c r="Y24" s="139">
        <f t="shared" si="7"/>
        <v>315.85000000000002</v>
      </c>
      <c r="Z24" s="139">
        <v>1</v>
      </c>
      <c r="AA24" s="139">
        <f t="shared" si="8"/>
        <v>315.85000000000002</v>
      </c>
      <c r="AB24" s="139">
        <f t="shared" si="9"/>
        <v>315.85000000000002</v>
      </c>
      <c r="AC24" s="139">
        <f t="shared" si="10"/>
        <v>0</v>
      </c>
      <c r="AD24" s="115">
        <f t="shared" si="11"/>
        <v>1986.4166666666667</v>
      </c>
      <c r="AE24" s="115">
        <f t="shared" si="12"/>
        <v>2018</v>
      </c>
      <c r="AF24" s="115">
        <f t="shared" si="13"/>
        <v>1996.4166666666667</v>
      </c>
      <c r="AG24" s="115">
        <f t="shared" si="14"/>
        <v>2017</v>
      </c>
      <c r="AH24" s="115">
        <f t="shared" si="15"/>
        <v>-8.3333333333333329E-2</v>
      </c>
    </row>
    <row r="25" spans="1:34">
      <c r="C25" s="110">
        <v>6</v>
      </c>
      <c r="D25" s="136" t="s">
        <v>159</v>
      </c>
      <c r="E25" s="119">
        <v>1986</v>
      </c>
      <c r="F25" s="110">
        <v>9</v>
      </c>
      <c r="G25" s="159">
        <v>0</v>
      </c>
      <c r="H25" s="159"/>
      <c r="I25" s="119" t="s">
        <v>103</v>
      </c>
      <c r="J25" s="119">
        <v>10</v>
      </c>
      <c r="K25" s="113">
        <f t="shared" si="0"/>
        <v>1996</v>
      </c>
      <c r="L25" s="160"/>
      <c r="N25" s="138">
        <v>1519.23</v>
      </c>
      <c r="O25" s="147"/>
      <c r="P25" s="139">
        <f t="shared" si="1"/>
        <v>1519.23</v>
      </c>
      <c r="Q25" s="139">
        <f t="shared" si="2"/>
        <v>12.66025</v>
      </c>
      <c r="R25" s="139">
        <f t="shared" si="3"/>
        <v>0</v>
      </c>
      <c r="S25" s="139"/>
      <c r="T25" s="139">
        <f t="shared" si="4"/>
        <v>0</v>
      </c>
      <c r="U25" s="139">
        <v>1</v>
      </c>
      <c r="V25" s="139">
        <f t="shared" si="5"/>
        <v>0</v>
      </c>
      <c r="W25" s="139"/>
      <c r="X25" s="139">
        <f t="shared" si="6"/>
        <v>1519.23</v>
      </c>
      <c r="Y25" s="139">
        <f t="shared" si="7"/>
        <v>1519.23</v>
      </c>
      <c r="Z25" s="139">
        <v>1</v>
      </c>
      <c r="AA25" s="139">
        <f t="shared" si="8"/>
        <v>1519.23</v>
      </c>
      <c r="AB25" s="139">
        <f t="shared" si="9"/>
        <v>1519.23</v>
      </c>
      <c r="AC25" s="139">
        <f t="shared" si="10"/>
        <v>0</v>
      </c>
      <c r="AD25" s="115">
        <f t="shared" si="11"/>
        <v>1986.6666666666667</v>
      </c>
      <c r="AE25" s="115">
        <f t="shared" si="12"/>
        <v>2018</v>
      </c>
      <c r="AF25" s="115">
        <f t="shared" si="13"/>
        <v>1996.6666666666667</v>
      </c>
      <c r="AG25" s="115">
        <f t="shared" si="14"/>
        <v>2017</v>
      </c>
      <c r="AH25" s="115">
        <f t="shared" si="15"/>
        <v>-8.3333333333333329E-2</v>
      </c>
    </row>
    <row r="26" spans="1:34">
      <c r="C26" s="110">
        <v>6</v>
      </c>
      <c r="D26" s="110" t="str">
        <f>D25</f>
        <v>Containers 6</v>
      </c>
      <c r="E26" s="119">
        <v>1986</v>
      </c>
      <c r="F26" s="110">
        <v>12</v>
      </c>
      <c r="G26" s="159">
        <v>0</v>
      </c>
      <c r="H26" s="159"/>
      <c r="I26" s="119" t="s">
        <v>103</v>
      </c>
      <c r="J26" s="119">
        <v>10</v>
      </c>
      <c r="K26" s="113">
        <f t="shared" si="0"/>
        <v>1996</v>
      </c>
      <c r="L26" s="160"/>
      <c r="N26" s="138">
        <v>517.44000000000005</v>
      </c>
      <c r="O26" s="147"/>
      <c r="P26" s="139">
        <f t="shared" si="1"/>
        <v>517.44000000000005</v>
      </c>
      <c r="Q26" s="139">
        <f t="shared" si="2"/>
        <v>4.3120000000000003</v>
      </c>
      <c r="R26" s="139">
        <f t="shared" si="3"/>
        <v>0</v>
      </c>
      <c r="S26" s="139"/>
      <c r="T26" s="139">
        <f t="shared" si="4"/>
        <v>0</v>
      </c>
      <c r="U26" s="139">
        <v>1</v>
      </c>
      <c r="V26" s="139">
        <f t="shared" si="5"/>
        <v>0</v>
      </c>
      <c r="W26" s="139"/>
      <c r="X26" s="139">
        <f t="shared" si="6"/>
        <v>517.44000000000005</v>
      </c>
      <c r="Y26" s="139">
        <f t="shared" si="7"/>
        <v>517.44000000000005</v>
      </c>
      <c r="Z26" s="139">
        <v>1</v>
      </c>
      <c r="AA26" s="139">
        <f t="shared" si="8"/>
        <v>517.44000000000005</v>
      </c>
      <c r="AB26" s="139">
        <f t="shared" si="9"/>
        <v>517.44000000000005</v>
      </c>
      <c r="AC26" s="139">
        <f t="shared" si="10"/>
        <v>0</v>
      </c>
      <c r="AD26" s="115">
        <f t="shared" si="11"/>
        <v>1986.9166666666667</v>
      </c>
      <c r="AE26" s="115">
        <f t="shared" si="12"/>
        <v>2018</v>
      </c>
      <c r="AF26" s="115">
        <f t="shared" si="13"/>
        <v>1996.9166666666667</v>
      </c>
      <c r="AG26" s="115">
        <f t="shared" si="14"/>
        <v>2017</v>
      </c>
      <c r="AH26" s="115">
        <f t="shared" si="15"/>
        <v>-8.3333333333333329E-2</v>
      </c>
    </row>
    <row r="27" spans="1:34">
      <c r="D27" s="136" t="s">
        <v>160</v>
      </c>
      <c r="E27" s="119">
        <v>1987</v>
      </c>
      <c r="F27" s="110">
        <v>7</v>
      </c>
      <c r="G27" s="159">
        <v>0</v>
      </c>
      <c r="H27" s="159"/>
      <c r="I27" s="119" t="s">
        <v>103</v>
      </c>
      <c r="J27" s="119">
        <v>10</v>
      </c>
      <c r="K27" s="113">
        <f t="shared" si="0"/>
        <v>1997</v>
      </c>
      <c r="L27" s="160"/>
      <c r="N27" s="138">
        <v>13853.19</v>
      </c>
      <c r="O27" s="147"/>
      <c r="P27" s="139">
        <f t="shared" si="1"/>
        <v>13853.19</v>
      </c>
      <c r="Q27" s="139">
        <f t="shared" si="2"/>
        <v>115.44324999999999</v>
      </c>
      <c r="R27" s="139">
        <f t="shared" si="3"/>
        <v>0</v>
      </c>
      <c r="S27" s="139"/>
      <c r="T27" s="139">
        <f t="shared" si="4"/>
        <v>0</v>
      </c>
      <c r="U27" s="139">
        <v>1</v>
      </c>
      <c r="V27" s="139">
        <f t="shared" si="5"/>
        <v>0</v>
      </c>
      <c r="W27" s="139"/>
      <c r="X27" s="139">
        <f t="shared" si="6"/>
        <v>13853.19</v>
      </c>
      <c r="Y27" s="139">
        <f t="shared" si="7"/>
        <v>13853.19</v>
      </c>
      <c r="Z27" s="139">
        <v>1</v>
      </c>
      <c r="AA27" s="139">
        <f t="shared" si="8"/>
        <v>13853.19</v>
      </c>
      <c r="AB27" s="139">
        <f t="shared" si="9"/>
        <v>13853.19</v>
      </c>
      <c r="AC27" s="139">
        <f t="shared" si="10"/>
        <v>0</v>
      </c>
      <c r="AD27" s="115">
        <f t="shared" si="11"/>
        <v>1987.5</v>
      </c>
      <c r="AE27" s="115">
        <f t="shared" si="12"/>
        <v>2018</v>
      </c>
      <c r="AF27" s="115">
        <f t="shared" si="13"/>
        <v>1997.5</v>
      </c>
      <c r="AG27" s="115">
        <f t="shared" si="14"/>
        <v>2017</v>
      </c>
      <c r="AH27" s="115">
        <f t="shared" si="15"/>
        <v>-8.3333333333333329E-2</v>
      </c>
    </row>
    <row r="28" spans="1:34">
      <c r="C28" s="110">
        <v>13</v>
      </c>
      <c r="D28" s="136" t="s">
        <v>161</v>
      </c>
      <c r="E28" s="119">
        <v>1988</v>
      </c>
      <c r="F28" s="110">
        <v>9</v>
      </c>
      <c r="G28" s="159">
        <v>0</v>
      </c>
      <c r="H28" s="159"/>
      <c r="I28" s="119" t="s">
        <v>103</v>
      </c>
      <c r="J28" s="119">
        <v>10</v>
      </c>
      <c r="K28" s="113">
        <f t="shared" si="0"/>
        <v>1998</v>
      </c>
      <c r="L28" s="160"/>
      <c r="N28" s="138">
        <v>17908.66</v>
      </c>
      <c r="O28" s="147"/>
      <c r="P28" s="139">
        <f t="shared" si="1"/>
        <v>17908.66</v>
      </c>
      <c r="Q28" s="139">
        <f t="shared" si="2"/>
        <v>149.23883333333333</v>
      </c>
      <c r="R28" s="139">
        <f t="shared" si="3"/>
        <v>0</v>
      </c>
      <c r="S28" s="139"/>
      <c r="T28" s="139">
        <f t="shared" si="4"/>
        <v>0</v>
      </c>
      <c r="U28" s="139">
        <v>1</v>
      </c>
      <c r="V28" s="139">
        <f t="shared" si="5"/>
        <v>0</v>
      </c>
      <c r="W28" s="139"/>
      <c r="X28" s="139">
        <f t="shared" si="6"/>
        <v>17908.66</v>
      </c>
      <c r="Y28" s="139">
        <f t="shared" si="7"/>
        <v>17908.66</v>
      </c>
      <c r="Z28" s="139">
        <v>1</v>
      </c>
      <c r="AA28" s="139">
        <f t="shared" si="8"/>
        <v>17908.66</v>
      </c>
      <c r="AB28" s="139">
        <f t="shared" si="9"/>
        <v>17908.66</v>
      </c>
      <c r="AC28" s="139">
        <f t="shared" si="10"/>
        <v>0</v>
      </c>
      <c r="AD28" s="115">
        <f t="shared" si="11"/>
        <v>1988.6666666666667</v>
      </c>
      <c r="AE28" s="115">
        <f t="shared" si="12"/>
        <v>2018</v>
      </c>
      <c r="AF28" s="115">
        <f t="shared" si="13"/>
        <v>1998.6666666666667</v>
      </c>
      <c r="AG28" s="115">
        <f t="shared" si="14"/>
        <v>2017</v>
      </c>
      <c r="AH28" s="115">
        <f t="shared" si="15"/>
        <v>-8.3333333333333329E-2</v>
      </c>
    </row>
    <row r="29" spans="1:34">
      <c r="C29" s="110">
        <v>43</v>
      </c>
      <c r="D29" s="136" t="s">
        <v>162</v>
      </c>
      <c r="E29" s="119">
        <v>1989</v>
      </c>
      <c r="F29" s="110">
        <v>5</v>
      </c>
      <c r="G29" s="159">
        <v>0</v>
      </c>
      <c r="H29" s="159"/>
      <c r="I29" s="119" t="s">
        <v>103</v>
      </c>
      <c r="J29" s="119">
        <v>5</v>
      </c>
      <c r="K29" s="113">
        <f t="shared" si="0"/>
        <v>1994</v>
      </c>
      <c r="L29" s="160"/>
      <c r="N29" s="138">
        <v>14625.21</v>
      </c>
      <c r="O29" s="147"/>
      <c r="P29" s="139">
        <f t="shared" si="1"/>
        <v>14625.21</v>
      </c>
      <c r="Q29" s="139">
        <f t="shared" si="2"/>
        <v>243.7535</v>
      </c>
      <c r="R29" s="139">
        <f t="shared" si="3"/>
        <v>0</v>
      </c>
      <c r="S29" s="139"/>
      <c r="T29" s="139">
        <f t="shared" si="4"/>
        <v>0</v>
      </c>
      <c r="U29" s="139">
        <v>1</v>
      </c>
      <c r="V29" s="139">
        <f t="shared" si="5"/>
        <v>0</v>
      </c>
      <c r="W29" s="139"/>
      <c r="X29" s="139">
        <f t="shared" si="6"/>
        <v>14625.21</v>
      </c>
      <c r="Y29" s="139">
        <f t="shared" si="7"/>
        <v>14625.21</v>
      </c>
      <c r="Z29" s="139">
        <v>1</v>
      </c>
      <c r="AA29" s="139">
        <f t="shared" si="8"/>
        <v>14625.21</v>
      </c>
      <c r="AB29" s="139">
        <f t="shared" si="9"/>
        <v>14625.21</v>
      </c>
      <c r="AC29" s="139">
        <f t="shared" si="10"/>
        <v>0</v>
      </c>
      <c r="AD29" s="115">
        <f t="shared" si="11"/>
        <v>1989.3333333333333</v>
      </c>
      <c r="AE29" s="115">
        <f t="shared" si="12"/>
        <v>2018</v>
      </c>
      <c r="AF29" s="115">
        <f t="shared" si="13"/>
        <v>1994.3333333333333</v>
      </c>
      <c r="AG29" s="115">
        <f t="shared" si="14"/>
        <v>2017</v>
      </c>
      <c r="AH29" s="115">
        <f t="shared" si="15"/>
        <v>-8.3333333333333329E-2</v>
      </c>
    </row>
    <row r="30" spans="1:34">
      <c r="C30" s="110">
        <v>1</v>
      </c>
      <c r="D30" s="136" t="s">
        <v>155</v>
      </c>
      <c r="E30" s="119">
        <v>1990</v>
      </c>
      <c r="F30" s="110">
        <v>1</v>
      </c>
      <c r="G30" s="159">
        <v>0</v>
      </c>
      <c r="H30" s="159"/>
      <c r="I30" s="119" t="s">
        <v>103</v>
      </c>
      <c r="J30" s="119">
        <v>5</v>
      </c>
      <c r="K30" s="113">
        <f t="shared" si="0"/>
        <v>1995</v>
      </c>
      <c r="L30" s="160"/>
      <c r="N30" s="138">
        <v>1075</v>
      </c>
      <c r="O30" s="147"/>
      <c r="P30" s="139">
        <f t="shared" si="1"/>
        <v>1075</v>
      </c>
      <c r="Q30" s="139">
        <f t="shared" si="2"/>
        <v>17.916666666666668</v>
      </c>
      <c r="R30" s="139">
        <f t="shared" si="3"/>
        <v>0</v>
      </c>
      <c r="S30" s="139"/>
      <c r="T30" s="139">
        <f t="shared" si="4"/>
        <v>0</v>
      </c>
      <c r="U30" s="139">
        <v>1</v>
      </c>
      <c r="V30" s="139">
        <f t="shared" si="5"/>
        <v>0</v>
      </c>
      <c r="W30" s="139"/>
      <c r="X30" s="139">
        <f t="shared" si="6"/>
        <v>1075</v>
      </c>
      <c r="Y30" s="139">
        <f t="shared" si="7"/>
        <v>1075</v>
      </c>
      <c r="Z30" s="139">
        <v>1</v>
      </c>
      <c r="AA30" s="139">
        <f t="shared" si="8"/>
        <v>1075</v>
      </c>
      <c r="AB30" s="139">
        <f t="shared" si="9"/>
        <v>1075</v>
      </c>
      <c r="AC30" s="139">
        <f t="shared" si="10"/>
        <v>0</v>
      </c>
      <c r="AD30" s="115">
        <f t="shared" si="11"/>
        <v>1990</v>
      </c>
      <c r="AE30" s="115">
        <f t="shared" si="12"/>
        <v>2018</v>
      </c>
      <c r="AF30" s="115">
        <f t="shared" si="13"/>
        <v>1995</v>
      </c>
      <c r="AG30" s="115">
        <f t="shared" si="14"/>
        <v>2017</v>
      </c>
      <c r="AH30" s="115">
        <f t="shared" si="15"/>
        <v>-8.3333333333333329E-2</v>
      </c>
    </row>
    <row r="31" spans="1:34">
      <c r="C31" s="110">
        <v>1</v>
      </c>
      <c r="D31" s="110" t="str">
        <f>D30</f>
        <v>Containers 1</v>
      </c>
      <c r="E31" s="119">
        <v>1990</v>
      </c>
      <c r="F31" s="110">
        <v>2</v>
      </c>
      <c r="G31" s="159">
        <v>0</v>
      </c>
      <c r="H31" s="159"/>
      <c r="I31" s="119" t="s">
        <v>103</v>
      </c>
      <c r="J31" s="119">
        <v>5</v>
      </c>
      <c r="K31" s="113">
        <f t="shared" si="0"/>
        <v>1995</v>
      </c>
      <c r="L31" s="160"/>
      <c r="N31" s="138">
        <v>1336.4</v>
      </c>
      <c r="O31" s="147"/>
      <c r="P31" s="139">
        <f t="shared" si="1"/>
        <v>1336.4</v>
      </c>
      <c r="Q31" s="139">
        <f t="shared" si="2"/>
        <v>22.273333333333337</v>
      </c>
      <c r="R31" s="139">
        <f t="shared" si="3"/>
        <v>0</v>
      </c>
      <c r="S31" s="139"/>
      <c r="T31" s="139">
        <f t="shared" si="4"/>
        <v>0</v>
      </c>
      <c r="U31" s="139">
        <v>1</v>
      </c>
      <c r="V31" s="139">
        <f t="shared" si="5"/>
        <v>0</v>
      </c>
      <c r="W31" s="139"/>
      <c r="X31" s="139">
        <f t="shared" si="6"/>
        <v>1336.4</v>
      </c>
      <c r="Y31" s="139">
        <f t="shared" si="7"/>
        <v>1336.4</v>
      </c>
      <c r="Z31" s="139">
        <v>1</v>
      </c>
      <c r="AA31" s="139">
        <f t="shared" si="8"/>
        <v>1336.4</v>
      </c>
      <c r="AB31" s="139">
        <f t="shared" si="9"/>
        <v>1336.4</v>
      </c>
      <c r="AC31" s="139">
        <f t="shared" si="10"/>
        <v>0</v>
      </c>
      <c r="AD31" s="115">
        <f t="shared" si="11"/>
        <v>1990.0833333333333</v>
      </c>
      <c r="AE31" s="115">
        <f t="shared" si="12"/>
        <v>2018</v>
      </c>
      <c r="AF31" s="115">
        <f t="shared" si="13"/>
        <v>1995.0833333333333</v>
      </c>
      <c r="AG31" s="115">
        <f t="shared" si="14"/>
        <v>2017</v>
      </c>
      <c r="AH31" s="115">
        <f t="shared" si="15"/>
        <v>-8.3333333333333329E-2</v>
      </c>
    </row>
    <row r="32" spans="1:34">
      <c r="A32" s="110">
        <v>118261</v>
      </c>
      <c r="C32" s="110">
        <v>6</v>
      </c>
      <c r="D32" s="136" t="s">
        <v>159</v>
      </c>
      <c r="E32" s="119">
        <v>1990</v>
      </c>
      <c r="F32" s="110">
        <v>3</v>
      </c>
      <c r="G32" s="159">
        <v>0</v>
      </c>
      <c r="H32" s="159"/>
      <c r="I32" s="119" t="s">
        <v>103</v>
      </c>
      <c r="J32" s="119">
        <v>5</v>
      </c>
      <c r="K32" s="113">
        <f t="shared" si="0"/>
        <v>1995</v>
      </c>
      <c r="L32" s="160"/>
      <c r="N32" s="138">
        <v>1662.8</v>
      </c>
      <c r="O32" s="147"/>
      <c r="P32" s="139">
        <f t="shared" si="1"/>
        <v>1662.8</v>
      </c>
      <c r="Q32" s="139">
        <f t="shared" si="2"/>
        <v>27.713333333333335</v>
      </c>
      <c r="R32" s="139">
        <f t="shared" si="3"/>
        <v>0</v>
      </c>
      <c r="S32" s="139"/>
      <c r="T32" s="139">
        <f t="shared" si="4"/>
        <v>0</v>
      </c>
      <c r="U32" s="139">
        <v>1</v>
      </c>
      <c r="V32" s="139">
        <f t="shared" si="5"/>
        <v>0</v>
      </c>
      <c r="W32" s="139"/>
      <c r="X32" s="139">
        <f t="shared" si="6"/>
        <v>1662.8</v>
      </c>
      <c r="Y32" s="139">
        <f t="shared" si="7"/>
        <v>1662.8</v>
      </c>
      <c r="Z32" s="139">
        <v>1</v>
      </c>
      <c r="AA32" s="139">
        <f t="shared" si="8"/>
        <v>1662.8</v>
      </c>
      <c r="AB32" s="139">
        <f t="shared" si="9"/>
        <v>1662.8</v>
      </c>
      <c r="AC32" s="139">
        <f t="shared" si="10"/>
        <v>0</v>
      </c>
      <c r="AD32" s="115">
        <f t="shared" si="11"/>
        <v>1990.1666666666667</v>
      </c>
      <c r="AE32" s="115">
        <f t="shared" si="12"/>
        <v>2018</v>
      </c>
      <c r="AF32" s="115">
        <f t="shared" si="13"/>
        <v>1995.1666666666667</v>
      </c>
      <c r="AG32" s="115">
        <f t="shared" si="14"/>
        <v>2017</v>
      </c>
      <c r="AH32" s="115">
        <f t="shared" si="15"/>
        <v>-8.3333333333333329E-2</v>
      </c>
    </row>
    <row r="33" spans="1:34">
      <c r="A33" s="110">
        <v>126344</v>
      </c>
      <c r="C33" s="110">
        <v>1</v>
      </c>
      <c r="D33" s="136" t="s">
        <v>163</v>
      </c>
      <c r="E33" s="119">
        <v>1990</v>
      </c>
      <c r="F33" s="110">
        <v>3</v>
      </c>
      <c r="G33" s="159">
        <v>0</v>
      </c>
      <c r="H33" s="159"/>
      <c r="I33" s="119" t="s">
        <v>103</v>
      </c>
      <c r="J33" s="119">
        <v>10</v>
      </c>
      <c r="K33" s="113">
        <f t="shared" si="0"/>
        <v>2000</v>
      </c>
      <c r="L33" s="160"/>
      <c r="N33" s="138">
        <v>4996</v>
      </c>
      <c r="O33" s="147"/>
      <c r="P33" s="139">
        <f t="shared" si="1"/>
        <v>4996</v>
      </c>
      <c r="Q33" s="139">
        <f t="shared" si="2"/>
        <v>41.633333333333333</v>
      </c>
      <c r="R33" s="139">
        <f t="shared" si="3"/>
        <v>0</v>
      </c>
      <c r="S33" s="139"/>
      <c r="T33" s="139">
        <f t="shared" si="4"/>
        <v>0</v>
      </c>
      <c r="U33" s="139">
        <v>1</v>
      </c>
      <c r="V33" s="139">
        <f t="shared" si="5"/>
        <v>0</v>
      </c>
      <c r="W33" s="139"/>
      <c r="X33" s="139">
        <f t="shared" si="6"/>
        <v>4996</v>
      </c>
      <c r="Y33" s="139">
        <f t="shared" si="7"/>
        <v>4996</v>
      </c>
      <c r="Z33" s="139">
        <v>1</v>
      </c>
      <c r="AA33" s="139">
        <f t="shared" si="8"/>
        <v>4996</v>
      </c>
      <c r="AB33" s="139">
        <f t="shared" si="9"/>
        <v>4996</v>
      </c>
      <c r="AC33" s="139">
        <f t="shared" si="10"/>
        <v>0</v>
      </c>
      <c r="AD33" s="115">
        <f t="shared" si="11"/>
        <v>1990.1666666666667</v>
      </c>
      <c r="AE33" s="115">
        <f t="shared" si="12"/>
        <v>2018</v>
      </c>
      <c r="AF33" s="115">
        <f t="shared" si="13"/>
        <v>2000.1666666666667</v>
      </c>
      <c r="AG33" s="115">
        <f t="shared" si="14"/>
        <v>2017</v>
      </c>
      <c r="AH33" s="115">
        <f t="shared" si="15"/>
        <v>-8.3333333333333329E-2</v>
      </c>
    </row>
    <row r="34" spans="1:34">
      <c r="A34" s="110">
        <v>167242</v>
      </c>
      <c r="C34" s="110">
        <v>6</v>
      </c>
      <c r="D34" s="110" t="str">
        <f>D33</f>
        <v>Rolloff 1</v>
      </c>
      <c r="E34" s="119">
        <v>1990</v>
      </c>
      <c r="F34" s="110">
        <v>4</v>
      </c>
      <c r="G34" s="159">
        <v>0</v>
      </c>
      <c r="H34" s="159"/>
      <c r="I34" s="119" t="s">
        <v>103</v>
      </c>
      <c r="J34" s="119">
        <v>5</v>
      </c>
      <c r="K34" s="113">
        <f t="shared" si="0"/>
        <v>1995</v>
      </c>
      <c r="L34" s="160"/>
      <c r="N34" s="138">
        <v>1662.28</v>
      </c>
      <c r="O34" s="147"/>
      <c r="P34" s="139">
        <f t="shared" si="1"/>
        <v>1662.28</v>
      </c>
      <c r="Q34" s="139">
        <f t="shared" si="2"/>
        <v>27.704666666666668</v>
      </c>
      <c r="R34" s="139">
        <f t="shared" si="3"/>
        <v>0</v>
      </c>
      <c r="S34" s="139"/>
      <c r="T34" s="139">
        <f t="shared" si="4"/>
        <v>0</v>
      </c>
      <c r="U34" s="139">
        <v>1</v>
      </c>
      <c r="V34" s="139">
        <f t="shared" si="5"/>
        <v>0</v>
      </c>
      <c r="W34" s="139"/>
      <c r="X34" s="139">
        <f t="shared" si="6"/>
        <v>1662.28</v>
      </c>
      <c r="Y34" s="139">
        <f t="shared" si="7"/>
        <v>1662.28</v>
      </c>
      <c r="Z34" s="139">
        <v>1</v>
      </c>
      <c r="AA34" s="139">
        <f t="shared" si="8"/>
        <v>1662.28</v>
      </c>
      <c r="AB34" s="139">
        <f t="shared" si="9"/>
        <v>1662.28</v>
      </c>
      <c r="AC34" s="139">
        <f t="shared" si="10"/>
        <v>0</v>
      </c>
      <c r="AD34" s="115">
        <f t="shared" si="11"/>
        <v>1990.25</v>
      </c>
      <c r="AE34" s="115">
        <f t="shared" si="12"/>
        <v>2018</v>
      </c>
      <c r="AF34" s="115">
        <f t="shared" si="13"/>
        <v>1995.25</v>
      </c>
      <c r="AG34" s="115">
        <f t="shared" si="14"/>
        <v>2017</v>
      </c>
      <c r="AH34" s="115">
        <f t="shared" si="15"/>
        <v>-8.3333333333333329E-2</v>
      </c>
    </row>
    <row r="35" spans="1:34">
      <c r="C35" s="110">
        <v>2</v>
      </c>
      <c r="D35" s="136" t="s">
        <v>158</v>
      </c>
      <c r="E35" s="119">
        <v>1990</v>
      </c>
      <c r="F35" s="110">
        <v>5</v>
      </c>
      <c r="G35" s="159">
        <v>0</v>
      </c>
      <c r="H35" s="159"/>
      <c r="I35" s="119" t="s">
        <v>103</v>
      </c>
      <c r="J35" s="119">
        <v>5</v>
      </c>
      <c r="K35" s="113">
        <f t="shared" si="0"/>
        <v>1995</v>
      </c>
      <c r="L35" s="160"/>
      <c r="N35" s="138">
        <v>1489.8</v>
      </c>
      <c r="O35" s="147"/>
      <c r="P35" s="139">
        <f t="shared" si="1"/>
        <v>1489.8</v>
      </c>
      <c r="Q35" s="139">
        <f t="shared" si="2"/>
        <v>24.83</v>
      </c>
      <c r="R35" s="139">
        <f t="shared" si="3"/>
        <v>0</v>
      </c>
      <c r="S35" s="139"/>
      <c r="T35" s="139">
        <f t="shared" si="4"/>
        <v>0</v>
      </c>
      <c r="U35" s="139">
        <v>1</v>
      </c>
      <c r="V35" s="139">
        <f t="shared" si="5"/>
        <v>0</v>
      </c>
      <c r="W35" s="139"/>
      <c r="X35" s="139">
        <f t="shared" si="6"/>
        <v>1489.8</v>
      </c>
      <c r="Y35" s="139">
        <f t="shared" si="7"/>
        <v>1489.8</v>
      </c>
      <c r="Z35" s="139">
        <v>1</v>
      </c>
      <c r="AA35" s="139">
        <f t="shared" si="8"/>
        <v>1489.8</v>
      </c>
      <c r="AB35" s="139">
        <f t="shared" si="9"/>
        <v>1489.8</v>
      </c>
      <c r="AC35" s="139">
        <f t="shared" si="10"/>
        <v>0</v>
      </c>
      <c r="AD35" s="115">
        <f t="shared" si="11"/>
        <v>1990.3333333333333</v>
      </c>
      <c r="AE35" s="115">
        <f t="shared" si="12"/>
        <v>2018</v>
      </c>
      <c r="AF35" s="115">
        <f t="shared" si="13"/>
        <v>1995.3333333333333</v>
      </c>
      <c r="AG35" s="115">
        <f t="shared" si="14"/>
        <v>2017</v>
      </c>
      <c r="AH35" s="115">
        <f t="shared" si="15"/>
        <v>-8.3333333333333329E-2</v>
      </c>
    </row>
    <row r="36" spans="1:34">
      <c r="A36" s="110">
        <v>168823</v>
      </c>
      <c r="C36" s="110">
        <v>1</v>
      </c>
      <c r="D36" s="136" t="s">
        <v>163</v>
      </c>
      <c r="E36" s="119">
        <v>1990</v>
      </c>
      <c r="F36" s="110">
        <v>5</v>
      </c>
      <c r="G36" s="159">
        <v>0</v>
      </c>
      <c r="H36" s="159"/>
      <c r="I36" s="119" t="s">
        <v>103</v>
      </c>
      <c r="J36" s="119">
        <v>5</v>
      </c>
      <c r="K36" s="113">
        <f t="shared" si="0"/>
        <v>1995</v>
      </c>
      <c r="L36" s="160"/>
      <c r="N36" s="138">
        <v>4931.8500000000004</v>
      </c>
      <c r="O36" s="147"/>
      <c r="P36" s="139">
        <f t="shared" si="1"/>
        <v>4931.8500000000004</v>
      </c>
      <c r="Q36" s="139">
        <f t="shared" si="2"/>
        <v>82.197500000000005</v>
      </c>
      <c r="R36" s="139">
        <f t="shared" si="3"/>
        <v>0</v>
      </c>
      <c r="S36" s="139"/>
      <c r="T36" s="139">
        <f t="shared" si="4"/>
        <v>0</v>
      </c>
      <c r="U36" s="139">
        <v>1</v>
      </c>
      <c r="V36" s="139">
        <f t="shared" si="5"/>
        <v>0</v>
      </c>
      <c r="W36" s="139"/>
      <c r="X36" s="139">
        <f t="shared" si="6"/>
        <v>4931.8500000000004</v>
      </c>
      <c r="Y36" s="139">
        <f t="shared" si="7"/>
        <v>4931.8500000000004</v>
      </c>
      <c r="Z36" s="139">
        <v>1</v>
      </c>
      <c r="AA36" s="139">
        <f t="shared" si="8"/>
        <v>4931.8500000000004</v>
      </c>
      <c r="AB36" s="139">
        <f t="shared" si="9"/>
        <v>4931.8500000000004</v>
      </c>
      <c r="AC36" s="139">
        <f t="shared" si="10"/>
        <v>0</v>
      </c>
      <c r="AD36" s="115">
        <f t="shared" si="11"/>
        <v>1990.3333333333333</v>
      </c>
      <c r="AE36" s="115">
        <f t="shared" si="12"/>
        <v>2018</v>
      </c>
      <c r="AF36" s="115">
        <f t="shared" si="13"/>
        <v>1995.3333333333333</v>
      </c>
      <c r="AG36" s="115">
        <f t="shared" si="14"/>
        <v>2017</v>
      </c>
      <c r="AH36" s="115">
        <f t="shared" si="15"/>
        <v>-8.3333333333333329E-2</v>
      </c>
    </row>
    <row r="37" spans="1:34">
      <c r="A37" s="110">
        <v>168824</v>
      </c>
      <c r="C37" s="110">
        <v>2</v>
      </c>
      <c r="D37" s="110" t="str">
        <f>D36</f>
        <v>Rolloff 1</v>
      </c>
      <c r="E37" s="119">
        <v>1990</v>
      </c>
      <c r="F37" s="110">
        <v>6</v>
      </c>
      <c r="G37" s="159">
        <v>0</v>
      </c>
      <c r="H37" s="159"/>
      <c r="I37" s="119" t="s">
        <v>103</v>
      </c>
      <c r="J37" s="119">
        <v>5</v>
      </c>
      <c r="K37" s="113">
        <f t="shared" si="0"/>
        <v>1995</v>
      </c>
      <c r="L37" s="160"/>
      <c r="N37" s="138">
        <v>554.1</v>
      </c>
      <c r="O37" s="147"/>
      <c r="P37" s="139">
        <f t="shared" si="1"/>
        <v>554.1</v>
      </c>
      <c r="Q37" s="139">
        <f t="shared" si="2"/>
        <v>9.2350000000000012</v>
      </c>
      <c r="R37" s="139">
        <f t="shared" si="3"/>
        <v>0</v>
      </c>
      <c r="S37" s="139"/>
      <c r="T37" s="139">
        <f t="shared" si="4"/>
        <v>0</v>
      </c>
      <c r="U37" s="139">
        <v>1</v>
      </c>
      <c r="V37" s="139">
        <f t="shared" si="5"/>
        <v>0</v>
      </c>
      <c r="W37" s="139"/>
      <c r="X37" s="139">
        <f t="shared" si="6"/>
        <v>554.1</v>
      </c>
      <c r="Y37" s="139">
        <f t="shared" si="7"/>
        <v>554.1</v>
      </c>
      <c r="Z37" s="139">
        <v>1</v>
      </c>
      <c r="AA37" s="139">
        <f t="shared" si="8"/>
        <v>554.1</v>
      </c>
      <c r="AB37" s="139">
        <f t="shared" si="9"/>
        <v>554.1</v>
      </c>
      <c r="AC37" s="139">
        <f t="shared" si="10"/>
        <v>0</v>
      </c>
      <c r="AD37" s="115">
        <f t="shared" si="11"/>
        <v>1990.4166666666667</v>
      </c>
      <c r="AE37" s="115">
        <f t="shared" si="12"/>
        <v>2018</v>
      </c>
      <c r="AF37" s="115">
        <f t="shared" si="13"/>
        <v>1995.4166666666667</v>
      </c>
      <c r="AG37" s="115">
        <f t="shared" si="14"/>
        <v>2017</v>
      </c>
      <c r="AH37" s="115">
        <f t="shared" si="15"/>
        <v>-8.3333333333333329E-2</v>
      </c>
    </row>
    <row r="38" spans="1:34">
      <c r="C38" s="110">
        <v>4</v>
      </c>
      <c r="D38" s="136" t="s">
        <v>152</v>
      </c>
      <c r="E38" s="119">
        <v>1990</v>
      </c>
      <c r="F38" s="110">
        <v>7</v>
      </c>
      <c r="G38" s="159">
        <v>0</v>
      </c>
      <c r="H38" s="159"/>
      <c r="I38" s="119" t="s">
        <v>103</v>
      </c>
      <c r="J38" s="119">
        <v>5</v>
      </c>
      <c r="K38" s="113">
        <f t="shared" si="0"/>
        <v>1995</v>
      </c>
      <c r="L38" s="160"/>
      <c r="N38" s="138">
        <v>2397.48</v>
      </c>
      <c r="O38" s="147"/>
      <c r="P38" s="139">
        <f t="shared" si="1"/>
        <v>2397.48</v>
      </c>
      <c r="Q38" s="139">
        <f t="shared" si="2"/>
        <v>39.957999999999998</v>
      </c>
      <c r="R38" s="139">
        <f t="shared" si="3"/>
        <v>0</v>
      </c>
      <c r="S38" s="139"/>
      <c r="T38" s="139">
        <f t="shared" si="4"/>
        <v>0</v>
      </c>
      <c r="U38" s="139">
        <v>1</v>
      </c>
      <c r="V38" s="139">
        <f t="shared" si="5"/>
        <v>0</v>
      </c>
      <c r="W38" s="139"/>
      <c r="X38" s="139">
        <f t="shared" si="6"/>
        <v>2397.48</v>
      </c>
      <c r="Y38" s="139">
        <f t="shared" si="7"/>
        <v>2397.48</v>
      </c>
      <c r="Z38" s="139">
        <v>1</v>
      </c>
      <c r="AA38" s="139">
        <f t="shared" si="8"/>
        <v>2397.48</v>
      </c>
      <c r="AB38" s="139">
        <f t="shared" si="9"/>
        <v>2397.48</v>
      </c>
      <c r="AC38" s="139">
        <f t="shared" si="10"/>
        <v>0</v>
      </c>
      <c r="AD38" s="115">
        <f t="shared" si="11"/>
        <v>1990.5</v>
      </c>
      <c r="AE38" s="115">
        <f t="shared" si="12"/>
        <v>2018</v>
      </c>
      <c r="AF38" s="115">
        <f t="shared" si="13"/>
        <v>1995.5</v>
      </c>
      <c r="AG38" s="115">
        <f t="shared" si="14"/>
        <v>2017</v>
      </c>
      <c r="AH38" s="115">
        <f t="shared" si="15"/>
        <v>-8.3333333333333329E-2</v>
      </c>
    </row>
    <row r="39" spans="1:34">
      <c r="A39" s="110">
        <v>168825</v>
      </c>
      <c r="C39" s="110">
        <v>2</v>
      </c>
      <c r="D39" s="110" t="str">
        <f>D37</f>
        <v>Rolloff 1</v>
      </c>
      <c r="E39" s="119">
        <v>1990</v>
      </c>
      <c r="F39" s="110">
        <v>8</v>
      </c>
      <c r="G39" s="159">
        <v>0</v>
      </c>
      <c r="H39" s="159"/>
      <c r="I39" s="119" t="s">
        <v>103</v>
      </c>
      <c r="J39" s="119">
        <v>5</v>
      </c>
      <c r="K39" s="113">
        <f t="shared" si="0"/>
        <v>1995</v>
      </c>
      <c r="L39" s="160"/>
      <c r="N39" s="138">
        <v>728.19</v>
      </c>
      <c r="O39" s="147"/>
      <c r="P39" s="139">
        <f t="shared" si="1"/>
        <v>728.19</v>
      </c>
      <c r="Q39" s="139">
        <f t="shared" si="2"/>
        <v>12.1365</v>
      </c>
      <c r="R39" s="139">
        <f t="shared" si="3"/>
        <v>0</v>
      </c>
      <c r="S39" s="139"/>
      <c r="T39" s="139">
        <f t="shared" si="4"/>
        <v>0</v>
      </c>
      <c r="U39" s="139">
        <v>1</v>
      </c>
      <c r="V39" s="139">
        <f t="shared" si="5"/>
        <v>0</v>
      </c>
      <c r="W39" s="139"/>
      <c r="X39" s="139">
        <f t="shared" si="6"/>
        <v>728.19</v>
      </c>
      <c r="Y39" s="139">
        <f t="shared" si="7"/>
        <v>728.19</v>
      </c>
      <c r="Z39" s="139">
        <v>1</v>
      </c>
      <c r="AA39" s="139">
        <f t="shared" si="8"/>
        <v>728.19</v>
      </c>
      <c r="AB39" s="139">
        <f t="shared" si="9"/>
        <v>728.19</v>
      </c>
      <c r="AC39" s="139">
        <f t="shared" si="10"/>
        <v>0</v>
      </c>
      <c r="AD39" s="115">
        <f t="shared" si="11"/>
        <v>1990.5833333333333</v>
      </c>
      <c r="AE39" s="115">
        <f t="shared" si="12"/>
        <v>2018</v>
      </c>
      <c r="AF39" s="115">
        <f t="shared" si="13"/>
        <v>1995.5833333333333</v>
      </c>
      <c r="AG39" s="115">
        <f t="shared" si="14"/>
        <v>2017</v>
      </c>
      <c r="AH39" s="115">
        <f t="shared" si="15"/>
        <v>-8.3333333333333329E-2</v>
      </c>
    </row>
    <row r="40" spans="1:34">
      <c r="C40" s="110">
        <v>4</v>
      </c>
      <c r="D40" s="110" t="str">
        <f>D38</f>
        <v>Containers 4</v>
      </c>
      <c r="E40" s="119">
        <v>1990</v>
      </c>
      <c r="F40" s="110">
        <v>9</v>
      </c>
      <c r="G40" s="159">
        <v>0</v>
      </c>
      <c r="H40" s="159"/>
      <c r="I40" s="119" t="s">
        <v>103</v>
      </c>
      <c r="J40" s="119">
        <v>5</v>
      </c>
      <c r="K40" s="113">
        <f t="shared" si="0"/>
        <v>1995</v>
      </c>
      <c r="L40" s="160"/>
      <c r="N40" s="138">
        <v>1108.19</v>
      </c>
      <c r="O40" s="147"/>
      <c r="P40" s="139">
        <f t="shared" si="1"/>
        <v>1108.19</v>
      </c>
      <c r="Q40" s="139">
        <f t="shared" si="2"/>
        <v>18.469833333333334</v>
      </c>
      <c r="R40" s="139">
        <f t="shared" si="3"/>
        <v>0</v>
      </c>
      <c r="S40" s="139"/>
      <c r="T40" s="139">
        <f t="shared" si="4"/>
        <v>0</v>
      </c>
      <c r="U40" s="139">
        <v>1</v>
      </c>
      <c r="V40" s="139">
        <f t="shared" si="5"/>
        <v>0</v>
      </c>
      <c r="W40" s="139"/>
      <c r="X40" s="139">
        <f t="shared" si="6"/>
        <v>1108.19</v>
      </c>
      <c r="Y40" s="139">
        <f t="shared" si="7"/>
        <v>1108.19</v>
      </c>
      <c r="Z40" s="139">
        <v>1</v>
      </c>
      <c r="AA40" s="139">
        <f t="shared" si="8"/>
        <v>1108.19</v>
      </c>
      <c r="AB40" s="139">
        <f t="shared" si="9"/>
        <v>1108.19</v>
      </c>
      <c r="AC40" s="139">
        <f t="shared" si="10"/>
        <v>0</v>
      </c>
      <c r="AD40" s="115">
        <f t="shared" si="11"/>
        <v>1990.6666666666667</v>
      </c>
      <c r="AE40" s="115">
        <f t="shared" si="12"/>
        <v>2018</v>
      </c>
      <c r="AF40" s="115">
        <f t="shared" si="13"/>
        <v>1995.6666666666667</v>
      </c>
      <c r="AG40" s="115">
        <f t="shared" si="14"/>
        <v>2017</v>
      </c>
      <c r="AH40" s="115">
        <f t="shared" si="15"/>
        <v>-8.3333333333333329E-2</v>
      </c>
    </row>
    <row r="41" spans="1:34">
      <c r="C41" s="110">
        <v>1</v>
      </c>
      <c r="D41" s="110" t="str">
        <f>D31</f>
        <v>Containers 1</v>
      </c>
      <c r="E41" s="119">
        <v>1990</v>
      </c>
      <c r="F41" s="110">
        <v>12</v>
      </c>
      <c r="G41" s="159">
        <v>0</v>
      </c>
      <c r="H41" s="159"/>
      <c r="I41" s="119" t="s">
        <v>103</v>
      </c>
      <c r="J41" s="119">
        <v>5</v>
      </c>
      <c r="K41" s="113">
        <f t="shared" si="0"/>
        <v>1995</v>
      </c>
      <c r="L41" s="160"/>
      <c r="N41" s="138">
        <v>855.53</v>
      </c>
      <c r="O41" s="147"/>
      <c r="P41" s="139">
        <f t="shared" si="1"/>
        <v>855.53</v>
      </c>
      <c r="Q41" s="139">
        <f t="shared" si="2"/>
        <v>14.258833333333333</v>
      </c>
      <c r="R41" s="139">
        <f t="shared" si="3"/>
        <v>0</v>
      </c>
      <c r="S41" s="139"/>
      <c r="T41" s="139">
        <f t="shared" si="4"/>
        <v>0</v>
      </c>
      <c r="U41" s="139">
        <v>1</v>
      </c>
      <c r="V41" s="139">
        <f t="shared" si="5"/>
        <v>0</v>
      </c>
      <c r="W41" s="139"/>
      <c r="X41" s="139">
        <f t="shared" si="6"/>
        <v>855.53</v>
      </c>
      <c r="Y41" s="139">
        <f t="shared" si="7"/>
        <v>855.53</v>
      </c>
      <c r="Z41" s="139">
        <v>1</v>
      </c>
      <c r="AA41" s="139">
        <f t="shared" si="8"/>
        <v>855.53</v>
      </c>
      <c r="AB41" s="139">
        <f t="shared" si="9"/>
        <v>855.53</v>
      </c>
      <c r="AC41" s="139">
        <f t="shared" si="10"/>
        <v>0</v>
      </c>
      <c r="AD41" s="115">
        <f t="shared" si="11"/>
        <v>1990.9166666666667</v>
      </c>
      <c r="AE41" s="115">
        <f t="shared" si="12"/>
        <v>2018</v>
      </c>
      <c r="AF41" s="115">
        <f t="shared" si="13"/>
        <v>1995.9166666666667</v>
      </c>
      <c r="AG41" s="115">
        <f t="shared" si="14"/>
        <v>2017</v>
      </c>
      <c r="AH41" s="115">
        <f t="shared" si="15"/>
        <v>-8.3333333333333329E-2</v>
      </c>
    </row>
    <row r="42" spans="1:34">
      <c r="C42" s="110">
        <v>1</v>
      </c>
      <c r="D42" s="110" t="str">
        <f>D41</f>
        <v>Containers 1</v>
      </c>
      <c r="E42" s="119">
        <v>1991</v>
      </c>
      <c r="F42" s="110">
        <v>2</v>
      </c>
      <c r="G42" s="159">
        <v>0</v>
      </c>
      <c r="H42" s="159"/>
      <c r="I42" s="119" t="s">
        <v>103</v>
      </c>
      <c r="J42" s="119">
        <v>10</v>
      </c>
      <c r="K42" s="113">
        <f t="shared" si="0"/>
        <v>2001</v>
      </c>
      <c r="L42" s="160"/>
      <c r="N42" s="138">
        <v>4521.01</v>
      </c>
      <c r="O42" s="147"/>
      <c r="P42" s="139">
        <f t="shared" si="1"/>
        <v>4521.01</v>
      </c>
      <c r="Q42" s="139">
        <f t="shared" si="2"/>
        <v>37.675083333333333</v>
      </c>
      <c r="R42" s="139">
        <f t="shared" si="3"/>
        <v>0</v>
      </c>
      <c r="S42" s="139"/>
      <c r="T42" s="139">
        <f t="shared" si="4"/>
        <v>0</v>
      </c>
      <c r="U42" s="139">
        <v>1</v>
      </c>
      <c r="V42" s="139">
        <f t="shared" si="5"/>
        <v>0</v>
      </c>
      <c r="W42" s="139"/>
      <c r="X42" s="139">
        <f t="shared" si="6"/>
        <v>4521.01</v>
      </c>
      <c r="Y42" s="139">
        <f t="shared" si="7"/>
        <v>4521.01</v>
      </c>
      <c r="Z42" s="139">
        <v>1</v>
      </c>
      <c r="AA42" s="139">
        <f t="shared" si="8"/>
        <v>4521.01</v>
      </c>
      <c r="AB42" s="139">
        <f t="shared" si="9"/>
        <v>4521.01</v>
      </c>
      <c r="AC42" s="139">
        <f t="shared" si="10"/>
        <v>0</v>
      </c>
      <c r="AD42" s="115">
        <f t="shared" si="11"/>
        <v>1991.0833333333333</v>
      </c>
      <c r="AE42" s="115">
        <f t="shared" si="12"/>
        <v>2018</v>
      </c>
      <c r="AF42" s="115">
        <f t="shared" si="13"/>
        <v>2001.0833333333333</v>
      </c>
      <c r="AG42" s="115">
        <f t="shared" si="14"/>
        <v>2017</v>
      </c>
      <c r="AH42" s="115">
        <f t="shared" si="15"/>
        <v>-8.3333333333333329E-2</v>
      </c>
    </row>
    <row r="43" spans="1:34">
      <c r="C43" s="110">
        <v>1</v>
      </c>
      <c r="D43" s="110" t="str">
        <f>D41</f>
        <v>Containers 1</v>
      </c>
      <c r="E43" s="119">
        <v>1991</v>
      </c>
      <c r="F43" s="110">
        <v>2</v>
      </c>
      <c r="G43" s="159">
        <v>0</v>
      </c>
      <c r="H43" s="159"/>
      <c r="I43" s="119" t="s">
        <v>103</v>
      </c>
      <c r="J43" s="119">
        <v>5</v>
      </c>
      <c r="K43" s="113">
        <f t="shared" si="0"/>
        <v>1996</v>
      </c>
      <c r="L43" s="160"/>
      <c r="N43" s="138">
        <v>295.64999999999998</v>
      </c>
      <c r="O43" s="147"/>
      <c r="P43" s="139">
        <f t="shared" si="1"/>
        <v>295.64999999999998</v>
      </c>
      <c r="Q43" s="139">
        <f t="shared" si="2"/>
        <v>4.9274999999999993</v>
      </c>
      <c r="R43" s="139">
        <f t="shared" si="3"/>
        <v>0</v>
      </c>
      <c r="S43" s="139"/>
      <c r="T43" s="139">
        <f t="shared" si="4"/>
        <v>0</v>
      </c>
      <c r="U43" s="139">
        <v>1</v>
      </c>
      <c r="V43" s="139">
        <f t="shared" si="5"/>
        <v>0</v>
      </c>
      <c r="W43" s="139"/>
      <c r="X43" s="139">
        <f t="shared" si="6"/>
        <v>295.64999999999998</v>
      </c>
      <c r="Y43" s="139">
        <f t="shared" si="7"/>
        <v>295.64999999999998</v>
      </c>
      <c r="Z43" s="139">
        <v>1</v>
      </c>
      <c r="AA43" s="139">
        <f t="shared" si="8"/>
        <v>295.64999999999998</v>
      </c>
      <c r="AB43" s="139">
        <f t="shared" si="9"/>
        <v>295.64999999999998</v>
      </c>
      <c r="AC43" s="139">
        <f t="shared" si="10"/>
        <v>0</v>
      </c>
      <c r="AD43" s="115">
        <f t="shared" si="11"/>
        <v>1991.0833333333333</v>
      </c>
      <c r="AE43" s="115">
        <f t="shared" si="12"/>
        <v>2018</v>
      </c>
      <c r="AF43" s="115">
        <f t="shared" si="13"/>
        <v>1996.0833333333333</v>
      </c>
      <c r="AG43" s="115">
        <f t="shared" si="14"/>
        <v>2017</v>
      </c>
      <c r="AH43" s="115">
        <f t="shared" si="15"/>
        <v>-8.3333333333333329E-2</v>
      </c>
    </row>
    <row r="44" spans="1:34">
      <c r="C44" s="110">
        <v>2</v>
      </c>
      <c r="D44" s="136" t="s">
        <v>158</v>
      </c>
      <c r="E44" s="119">
        <v>1991</v>
      </c>
      <c r="F44" s="110">
        <v>4</v>
      </c>
      <c r="G44" s="159">
        <v>0</v>
      </c>
      <c r="H44" s="159"/>
      <c r="I44" s="119" t="s">
        <v>103</v>
      </c>
      <c r="J44" s="119">
        <v>5</v>
      </c>
      <c r="K44" s="113">
        <f t="shared" si="0"/>
        <v>1996</v>
      </c>
      <c r="L44" s="160"/>
      <c r="N44" s="138">
        <v>554.61</v>
      </c>
      <c r="O44" s="147"/>
      <c r="P44" s="139">
        <f t="shared" si="1"/>
        <v>554.61</v>
      </c>
      <c r="Q44" s="139">
        <f t="shared" si="2"/>
        <v>9.2434999999999992</v>
      </c>
      <c r="R44" s="139">
        <f t="shared" si="3"/>
        <v>0</v>
      </c>
      <c r="S44" s="139"/>
      <c r="T44" s="139">
        <f t="shared" si="4"/>
        <v>0</v>
      </c>
      <c r="U44" s="139">
        <v>1</v>
      </c>
      <c r="V44" s="139">
        <f t="shared" si="5"/>
        <v>0</v>
      </c>
      <c r="W44" s="139"/>
      <c r="X44" s="139">
        <f t="shared" si="6"/>
        <v>554.61</v>
      </c>
      <c r="Y44" s="139">
        <f t="shared" si="7"/>
        <v>554.61</v>
      </c>
      <c r="Z44" s="139">
        <v>1</v>
      </c>
      <c r="AA44" s="139">
        <f t="shared" si="8"/>
        <v>554.61</v>
      </c>
      <c r="AB44" s="139">
        <f t="shared" si="9"/>
        <v>554.61</v>
      </c>
      <c r="AC44" s="139">
        <f t="shared" si="10"/>
        <v>0</v>
      </c>
      <c r="AD44" s="115">
        <f t="shared" si="11"/>
        <v>1991.25</v>
      </c>
      <c r="AE44" s="115">
        <f t="shared" si="12"/>
        <v>2018</v>
      </c>
      <c r="AF44" s="115">
        <f t="shared" si="13"/>
        <v>1996.25</v>
      </c>
      <c r="AG44" s="115">
        <f t="shared" si="14"/>
        <v>2017</v>
      </c>
      <c r="AH44" s="115">
        <f t="shared" si="15"/>
        <v>-8.3333333333333329E-2</v>
      </c>
    </row>
    <row r="45" spans="1:34">
      <c r="C45" s="110">
        <v>1</v>
      </c>
      <c r="D45" s="110" t="str">
        <f>D43</f>
        <v>Containers 1</v>
      </c>
      <c r="E45" s="119">
        <v>1991</v>
      </c>
      <c r="F45" s="110">
        <v>5</v>
      </c>
      <c r="G45" s="159">
        <v>0</v>
      </c>
      <c r="H45" s="159"/>
      <c r="I45" s="119" t="s">
        <v>103</v>
      </c>
      <c r="J45" s="119">
        <v>5</v>
      </c>
      <c r="K45" s="113">
        <f t="shared" ref="K45:K76" si="16">E45+J45</f>
        <v>1996</v>
      </c>
      <c r="L45" s="160"/>
      <c r="N45" s="138">
        <v>622.04999999999995</v>
      </c>
      <c r="O45" s="147"/>
      <c r="P45" s="139">
        <f t="shared" ref="P45:P76" si="17">N45-N45*G45</f>
        <v>622.04999999999995</v>
      </c>
      <c r="Q45" s="139">
        <f t="shared" ref="Q45:Q76" si="18">P45/J45/12</f>
        <v>10.3675</v>
      </c>
      <c r="R45" s="139">
        <f t="shared" ref="R45:R76" si="19">IF(O45&gt;0,0,IF(OR(AD45&gt;AE45,AF45&lt;AG45),0,IF(AND(AF45&gt;=AG45,AF45&lt;=AE45),Q45*((AF45-AG45)*12),IF(AND(AG45&lt;=AD45,AE45&gt;=AD45),((AE45-AD45)*12)*Q45,IF(AF45&gt;AE45,12*Q45,0)))))</f>
        <v>0</v>
      </c>
      <c r="S45" s="139"/>
      <c r="T45" s="139">
        <f t="shared" ref="T45:T76" si="20">IF(S45&gt;0,S45,R45)</f>
        <v>0</v>
      </c>
      <c r="U45" s="139">
        <v>1</v>
      </c>
      <c r="V45" s="139">
        <f t="shared" ref="V45:V76" si="21">U45*SUM(R45:S45)</f>
        <v>0</v>
      </c>
      <c r="W45" s="139"/>
      <c r="X45" s="139">
        <f t="shared" ref="X45:X76" si="22">IF(AD45&gt;AE45,0,IF(AF45&lt;AG45,P45,IF(AND(AF45&gt;=AG45,AF45&lt;=AE45),(P45-T45),IF(AND(AG45&lt;=AD45,AE45&gt;=AD45),0,IF(AF45&gt;AE45,((AG45-AD45)*12)*Q45,0)))))</f>
        <v>622.04999999999995</v>
      </c>
      <c r="Y45" s="139">
        <f t="shared" ref="Y45:Y76" si="23">X45*U45</f>
        <v>622.04999999999995</v>
      </c>
      <c r="Z45" s="139">
        <v>1</v>
      </c>
      <c r="AA45" s="139">
        <f t="shared" ref="AA45:AA76" si="24">Y45*Z45</f>
        <v>622.04999999999995</v>
      </c>
      <c r="AB45" s="139">
        <f t="shared" ref="AB45:AB76" si="25">IF(O45&gt;0,0,AA45+V45*Z45)*Z45</f>
        <v>622.04999999999995</v>
      </c>
      <c r="AC45" s="139">
        <f t="shared" ref="AC45:AC76" si="26">IF(O45&gt;0,(N45-AA45)/2,IF(AD45&gt;=AG45,(((N45*U45)*Z45)-AB45)/2,((((N45*U45)*Z45)-AA45)+(((N45*U45)*Z45)-AB45))/2))</f>
        <v>0</v>
      </c>
      <c r="AD45" s="115">
        <f t="shared" ref="AD45:AD76" si="27">$E45+(($F45-1)/12)</f>
        <v>1991.3333333333333</v>
      </c>
      <c r="AE45" s="115">
        <f t="shared" ref="AE45:AE76" si="28">($P$5+1)-($P$2/12)</f>
        <v>2018</v>
      </c>
      <c r="AF45" s="115">
        <f t="shared" ref="AF45:AF76" si="29">$K45+(($F45-1)/12)</f>
        <v>1996.3333333333333</v>
      </c>
      <c r="AG45" s="115">
        <f t="shared" ref="AG45:AG76" si="30">$P$4+($P$3/12)</f>
        <v>2017</v>
      </c>
      <c r="AH45" s="115">
        <f t="shared" ref="AH45:AH76" si="31">$L45+(($M45-1)/12)</f>
        <v>-8.3333333333333329E-2</v>
      </c>
    </row>
    <row r="46" spans="1:34">
      <c r="A46" s="110">
        <v>126208</v>
      </c>
      <c r="D46" s="136" t="s">
        <v>164</v>
      </c>
      <c r="E46" s="119">
        <v>1991</v>
      </c>
      <c r="F46" s="110">
        <v>8</v>
      </c>
      <c r="G46" s="159">
        <v>0</v>
      </c>
      <c r="H46" s="159"/>
      <c r="I46" s="119" t="s">
        <v>103</v>
      </c>
      <c r="J46" s="119">
        <v>5</v>
      </c>
      <c r="K46" s="113">
        <f t="shared" si="16"/>
        <v>1996</v>
      </c>
      <c r="L46" s="160"/>
      <c r="N46" s="138">
        <v>464.19</v>
      </c>
      <c r="O46" s="147"/>
      <c r="P46" s="139">
        <f t="shared" si="17"/>
        <v>464.19</v>
      </c>
      <c r="Q46" s="139">
        <f t="shared" si="18"/>
        <v>7.7364999999999995</v>
      </c>
      <c r="R46" s="139">
        <f t="shared" si="19"/>
        <v>0</v>
      </c>
      <c r="S46" s="139"/>
      <c r="T46" s="139">
        <f t="shared" si="20"/>
        <v>0</v>
      </c>
      <c r="U46" s="139">
        <v>1</v>
      </c>
      <c r="V46" s="139">
        <f t="shared" si="21"/>
        <v>0</v>
      </c>
      <c r="W46" s="139"/>
      <c r="X46" s="139">
        <f t="shared" si="22"/>
        <v>464.19</v>
      </c>
      <c r="Y46" s="139">
        <f t="shared" si="23"/>
        <v>464.19</v>
      </c>
      <c r="Z46" s="139">
        <v>1</v>
      </c>
      <c r="AA46" s="139">
        <f t="shared" si="24"/>
        <v>464.19</v>
      </c>
      <c r="AB46" s="139">
        <f t="shared" si="25"/>
        <v>464.19</v>
      </c>
      <c r="AC46" s="139">
        <f t="shared" si="26"/>
        <v>0</v>
      </c>
      <c r="AD46" s="115">
        <f t="shared" si="27"/>
        <v>1991.5833333333333</v>
      </c>
      <c r="AE46" s="115">
        <f t="shared" si="28"/>
        <v>2018</v>
      </c>
      <c r="AF46" s="115">
        <f t="shared" si="29"/>
        <v>1996.5833333333333</v>
      </c>
      <c r="AG46" s="115">
        <f t="shared" si="30"/>
        <v>2017</v>
      </c>
      <c r="AH46" s="115">
        <f t="shared" si="31"/>
        <v>-8.3333333333333329E-2</v>
      </c>
    </row>
    <row r="47" spans="1:34">
      <c r="C47" s="110">
        <v>2</v>
      </c>
      <c r="D47" s="110" t="str">
        <f>D44</f>
        <v>Containers 2</v>
      </c>
      <c r="E47" s="119">
        <v>1991</v>
      </c>
      <c r="F47" s="110">
        <v>9</v>
      </c>
      <c r="G47" s="159">
        <v>0</v>
      </c>
      <c r="H47" s="159"/>
      <c r="I47" s="119" t="s">
        <v>103</v>
      </c>
      <c r="J47" s="119">
        <v>5</v>
      </c>
      <c r="K47" s="113">
        <f t="shared" si="16"/>
        <v>1996</v>
      </c>
      <c r="L47" s="160"/>
      <c r="N47" s="138">
        <v>3608.18</v>
      </c>
      <c r="O47" s="147"/>
      <c r="P47" s="139">
        <f t="shared" si="17"/>
        <v>3608.18</v>
      </c>
      <c r="Q47" s="139">
        <f t="shared" si="18"/>
        <v>60.136333333333333</v>
      </c>
      <c r="R47" s="139">
        <f t="shared" si="19"/>
        <v>0</v>
      </c>
      <c r="S47" s="139"/>
      <c r="T47" s="139">
        <f t="shared" si="20"/>
        <v>0</v>
      </c>
      <c r="U47" s="139">
        <v>1</v>
      </c>
      <c r="V47" s="139">
        <f t="shared" si="21"/>
        <v>0</v>
      </c>
      <c r="W47" s="139"/>
      <c r="X47" s="139">
        <f t="shared" si="22"/>
        <v>3608.18</v>
      </c>
      <c r="Y47" s="139">
        <f t="shared" si="23"/>
        <v>3608.18</v>
      </c>
      <c r="Z47" s="139">
        <v>1</v>
      </c>
      <c r="AA47" s="139">
        <f t="shared" si="24"/>
        <v>3608.18</v>
      </c>
      <c r="AB47" s="139">
        <f t="shared" si="25"/>
        <v>3608.18</v>
      </c>
      <c r="AC47" s="139">
        <f t="shared" si="26"/>
        <v>0</v>
      </c>
      <c r="AD47" s="115">
        <f t="shared" si="27"/>
        <v>1991.6666666666667</v>
      </c>
      <c r="AE47" s="115">
        <f t="shared" si="28"/>
        <v>2018</v>
      </c>
      <c r="AF47" s="115">
        <f t="shared" si="29"/>
        <v>1996.6666666666667</v>
      </c>
      <c r="AG47" s="115">
        <f t="shared" si="30"/>
        <v>2017</v>
      </c>
      <c r="AH47" s="115">
        <f t="shared" si="31"/>
        <v>-8.3333333333333329E-2</v>
      </c>
    </row>
    <row r="48" spans="1:34">
      <c r="A48" s="97">
        <v>189674</v>
      </c>
      <c r="B48" s="97"/>
      <c r="D48" s="136" t="s">
        <v>165</v>
      </c>
      <c r="E48" s="119">
        <v>1991</v>
      </c>
      <c r="F48" s="110">
        <v>10</v>
      </c>
      <c r="G48" s="159">
        <v>0</v>
      </c>
      <c r="H48" s="159"/>
      <c r="I48" s="119" t="s">
        <v>103</v>
      </c>
      <c r="J48" s="119">
        <v>5</v>
      </c>
      <c r="K48" s="113">
        <f t="shared" si="16"/>
        <v>1996</v>
      </c>
      <c r="L48" s="160"/>
      <c r="N48" s="138">
        <v>439.16</v>
      </c>
      <c r="O48" s="147"/>
      <c r="P48" s="139">
        <f t="shared" si="17"/>
        <v>439.16</v>
      </c>
      <c r="Q48" s="139">
        <f t="shared" si="18"/>
        <v>7.3193333333333337</v>
      </c>
      <c r="R48" s="139">
        <f t="shared" si="19"/>
        <v>0</v>
      </c>
      <c r="S48" s="139"/>
      <c r="T48" s="139">
        <f t="shared" si="20"/>
        <v>0</v>
      </c>
      <c r="U48" s="139">
        <v>1</v>
      </c>
      <c r="V48" s="139">
        <f t="shared" si="21"/>
        <v>0</v>
      </c>
      <c r="W48" s="139"/>
      <c r="X48" s="139">
        <f t="shared" si="22"/>
        <v>439.16</v>
      </c>
      <c r="Y48" s="139">
        <f t="shared" si="23"/>
        <v>439.16</v>
      </c>
      <c r="Z48" s="139">
        <v>1</v>
      </c>
      <c r="AA48" s="139">
        <f t="shared" si="24"/>
        <v>439.16</v>
      </c>
      <c r="AB48" s="139">
        <f t="shared" si="25"/>
        <v>439.16</v>
      </c>
      <c r="AC48" s="139">
        <f t="shared" si="26"/>
        <v>0</v>
      </c>
      <c r="AD48" s="115">
        <f t="shared" si="27"/>
        <v>1991.75</v>
      </c>
      <c r="AE48" s="115">
        <f t="shared" si="28"/>
        <v>2018</v>
      </c>
      <c r="AF48" s="115">
        <f t="shared" si="29"/>
        <v>1996.75</v>
      </c>
      <c r="AG48" s="115">
        <f t="shared" si="30"/>
        <v>2017</v>
      </c>
      <c r="AH48" s="115">
        <f t="shared" si="31"/>
        <v>-8.3333333333333329E-2</v>
      </c>
    </row>
    <row r="49" spans="1:34">
      <c r="C49" s="110">
        <v>1</v>
      </c>
      <c r="D49" s="136" t="s">
        <v>166</v>
      </c>
      <c r="E49" s="119">
        <v>1992</v>
      </c>
      <c r="F49" s="110">
        <v>2</v>
      </c>
      <c r="G49" s="159">
        <v>0</v>
      </c>
      <c r="H49" s="159"/>
      <c r="I49" s="119" t="s">
        <v>103</v>
      </c>
      <c r="J49" s="119">
        <v>10</v>
      </c>
      <c r="K49" s="113">
        <f t="shared" si="16"/>
        <v>2002</v>
      </c>
      <c r="L49" s="160"/>
      <c r="N49" s="138">
        <v>969</v>
      </c>
      <c r="O49" s="147"/>
      <c r="P49" s="139">
        <f t="shared" si="17"/>
        <v>969</v>
      </c>
      <c r="Q49" s="139">
        <f t="shared" si="18"/>
        <v>8.0750000000000011</v>
      </c>
      <c r="R49" s="139">
        <f t="shared" si="19"/>
        <v>0</v>
      </c>
      <c r="S49" s="139"/>
      <c r="T49" s="139">
        <f t="shared" si="20"/>
        <v>0</v>
      </c>
      <c r="U49" s="139">
        <v>1</v>
      </c>
      <c r="V49" s="139">
        <f t="shared" si="21"/>
        <v>0</v>
      </c>
      <c r="W49" s="139"/>
      <c r="X49" s="139">
        <f t="shared" si="22"/>
        <v>969</v>
      </c>
      <c r="Y49" s="139">
        <f t="shared" si="23"/>
        <v>969</v>
      </c>
      <c r="Z49" s="139">
        <v>1</v>
      </c>
      <c r="AA49" s="139">
        <f t="shared" si="24"/>
        <v>969</v>
      </c>
      <c r="AB49" s="139">
        <f t="shared" si="25"/>
        <v>969</v>
      </c>
      <c r="AC49" s="139">
        <f t="shared" si="26"/>
        <v>0</v>
      </c>
      <c r="AD49" s="115">
        <f t="shared" si="27"/>
        <v>1992.0833333333333</v>
      </c>
      <c r="AE49" s="115">
        <f t="shared" si="28"/>
        <v>2018</v>
      </c>
      <c r="AF49" s="115">
        <f t="shared" si="29"/>
        <v>2002.0833333333333</v>
      </c>
      <c r="AG49" s="115">
        <f t="shared" si="30"/>
        <v>2017</v>
      </c>
      <c r="AH49" s="115">
        <f t="shared" si="31"/>
        <v>-8.3333333333333329E-2</v>
      </c>
    </row>
    <row r="50" spans="1:34">
      <c r="C50" s="110">
        <v>1</v>
      </c>
      <c r="D50" s="110" t="str">
        <f>D49</f>
        <v>6 Yd. Containers 1</v>
      </c>
      <c r="E50" s="119">
        <v>1992</v>
      </c>
      <c r="F50" s="110">
        <v>2</v>
      </c>
      <c r="G50" s="159">
        <v>0</v>
      </c>
      <c r="H50" s="159"/>
      <c r="I50" s="119" t="s">
        <v>103</v>
      </c>
      <c r="J50" s="119">
        <v>10</v>
      </c>
      <c r="K50" s="113">
        <f t="shared" si="16"/>
        <v>2002</v>
      </c>
      <c r="L50" s="160"/>
      <c r="N50" s="138">
        <v>969</v>
      </c>
      <c r="O50" s="147"/>
      <c r="P50" s="139">
        <f t="shared" si="17"/>
        <v>969</v>
      </c>
      <c r="Q50" s="139">
        <f t="shared" si="18"/>
        <v>8.0750000000000011</v>
      </c>
      <c r="R50" s="139">
        <f t="shared" si="19"/>
        <v>0</v>
      </c>
      <c r="S50" s="139"/>
      <c r="T50" s="139">
        <f t="shared" si="20"/>
        <v>0</v>
      </c>
      <c r="U50" s="139">
        <v>1</v>
      </c>
      <c r="V50" s="139">
        <f t="shared" si="21"/>
        <v>0</v>
      </c>
      <c r="W50" s="139"/>
      <c r="X50" s="139">
        <f t="shared" si="22"/>
        <v>969</v>
      </c>
      <c r="Y50" s="139">
        <f t="shared" si="23"/>
        <v>969</v>
      </c>
      <c r="Z50" s="139">
        <v>1</v>
      </c>
      <c r="AA50" s="139">
        <f t="shared" si="24"/>
        <v>969</v>
      </c>
      <c r="AB50" s="139">
        <f t="shared" si="25"/>
        <v>969</v>
      </c>
      <c r="AC50" s="139">
        <f t="shared" si="26"/>
        <v>0</v>
      </c>
      <c r="AD50" s="115">
        <f t="shared" si="27"/>
        <v>1992.0833333333333</v>
      </c>
      <c r="AE50" s="115">
        <f t="shared" si="28"/>
        <v>2018</v>
      </c>
      <c r="AF50" s="115">
        <f t="shared" si="29"/>
        <v>2002.0833333333333</v>
      </c>
      <c r="AG50" s="115">
        <f t="shared" si="30"/>
        <v>2017</v>
      </c>
      <c r="AH50" s="115">
        <f t="shared" si="31"/>
        <v>-8.3333333333333329E-2</v>
      </c>
    </row>
    <row r="51" spans="1:34">
      <c r="D51" s="136" t="s">
        <v>167</v>
      </c>
      <c r="E51" s="119">
        <v>1992</v>
      </c>
      <c r="F51" s="110">
        <v>4</v>
      </c>
      <c r="G51" s="159">
        <v>0</v>
      </c>
      <c r="H51" s="159"/>
      <c r="I51" s="119" t="s">
        <v>103</v>
      </c>
      <c r="J51" s="119">
        <v>5</v>
      </c>
      <c r="K51" s="113">
        <f t="shared" si="16"/>
        <v>1997</v>
      </c>
      <c r="L51" s="160"/>
      <c r="N51" s="138">
        <v>75.8</v>
      </c>
      <c r="O51" s="147"/>
      <c r="P51" s="139">
        <f t="shared" si="17"/>
        <v>75.8</v>
      </c>
      <c r="Q51" s="139">
        <f t="shared" si="18"/>
        <v>1.2633333333333334</v>
      </c>
      <c r="R51" s="139">
        <f t="shared" si="19"/>
        <v>0</v>
      </c>
      <c r="S51" s="139"/>
      <c r="T51" s="139">
        <f t="shared" si="20"/>
        <v>0</v>
      </c>
      <c r="U51" s="139">
        <v>1</v>
      </c>
      <c r="V51" s="139">
        <f t="shared" si="21"/>
        <v>0</v>
      </c>
      <c r="W51" s="139"/>
      <c r="X51" s="139">
        <f t="shared" si="22"/>
        <v>75.8</v>
      </c>
      <c r="Y51" s="139">
        <f t="shared" si="23"/>
        <v>75.8</v>
      </c>
      <c r="Z51" s="139">
        <v>1</v>
      </c>
      <c r="AA51" s="139">
        <f t="shared" si="24"/>
        <v>75.8</v>
      </c>
      <c r="AB51" s="139">
        <f t="shared" si="25"/>
        <v>75.8</v>
      </c>
      <c r="AC51" s="139">
        <f t="shared" si="26"/>
        <v>0</v>
      </c>
      <c r="AD51" s="115">
        <f t="shared" si="27"/>
        <v>1992.25</v>
      </c>
      <c r="AE51" s="115">
        <f t="shared" si="28"/>
        <v>2018</v>
      </c>
      <c r="AF51" s="115">
        <f t="shared" si="29"/>
        <v>1997.25</v>
      </c>
      <c r="AG51" s="115">
        <f t="shared" si="30"/>
        <v>2017</v>
      </c>
      <c r="AH51" s="115">
        <f t="shared" si="31"/>
        <v>-8.3333333333333329E-2</v>
      </c>
    </row>
    <row r="52" spans="1:34">
      <c r="C52" s="110">
        <v>1</v>
      </c>
      <c r="D52" s="110" t="str">
        <f>D50</f>
        <v>6 Yd. Containers 1</v>
      </c>
      <c r="E52" s="119">
        <v>1992</v>
      </c>
      <c r="F52" s="110">
        <v>7</v>
      </c>
      <c r="G52" s="159">
        <v>0</v>
      </c>
      <c r="H52" s="159"/>
      <c r="I52" s="119" t="s">
        <v>103</v>
      </c>
      <c r="J52" s="119">
        <v>10</v>
      </c>
      <c r="K52" s="113">
        <f t="shared" si="16"/>
        <v>2002</v>
      </c>
      <c r="L52" s="160"/>
      <c r="N52" s="138">
        <v>968.76</v>
      </c>
      <c r="O52" s="147"/>
      <c r="P52" s="139">
        <f t="shared" si="17"/>
        <v>968.76</v>
      </c>
      <c r="Q52" s="139">
        <f t="shared" si="18"/>
        <v>8.0730000000000004</v>
      </c>
      <c r="R52" s="139">
        <f t="shared" si="19"/>
        <v>0</v>
      </c>
      <c r="S52" s="139"/>
      <c r="T52" s="139">
        <f t="shared" si="20"/>
        <v>0</v>
      </c>
      <c r="U52" s="139">
        <v>1</v>
      </c>
      <c r="V52" s="139">
        <f t="shared" si="21"/>
        <v>0</v>
      </c>
      <c r="W52" s="139"/>
      <c r="X52" s="139">
        <f t="shared" si="22"/>
        <v>968.76</v>
      </c>
      <c r="Y52" s="139">
        <f t="shared" si="23"/>
        <v>968.76</v>
      </c>
      <c r="Z52" s="139">
        <v>1</v>
      </c>
      <c r="AA52" s="139">
        <f t="shared" si="24"/>
        <v>968.76</v>
      </c>
      <c r="AB52" s="139">
        <f t="shared" si="25"/>
        <v>968.76</v>
      </c>
      <c r="AC52" s="139">
        <f t="shared" si="26"/>
        <v>0</v>
      </c>
      <c r="AD52" s="115">
        <f t="shared" si="27"/>
        <v>1992.5</v>
      </c>
      <c r="AE52" s="115">
        <f t="shared" si="28"/>
        <v>2018</v>
      </c>
      <c r="AF52" s="115">
        <f t="shared" si="29"/>
        <v>2002.5</v>
      </c>
      <c r="AG52" s="115">
        <f t="shared" si="30"/>
        <v>2017</v>
      </c>
      <c r="AH52" s="115">
        <f t="shared" si="31"/>
        <v>-8.3333333333333329E-2</v>
      </c>
    </row>
    <row r="53" spans="1:34">
      <c r="C53" s="110">
        <v>1</v>
      </c>
      <c r="D53" s="110" t="str">
        <f>D52</f>
        <v>6 Yd. Containers 1</v>
      </c>
      <c r="E53" s="119">
        <v>1992</v>
      </c>
      <c r="F53" s="110">
        <v>9</v>
      </c>
      <c r="G53" s="159">
        <v>0</v>
      </c>
      <c r="H53" s="159"/>
      <c r="I53" s="119" t="s">
        <v>103</v>
      </c>
      <c r="J53" s="119">
        <v>10</v>
      </c>
      <c r="K53" s="113">
        <f t="shared" si="16"/>
        <v>2002</v>
      </c>
      <c r="L53" s="160"/>
      <c r="N53" s="138">
        <v>1050</v>
      </c>
      <c r="O53" s="147"/>
      <c r="P53" s="139">
        <f t="shared" si="17"/>
        <v>1050</v>
      </c>
      <c r="Q53" s="139">
        <f t="shared" si="18"/>
        <v>8.75</v>
      </c>
      <c r="R53" s="139">
        <f t="shared" si="19"/>
        <v>0</v>
      </c>
      <c r="S53" s="139"/>
      <c r="T53" s="139">
        <f t="shared" si="20"/>
        <v>0</v>
      </c>
      <c r="U53" s="139">
        <v>1</v>
      </c>
      <c r="V53" s="139">
        <f t="shared" si="21"/>
        <v>0</v>
      </c>
      <c r="W53" s="139"/>
      <c r="X53" s="139">
        <f t="shared" si="22"/>
        <v>1050</v>
      </c>
      <c r="Y53" s="139">
        <f t="shared" si="23"/>
        <v>1050</v>
      </c>
      <c r="Z53" s="139">
        <v>1</v>
      </c>
      <c r="AA53" s="139">
        <f t="shared" si="24"/>
        <v>1050</v>
      </c>
      <c r="AB53" s="139">
        <f t="shared" si="25"/>
        <v>1050</v>
      </c>
      <c r="AC53" s="139">
        <f t="shared" si="26"/>
        <v>0</v>
      </c>
      <c r="AD53" s="115">
        <f t="shared" si="27"/>
        <v>1992.6666666666667</v>
      </c>
      <c r="AE53" s="115">
        <f t="shared" si="28"/>
        <v>2018</v>
      </c>
      <c r="AF53" s="115">
        <f t="shared" si="29"/>
        <v>2002.6666666666667</v>
      </c>
      <c r="AG53" s="115">
        <f t="shared" si="30"/>
        <v>2017</v>
      </c>
      <c r="AH53" s="115">
        <f t="shared" si="31"/>
        <v>-8.3333333333333329E-2</v>
      </c>
    </row>
    <row r="54" spans="1:34">
      <c r="C54" s="110">
        <v>1</v>
      </c>
      <c r="D54" s="110" t="str">
        <f>D53</f>
        <v>6 Yd. Containers 1</v>
      </c>
      <c r="E54" s="119">
        <v>1992</v>
      </c>
      <c r="F54" s="110">
        <v>11</v>
      </c>
      <c r="G54" s="159">
        <v>0</v>
      </c>
      <c r="H54" s="159"/>
      <c r="I54" s="119" t="s">
        <v>103</v>
      </c>
      <c r="J54" s="119">
        <v>10</v>
      </c>
      <c r="K54" s="113">
        <f t="shared" si="16"/>
        <v>2002</v>
      </c>
      <c r="L54" s="160"/>
      <c r="N54" s="138">
        <v>1025</v>
      </c>
      <c r="O54" s="147"/>
      <c r="P54" s="139">
        <f t="shared" si="17"/>
        <v>1025</v>
      </c>
      <c r="Q54" s="139">
        <f t="shared" si="18"/>
        <v>8.5416666666666661</v>
      </c>
      <c r="R54" s="139">
        <f t="shared" si="19"/>
        <v>0</v>
      </c>
      <c r="S54" s="139"/>
      <c r="T54" s="139">
        <f t="shared" si="20"/>
        <v>0</v>
      </c>
      <c r="U54" s="139">
        <v>1</v>
      </c>
      <c r="V54" s="139">
        <f t="shared" si="21"/>
        <v>0</v>
      </c>
      <c r="W54" s="139"/>
      <c r="X54" s="139">
        <f t="shared" si="22"/>
        <v>1025</v>
      </c>
      <c r="Y54" s="139">
        <f t="shared" si="23"/>
        <v>1025</v>
      </c>
      <c r="Z54" s="139">
        <v>1</v>
      </c>
      <c r="AA54" s="139">
        <f t="shared" si="24"/>
        <v>1025</v>
      </c>
      <c r="AB54" s="139">
        <f t="shared" si="25"/>
        <v>1025</v>
      </c>
      <c r="AC54" s="139">
        <f t="shared" si="26"/>
        <v>0</v>
      </c>
      <c r="AD54" s="115">
        <f t="shared" si="27"/>
        <v>1992.8333333333333</v>
      </c>
      <c r="AE54" s="115">
        <f t="shared" si="28"/>
        <v>2018</v>
      </c>
      <c r="AF54" s="115">
        <f t="shared" si="29"/>
        <v>2002.8333333333333</v>
      </c>
      <c r="AG54" s="115">
        <f t="shared" si="30"/>
        <v>2017</v>
      </c>
      <c r="AH54" s="115">
        <f t="shared" si="31"/>
        <v>-8.3333333333333329E-2</v>
      </c>
    </row>
    <row r="55" spans="1:34">
      <c r="A55" s="110">
        <v>126342</v>
      </c>
      <c r="D55" s="136" t="s">
        <v>168</v>
      </c>
      <c r="E55" s="119">
        <v>1993</v>
      </c>
      <c r="F55" s="110">
        <v>2</v>
      </c>
      <c r="G55" s="159">
        <v>0</v>
      </c>
      <c r="H55" s="159"/>
      <c r="I55" s="119" t="s">
        <v>103</v>
      </c>
      <c r="J55" s="119">
        <v>10</v>
      </c>
      <c r="K55" s="113">
        <f t="shared" si="16"/>
        <v>2003</v>
      </c>
      <c r="L55" s="160"/>
      <c r="N55" s="138">
        <v>577.79999999999995</v>
      </c>
      <c r="O55" s="147"/>
      <c r="P55" s="139">
        <f t="shared" si="17"/>
        <v>577.79999999999995</v>
      </c>
      <c r="Q55" s="139">
        <f t="shared" si="18"/>
        <v>4.8149999999999995</v>
      </c>
      <c r="R55" s="139">
        <f t="shared" si="19"/>
        <v>0</v>
      </c>
      <c r="S55" s="139"/>
      <c r="T55" s="139">
        <f t="shared" si="20"/>
        <v>0</v>
      </c>
      <c r="U55" s="139">
        <v>1</v>
      </c>
      <c r="V55" s="139">
        <f t="shared" si="21"/>
        <v>0</v>
      </c>
      <c r="W55" s="139"/>
      <c r="X55" s="139">
        <f t="shared" si="22"/>
        <v>577.79999999999995</v>
      </c>
      <c r="Y55" s="139">
        <f t="shared" si="23"/>
        <v>577.79999999999995</v>
      </c>
      <c r="Z55" s="139">
        <v>1</v>
      </c>
      <c r="AA55" s="139">
        <f t="shared" si="24"/>
        <v>577.79999999999995</v>
      </c>
      <c r="AB55" s="139">
        <f t="shared" si="25"/>
        <v>577.79999999999995</v>
      </c>
      <c r="AC55" s="139">
        <f t="shared" si="26"/>
        <v>0</v>
      </c>
      <c r="AD55" s="115">
        <f t="shared" si="27"/>
        <v>1993.0833333333333</v>
      </c>
      <c r="AE55" s="115">
        <f t="shared" si="28"/>
        <v>2018</v>
      </c>
      <c r="AF55" s="115">
        <f t="shared" si="29"/>
        <v>2003.0833333333333</v>
      </c>
      <c r="AG55" s="115">
        <f t="shared" si="30"/>
        <v>2017</v>
      </c>
      <c r="AH55" s="115">
        <f t="shared" si="31"/>
        <v>-8.3333333333333329E-2</v>
      </c>
    </row>
    <row r="56" spans="1:34">
      <c r="C56" s="110">
        <v>1</v>
      </c>
      <c r="D56" s="136" t="s">
        <v>169</v>
      </c>
      <c r="E56" s="119">
        <v>1993</v>
      </c>
      <c r="F56" s="110">
        <v>4</v>
      </c>
      <c r="G56" s="159">
        <v>0</v>
      </c>
      <c r="H56" s="159"/>
      <c r="I56" s="119" t="s">
        <v>103</v>
      </c>
      <c r="J56" s="119">
        <v>10</v>
      </c>
      <c r="K56" s="113">
        <f t="shared" si="16"/>
        <v>2003</v>
      </c>
      <c r="L56" s="160"/>
      <c r="N56" s="138">
        <v>720</v>
      </c>
      <c r="O56" s="147"/>
      <c r="P56" s="139">
        <f t="shared" si="17"/>
        <v>720</v>
      </c>
      <c r="Q56" s="139">
        <f t="shared" si="18"/>
        <v>6</v>
      </c>
      <c r="R56" s="139">
        <f t="shared" si="19"/>
        <v>0</v>
      </c>
      <c r="S56" s="139"/>
      <c r="T56" s="139">
        <f t="shared" si="20"/>
        <v>0</v>
      </c>
      <c r="U56" s="139">
        <v>1</v>
      </c>
      <c r="V56" s="139">
        <f t="shared" si="21"/>
        <v>0</v>
      </c>
      <c r="W56" s="139"/>
      <c r="X56" s="139">
        <f t="shared" si="22"/>
        <v>720</v>
      </c>
      <c r="Y56" s="139">
        <f t="shared" si="23"/>
        <v>720</v>
      </c>
      <c r="Z56" s="139">
        <v>1</v>
      </c>
      <c r="AA56" s="139">
        <f t="shared" si="24"/>
        <v>720</v>
      </c>
      <c r="AB56" s="139">
        <f t="shared" si="25"/>
        <v>720</v>
      </c>
      <c r="AC56" s="139">
        <f t="shared" si="26"/>
        <v>0</v>
      </c>
      <c r="AD56" s="115">
        <f t="shared" si="27"/>
        <v>1993.25</v>
      </c>
      <c r="AE56" s="115">
        <f t="shared" si="28"/>
        <v>2018</v>
      </c>
      <c r="AF56" s="115">
        <f t="shared" si="29"/>
        <v>2003.25</v>
      </c>
      <c r="AG56" s="115">
        <f t="shared" si="30"/>
        <v>2017</v>
      </c>
      <c r="AH56" s="115">
        <f t="shared" si="31"/>
        <v>-8.3333333333333329E-2</v>
      </c>
    </row>
    <row r="57" spans="1:34">
      <c r="D57" s="136" t="s">
        <v>160</v>
      </c>
      <c r="E57" s="119">
        <v>1993</v>
      </c>
      <c r="F57" s="110">
        <v>4</v>
      </c>
      <c r="G57" s="159">
        <v>0</v>
      </c>
      <c r="H57" s="159"/>
      <c r="I57" s="119" t="s">
        <v>103</v>
      </c>
      <c r="J57" s="119">
        <v>10</v>
      </c>
      <c r="K57" s="113">
        <f t="shared" si="16"/>
        <v>2003</v>
      </c>
      <c r="L57" s="160"/>
      <c r="N57" s="138">
        <v>6339.6</v>
      </c>
      <c r="O57" s="147"/>
      <c r="P57" s="139">
        <f t="shared" si="17"/>
        <v>6339.6</v>
      </c>
      <c r="Q57" s="139">
        <f t="shared" si="18"/>
        <v>52.830000000000005</v>
      </c>
      <c r="R57" s="139">
        <f t="shared" si="19"/>
        <v>0</v>
      </c>
      <c r="S57" s="139"/>
      <c r="T57" s="139">
        <f t="shared" si="20"/>
        <v>0</v>
      </c>
      <c r="U57" s="139">
        <v>1</v>
      </c>
      <c r="V57" s="139">
        <f t="shared" si="21"/>
        <v>0</v>
      </c>
      <c r="W57" s="139"/>
      <c r="X57" s="139">
        <f t="shared" si="22"/>
        <v>6339.6</v>
      </c>
      <c r="Y57" s="139">
        <f t="shared" si="23"/>
        <v>6339.6</v>
      </c>
      <c r="Z57" s="139">
        <v>1</v>
      </c>
      <c r="AA57" s="139">
        <f t="shared" si="24"/>
        <v>6339.6</v>
      </c>
      <c r="AB57" s="139">
        <f t="shared" si="25"/>
        <v>6339.6</v>
      </c>
      <c r="AC57" s="139">
        <f t="shared" si="26"/>
        <v>0</v>
      </c>
      <c r="AD57" s="115">
        <f t="shared" si="27"/>
        <v>1993.25</v>
      </c>
      <c r="AE57" s="115">
        <f t="shared" si="28"/>
        <v>2018</v>
      </c>
      <c r="AF57" s="115">
        <f t="shared" si="29"/>
        <v>2003.25</v>
      </c>
      <c r="AG57" s="115">
        <f t="shared" si="30"/>
        <v>2017</v>
      </c>
      <c r="AH57" s="115">
        <f t="shared" si="31"/>
        <v>-8.3333333333333329E-2</v>
      </c>
    </row>
    <row r="58" spans="1:34">
      <c r="A58" s="110">
        <v>118263</v>
      </c>
      <c r="C58" s="7"/>
      <c r="D58" s="136" t="s">
        <v>170</v>
      </c>
      <c r="E58" s="119">
        <v>1993</v>
      </c>
      <c r="F58" s="110">
        <v>4</v>
      </c>
      <c r="G58" s="159">
        <v>0</v>
      </c>
      <c r="H58" s="159"/>
      <c r="I58" s="119" t="s">
        <v>103</v>
      </c>
      <c r="J58" s="119">
        <v>10</v>
      </c>
      <c r="K58" s="113">
        <f t="shared" si="16"/>
        <v>2003</v>
      </c>
      <c r="L58" s="160"/>
      <c r="N58" s="138">
        <v>388.8</v>
      </c>
      <c r="O58" s="147"/>
      <c r="P58" s="139">
        <f t="shared" si="17"/>
        <v>388.8</v>
      </c>
      <c r="Q58" s="139">
        <f t="shared" si="18"/>
        <v>3.24</v>
      </c>
      <c r="R58" s="139">
        <f t="shared" si="19"/>
        <v>0</v>
      </c>
      <c r="S58" s="139"/>
      <c r="T58" s="139">
        <f t="shared" si="20"/>
        <v>0</v>
      </c>
      <c r="U58" s="139">
        <v>1</v>
      </c>
      <c r="V58" s="139">
        <f t="shared" si="21"/>
        <v>0</v>
      </c>
      <c r="W58" s="139"/>
      <c r="X58" s="139">
        <f t="shared" si="22"/>
        <v>388.8</v>
      </c>
      <c r="Y58" s="139">
        <f t="shared" si="23"/>
        <v>388.8</v>
      </c>
      <c r="Z58" s="139">
        <v>1</v>
      </c>
      <c r="AA58" s="139">
        <f t="shared" si="24"/>
        <v>388.8</v>
      </c>
      <c r="AB58" s="139">
        <f t="shared" si="25"/>
        <v>388.8</v>
      </c>
      <c r="AC58" s="139">
        <f t="shared" si="26"/>
        <v>0</v>
      </c>
      <c r="AD58" s="115">
        <f t="shared" si="27"/>
        <v>1993.25</v>
      </c>
      <c r="AE58" s="115">
        <f t="shared" si="28"/>
        <v>2018</v>
      </c>
      <c r="AF58" s="115">
        <f t="shared" si="29"/>
        <v>2003.25</v>
      </c>
      <c r="AG58" s="115">
        <f t="shared" si="30"/>
        <v>2017</v>
      </c>
      <c r="AH58" s="115">
        <f t="shared" si="31"/>
        <v>-8.3333333333333329E-2</v>
      </c>
    </row>
    <row r="59" spans="1:34">
      <c r="A59" s="110">
        <v>118264</v>
      </c>
      <c r="C59" s="7">
        <v>1</v>
      </c>
      <c r="D59" s="110" t="str">
        <f>D58</f>
        <v>Lids</v>
      </c>
      <c r="E59" s="119">
        <v>1993</v>
      </c>
      <c r="F59" s="110">
        <v>5</v>
      </c>
      <c r="G59" s="159">
        <v>0</v>
      </c>
      <c r="H59" s="159"/>
      <c r="I59" s="119" t="s">
        <v>103</v>
      </c>
      <c r="J59" s="119">
        <v>10</v>
      </c>
      <c r="K59" s="113">
        <f t="shared" si="16"/>
        <v>2003</v>
      </c>
      <c r="L59" s="160"/>
      <c r="N59" s="138">
        <v>5373</v>
      </c>
      <c r="O59" s="147"/>
      <c r="P59" s="139">
        <f t="shared" si="17"/>
        <v>5373</v>
      </c>
      <c r="Q59" s="139">
        <f t="shared" si="18"/>
        <v>44.774999999999999</v>
      </c>
      <c r="R59" s="139">
        <f t="shared" si="19"/>
        <v>0</v>
      </c>
      <c r="S59" s="139"/>
      <c r="T59" s="139">
        <f t="shared" si="20"/>
        <v>0</v>
      </c>
      <c r="U59" s="139">
        <v>1</v>
      </c>
      <c r="V59" s="139">
        <f t="shared" si="21"/>
        <v>0</v>
      </c>
      <c r="W59" s="139"/>
      <c r="X59" s="139">
        <f t="shared" si="22"/>
        <v>5373</v>
      </c>
      <c r="Y59" s="139">
        <f t="shared" si="23"/>
        <v>5373</v>
      </c>
      <c r="Z59" s="139">
        <v>1</v>
      </c>
      <c r="AA59" s="139">
        <f t="shared" si="24"/>
        <v>5373</v>
      </c>
      <c r="AB59" s="139">
        <f t="shared" si="25"/>
        <v>5373</v>
      </c>
      <c r="AC59" s="139">
        <f t="shared" si="26"/>
        <v>0</v>
      </c>
      <c r="AD59" s="115">
        <f t="shared" si="27"/>
        <v>1993.3333333333333</v>
      </c>
      <c r="AE59" s="115">
        <f t="shared" si="28"/>
        <v>2018</v>
      </c>
      <c r="AF59" s="115">
        <f t="shared" si="29"/>
        <v>2003.3333333333333</v>
      </c>
      <c r="AG59" s="115">
        <f t="shared" si="30"/>
        <v>2017</v>
      </c>
      <c r="AH59" s="115">
        <f t="shared" si="31"/>
        <v>-8.3333333333333329E-2</v>
      </c>
    </row>
    <row r="60" spans="1:34">
      <c r="C60" s="7">
        <v>1</v>
      </c>
      <c r="D60" s="136" t="s">
        <v>171</v>
      </c>
      <c r="E60" s="119">
        <v>1993</v>
      </c>
      <c r="F60" s="110">
        <v>8</v>
      </c>
      <c r="G60" s="159">
        <v>0</v>
      </c>
      <c r="H60" s="159"/>
      <c r="I60" s="119" t="s">
        <v>103</v>
      </c>
      <c r="J60" s="119">
        <v>10</v>
      </c>
      <c r="K60" s="113">
        <f t="shared" si="16"/>
        <v>2003</v>
      </c>
      <c r="L60" s="160"/>
      <c r="N60" s="138">
        <v>478.44</v>
      </c>
      <c r="O60" s="147"/>
      <c r="P60" s="139">
        <f t="shared" si="17"/>
        <v>478.44</v>
      </c>
      <c r="Q60" s="139">
        <f t="shared" si="18"/>
        <v>3.9870000000000001</v>
      </c>
      <c r="R60" s="139">
        <f t="shared" si="19"/>
        <v>0</v>
      </c>
      <c r="S60" s="139"/>
      <c r="T60" s="139">
        <f t="shared" si="20"/>
        <v>0</v>
      </c>
      <c r="U60" s="139">
        <v>1</v>
      </c>
      <c r="V60" s="139">
        <f t="shared" si="21"/>
        <v>0</v>
      </c>
      <c r="W60" s="139"/>
      <c r="X60" s="139">
        <f t="shared" si="22"/>
        <v>478.44</v>
      </c>
      <c r="Y60" s="139">
        <f t="shared" si="23"/>
        <v>478.44</v>
      </c>
      <c r="Z60" s="139">
        <v>1</v>
      </c>
      <c r="AA60" s="139">
        <f t="shared" si="24"/>
        <v>478.44</v>
      </c>
      <c r="AB60" s="139">
        <f t="shared" si="25"/>
        <v>478.44</v>
      </c>
      <c r="AC60" s="139">
        <f t="shared" si="26"/>
        <v>0</v>
      </c>
      <c r="AD60" s="115">
        <f t="shared" si="27"/>
        <v>1993.5833333333333</v>
      </c>
      <c r="AE60" s="115">
        <f t="shared" si="28"/>
        <v>2018</v>
      </c>
      <c r="AF60" s="115">
        <f t="shared" si="29"/>
        <v>2003.5833333333333</v>
      </c>
      <c r="AG60" s="115">
        <f t="shared" si="30"/>
        <v>2017</v>
      </c>
      <c r="AH60" s="115">
        <f t="shared" si="31"/>
        <v>-8.3333333333333329E-2</v>
      </c>
    </row>
    <row r="61" spans="1:34">
      <c r="A61" s="110">
        <v>126206</v>
      </c>
      <c r="C61" s="7">
        <v>1</v>
      </c>
      <c r="D61" s="110" t="str">
        <f>D60</f>
        <v>4 Yd. Cont.</v>
      </c>
      <c r="E61" s="119">
        <v>1993</v>
      </c>
      <c r="F61" s="110">
        <v>8</v>
      </c>
      <c r="G61" s="159">
        <v>0</v>
      </c>
      <c r="H61" s="159"/>
      <c r="I61" s="119" t="s">
        <v>103</v>
      </c>
      <c r="J61" s="119">
        <v>10</v>
      </c>
      <c r="K61" s="113">
        <f t="shared" si="16"/>
        <v>2003</v>
      </c>
      <c r="L61" s="160"/>
      <c r="N61" s="138">
        <v>3781.31</v>
      </c>
      <c r="O61" s="147"/>
      <c r="P61" s="139">
        <f t="shared" si="17"/>
        <v>3781.31</v>
      </c>
      <c r="Q61" s="139">
        <f t="shared" si="18"/>
        <v>31.510916666666663</v>
      </c>
      <c r="R61" s="139">
        <f t="shared" si="19"/>
        <v>0</v>
      </c>
      <c r="S61" s="139"/>
      <c r="T61" s="139">
        <f t="shared" si="20"/>
        <v>0</v>
      </c>
      <c r="U61" s="139">
        <v>1</v>
      </c>
      <c r="V61" s="139">
        <f t="shared" si="21"/>
        <v>0</v>
      </c>
      <c r="W61" s="139"/>
      <c r="X61" s="139">
        <f t="shared" si="22"/>
        <v>3781.31</v>
      </c>
      <c r="Y61" s="139">
        <f t="shared" si="23"/>
        <v>3781.31</v>
      </c>
      <c r="Z61" s="139">
        <v>1</v>
      </c>
      <c r="AA61" s="139">
        <f t="shared" si="24"/>
        <v>3781.31</v>
      </c>
      <c r="AB61" s="139">
        <f t="shared" si="25"/>
        <v>3781.31</v>
      </c>
      <c r="AC61" s="139">
        <f t="shared" si="26"/>
        <v>0</v>
      </c>
      <c r="AD61" s="115">
        <f t="shared" si="27"/>
        <v>1993.5833333333333</v>
      </c>
      <c r="AE61" s="115">
        <f t="shared" si="28"/>
        <v>2018</v>
      </c>
      <c r="AF61" s="115">
        <f t="shared" si="29"/>
        <v>2003.5833333333333</v>
      </c>
      <c r="AG61" s="115">
        <f t="shared" si="30"/>
        <v>2017</v>
      </c>
      <c r="AH61" s="115">
        <f t="shared" si="31"/>
        <v>-8.3333333333333329E-2</v>
      </c>
    </row>
    <row r="62" spans="1:34">
      <c r="C62" s="7">
        <v>1</v>
      </c>
      <c r="D62" s="136" t="s">
        <v>172</v>
      </c>
      <c r="E62" s="119">
        <v>1994</v>
      </c>
      <c r="F62" s="110">
        <v>11</v>
      </c>
      <c r="G62" s="159">
        <v>0</v>
      </c>
      <c r="H62" s="159"/>
      <c r="I62" s="119" t="s">
        <v>103</v>
      </c>
      <c r="J62" s="119">
        <v>10</v>
      </c>
      <c r="K62" s="113">
        <f t="shared" si="16"/>
        <v>2004</v>
      </c>
      <c r="L62" s="160"/>
      <c r="N62" s="138">
        <v>621</v>
      </c>
      <c r="O62" s="147"/>
      <c r="P62" s="139">
        <f t="shared" si="17"/>
        <v>621</v>
      </c>
      <c r="Q62" s="139">
        <f t="shared" si="18"/>
        <v>5.1749999999999998</v>
      </c>
      <c r="R62" s="139">
        <f t="shared" si="19"/>
        <v>0</v>
      </c>
      <c r="S62" s="139"/>
      <c r="T62" s="139">
        <f t="shared" si="20"/>
        <v>0</v>
      </c>
      <c r="U62" s="139">
        <v>1</v>
      </c>
      <c r="V62" s="139">
        <f t="shared" si="21"/>
        <v>0</v>
      </c>
      <c r="W62" s="139"/>
      <c r="X62" s="139">
        <f t="shared" si="22"/>
        <v>621</v>
      </c>
      <c r="Y62" s="139">
        <f t="shared" si="23"/>
        <v>621</v>
      </c>
      <c r="Z62" s="139">
        <v>1</v>
      </c>
      <c r="AA62" s="139">
        <f t="shared" si="24"/>
        <v>621</v>
      </c>
      <c r="AB62" s="139">
        <f t="shared" si="25"/>
        <v>621</v>
      </c>
      <c r="AC62" s="139">
        <f t="shared" si="26"/>
        <v>0</v>
      </c>
      <c r="AD62" s="115">
        <f t="shared" si="27"/>
        <v>1994.8333333333333</v>
      </c>
      <c r="AE62" s="115">
        <f t="shared" si="28"/>
        <v>2018</v>
      </c>
      <c r="AF62" s="115">
        <f t="shared" si="29"/>
        <v>2004.8333333333333</v>
      </c>
      <c r="AG62" s="115">
        <f t="shared" si="30"/>
        <v>2017</v>
      </c>
      <c r="AH62" s="115">
        <f t="shared" si="31"/>
        <v>-8.3333333333333329E-2</v>
      </c>
    </row>
    <row r="63" spans="1:34">
      <c r="C63" s="7"/>
      <c r="D63" s="148" t="s">
        <v>173</v>
      </c>
      <c r="E63" s="119">
        <v>1995</v>
      </c>
      <c r="F63" s="110">
        <v>6</v>
      </c>
      <c r="G63" s="159">
        <v>0</v>
      </c>
      <c r="H63" s="159"/>
      <c r="I63" s="119" t="s">
        <v>103</v>
      </c>
      <c r="J63" s="119">
        <v>10</v>
      </c>
      <c r="K63" s="113">
        <f t="shared" si="16"/>
        <v>2005</v>
      </c>
      <c r="L63" s="160"/>
      <c r="N63" s="138">
        <v>407</v>
      </c>
      <c r="O63" s="147"/>
      <c r="P63" s="139">
        <f t="shared" si="17"/>
        <v>407</v>
      </c>
      <c r="Q63" s="139">
        <f t="shared" si="18"/>
        <v>3.3916666666666671</v>
      </c>
      <c r="R63" s="139">
        <f t="shared" si="19"/>
        <v>0</v>
      </c>
      <c r="S63" s="139"/>
      <c r="T63" s="139">
        <f t="shared" si="20"/>
        <v>0</v>
      </c>
      <c r="U63" s="139">
        <v>1</v>
      </c>
      <c r="V63" s="139">
        <f t="shared" si="21"/>
        <v>0</v>
      </c>
      <c r="W63" s="139"/>
      <c r="X63" s="139">
        <f t="shared" si="22"/>
        <v>407</v>
      </c>
      <c r="Y63" s="139">
        <f t="shared" si="23"/>
        <v>407</v>
      </c>
      <c r="Z63" s="139">
        <v>1</v>
      </c>
      <c r="AA63" s="139">
        <f t="shared" si="24"/>
        <v>407</v>
      </c>
      <c r="AB63" s="139">
        <f t="shared" si="25"/>
        <v>407</v>
      </c>
      <c r="AC63" s="139">
        <f t="shared" si="26"/>
        <v>0</v>
      </c>
      <c r="AD63" s="115">
        <f t="shared" si="27"/>
        <v>1995.4166666666667</v>
      </c>
      <c r="AE63" s="115">
        <f t="shared" si="28"/>
        <v>2018</v>
      </c>
      <c r="AF63" s="115">
        <f t="shared" si="29"/>
        <v>2005.4166666666667</v>
      </c>
      <c r="AG63" s="115">
        <f t="shared" si="30"/>
        <v>2017</v>
      </c>
      <c r="AH63" s="115">
        <f t="shared" si="31"/>
        <v>-8.3333333333333329E-2</v>
      </c>
    </row>
    <row r="64" spans="1:34">
      <c r="C64" s="7">
        <v>4</v>
      </c>
      <c r="D64" s="148" t="s">
        <v>174</v>
      </c>
      <c r="E64" s="119">
        <v>1996</v>
      </c>
      <c r="F64" s="110">
        <v>7</v>
      </c>
      <c r="G64" s="159">
        <v>0</v>
      </c>
      <c r="H64" s="159"/>
      <c r="I64" s="119" t="s">
        <v>103</v>
      </c>
      <c r="J64" s="119">
        <v>10</v>
      </c>
      <c r="K64" s="113">
        <f t="shared" si="16"/>
        <v>2006</v>
      </c>
      <c r="L64" s="160"/>
      <c r="N64" s="138">
        <v>1526</v>
      </c>
      <c r="O64" s="147"/>
      <c r="P64" s="139">
        <f t="shared" si="17"/>
        <v>1526</v>
      </c>
      <c r="Q64" s="139">
        <f t="shared" si="18"/>
        <v>12.716666666666667</v>
      </c>
      <c r="R64" s="139">
        <f t="shared" si="19"/>
        <v>0</v>
      </c>
      <c r="S64" s="139"/>
      <c r="T64" s="139">
        <f t="shared" si="20"/>
        <v>0</v>
      </c>
      <c r="U64" s="139">
        <v>1</v>
      </c>
      <c r="V64" s="139">
        <f t="shared" si="21"/>
        <v>0</v>
      </c>
      <c r="W64" s="139"/>
      <c r="X64" s="139">
        <f t="shared" si="22"/>
        <v>1526</v>
      </c>
      <c r="Y64" s="139">
        <f t="shared" si="23"/>
        <v>1526</v>
      </c>
      <c r="Z64" s="139">
        <v>1</v>
      </c>
      <c r="AA64" s="139">
        <f t="shared" si="24"/>
        <v>1526</v>
      </c>
      <c r="AB64" s="139">
        <f t="shared" si="25"/>
        <v>1526</v>
      </c>
      <c r="AC64" s="139">
        <f t="shared" si="26"/>
        <v>0</v>
      </c>
      <c r="AD64" s="115">
        <f t="shared" si="27"/>
        <v>1996.5</v>
      </c>
      <c r="AE64" s="115">
        <f t="shared" si="28"/>
        <v>2018</v>
      </c>
      <c r="AF64" s="115">
        <f t="shared" si="29"/>
        <v>2006.5</v>
      </c>
      <c r="AG64" s="115">
        <f t="shared" si="30"/>
        <v>2017</v>
      </c>
      <c r="AH64" s="115">
        <f t="shared" si="31"/>
        <v>-8.3333333333333329E-2</v>
      </c>
    </row>
    <row r="65" spans="1:34">
      <c r="C65" s="7">
        <v>6</v>
      </c>
      <c r="D65" s="148" t="s">
        <v>175</v>
      </c>
      <c r="E65" s="119">
        <v>1996</v>
      </c>
      <c r="F65" s="110">
        <v>9</v>
      </c>
      <c r="G65" s="159">
        <v>0</v>
      </c>
      <c r="H65" s="159"/>
      <c r="I65" s="119" t="s">
        <v>103</v>
      </c>
      <c r="J65" s="119">
        <v>10</v>
      </c>
      <c r="K65" s="113">
        <f t="shared" si="16"/>
        <v>2006</v>
      </c>
      <c r="L65" s="160"/>
      <c r="N65" s="138">
        <v>2205.2399999999998</v>
      </c>
      <c r="O65" s="147"/>
      <c r="P65" s="139">
        <f t="shared" si="17"/>
        <v>2205.2399999999998</v>
      </c>
      <c r="Q65" s="139">
        <f t="shared" si="18"/>
        <v>18.376999999999999</v>
      </c>
      <c r="R65" s="139">
        <f t="shared" si="19"/>
        <v>0</v>
      </c>
      <c r="S65" s="139"/>
      <c r="T65" s="139">
        <f t="shared" si="20"/>
        <v>0</v>
      </c>
      <c r="U65" s="139">
        <v>1</v>
      </c>
      <c r="V65" s="139">
        <f t="shared" si="21"/>
        <v>0</v>
      </c>
      <c r="W65" s="139"/>
      <c r="X65" s="139">
        <f t="shared" si="22"/>
        <v>2205.2399999999998</v>
      </c>
      <c r="Y65" s="139">
        <f t="shared" si="23"/>
        <v>2205.2399999999998</v>
      </c>
      <c r="Z65" s="139">
        <v>1</v>
      </c>
      <c r="AA65" s="139">
        <f t="shared" si="24"/>
        <v>2205.2399999999998</v>
      </c>
      <c r="AB65" s="139">
        <f t="shared" si="25"/>
        <v>2205.2399999999998</v>
      </c>
      <c r="AC65" s="139">
        <f t="shared" si="26"/>
        <v>0</v>
      </c>
      <c r="AD65" s="115">
        <f t="shared" si="27"/>
        <v>1996.6666666666667</v>
      </c>
      <c r="AE65" s="115">
        <f t="shared" si="28"/>
        <v>2018</v>
      </c>
      <c r="AF65" s="115">
        <f t="shared" si="29"/>
        <v>2006.6666666666667</v>
      </c>
      <c r="AG65" s="115">
        <f t="shared" si="30"/>
        <v>2017</v>
      </c>
      <c r="AH65" s="115">
        <f t="shared" si="31"/>
        <v>-8.3333333333333329E-2</v>
      </c>
    </row>
    <row r="66" spans="1:34">
      <c r="C66" s="7">
        <v>10</v>
      </c>
      <c r="D66" s="136" t="s">
        <v>176</v>
      </c>
      <c r="E66" s="119">
        <v>1997</v>
      </c>
      <c r="F66" s="110">
        <v>6</v>
      </c>
      <c r="G66" s="159">
        <v>0</v>
      </c>
      <c r="H66" s="159"/>
      <c r="I66" s="119" t="s">
        <v>103</v>
      </c>
      <c r="J66" s="119">
        <v>10</v>
      </c>
      <c r="K66" s="113">
        <f t="shared" si="16"/>
        <v>2007</v>
      </c>
      <c r="L66" s="160"/>
      <c r="N66" s="138">
        <v>8162</v>
      </c>
      <c r="O66" s="147"/>
      <c r="P66" s="139">
        <f t="shared" si="17"/>
        <v>8162</v>
      </c>
      <c r="Q66" s="139">
        <f t="shared" si="18"/>
        <v>68.016666666666666</v>
      </c>
      <c r="R66" s="139">
        <f t="shared" si="19"/>
        <v>0</v>
      </c>
      <c r="S66" s="139"/>
      <c r="T66" s="139">
        <f t="shared" si="20"/>
        <v>0</v>
      </c>
      <c r="U66" s="139">
        <v>1</v>
      </c>
      <c r="V66" s="139">
        <f t="shared" si="21"/>
        <v>0</v>
      </c>
      <c r="W66" s="139"/>
      <c r="X66" s="139">
        <f t="shared" si="22"/>
        <v>8162</v>
      </c>
      <c r="Y66" s="139">
        <f t="shared" si="23"/>
        <v>8162</v>
      </c>
      <c r="Z66" s="139">
        <v>1</v>
      </c>
      <c r="AA66" s="139">
        <f t="shared" si="24"/>
        <v>8162</v>
      </c>
      <c r="AB66" s="139">
        <f t="shared" si="25"/>
        <v>8162</v>
      </c>
      <c r="AC66" s="139">
        <f t="shared" si="26"/>
        <v>0</v>
      </c>
      <c r="AD66" s="115">
        <f t="shared" si="27"/>
        <v>1997.4166666666667</v>
      </c>
      <c r="AE66" s="115">
        <f t="shared" si="28"/>
        <v>2018</v>
      </c>
      <c r="AF66" s="115">
        <f t="shared" si="29"/>
        <v>2007.4166666666667</v>
      </c>
      <c r="AG66" s="115">
        <f t="shared" si="30"/>
        <v>2017</v>
      </c>
      <c r="AH66" s="115">
        <f t="shared" si="31"/>
        <v>-8.3333333333333329E-2</v>
      </c>
    </row>
    <row r="67" spans="1:34">
      <c r="C67" s="7">
        <v>1</v>
      </c>
      <c r="D67" s="136" t="s">
        <v>177</v>
      </c>
      <c r="E67" s="119">
        <v>1997</v>
      </c>
      <c r="F67" s="110">
        <v>7</v>
      </c>
      <c r="G67" s="159">
        <v>0</v>
      </c>
      <c r="H67" s="159"/>
      <c r="I67" s="119" t="s">
        <v>103</v>
      </c>
      <c r="J67" s="119">
        <v>10</v>
      </c>
      <c r="K67" s="113">
        <f t="shared" si="16"/>
        <v>2007</v>
      </c>
      <c r="L67" s="160"/>
      <c r="N67" s="138">
        <v>529</v>
      </c>
      <c r="O67" s="147"/>
      <c r="P67" s="139">
        <f t="shared" si="17"/>
        <v>529</v>
      </c>
      <c r="Q67" s="139">
        <f t="shared" si="18"/>
        <v>4.4083333333333332</v>
      </c>
      <c r="R67" s="139">
        <f t="shared" si="19"/>
        <v>0</v>
      </c>
      <c r="S67" s="139"/>
      <c r="T67" s="139">
        <f t="shared" si="20"/>
        <v>0</v>
      </c>
      <c r="U67" s="139">
        <v>1</v>
      </c>
      <c r="V67" s="139">
        <f t="shared" si="21"/>
        <v>0</v>
      </c>
      <c r="W67" s="139"/>
      <c r="X67" s="139">
        <f t="shared" si="22"/>
        <v>529</v>
      </c>
      <c r="Y67" s="139">
        <f t="shared" si="23"/>
        <v>529</v>
      </c>
      <c r="Z67" s="139">
        <v>1</v>
      </c>
      <c r="AA67" s="139">
        <f t="shared" si="24"/>
        <v>529</v>
      </c>
      <c r="AB67" s="139">
        <f t="shared" si="25"/>
        <v>529</v>
      </c>
      <c r="AC67" s="139">
        <f t="shared" si="26"/>
        <v>0</v>
      </c>
      <c r="AD67" s="115">
        <f t="shared" si="27"/>
        <v>1997.5</v>
      </c>
      <c r="AE67" s="115">
        <f t="shared" si="28"/>
        <v>2018</v>
      </c>
      <c r="AF67" s="115">
        <f t="shared" si="29"/>
        <v>2007.5</v>
      </c>
      <c r="AG67" s="115">
        <f t="shared" si="30"/>
        <v>2017</v>
      </c>
      <c r="AH67" s="115">
        <f t="shared" si="31"/>
        <v>-8.3333333333333329E-2</v>
      </c>
    </row>
    <row r="68" spans="1:34">
      <c r="C68" s="7">
        <v>2</v>
      </c>
      <c r="D68" s="136" t="s">
        <v>178</v>
      </c>
      <c r="E68" s="119">
        <v>1997</v>
      </c>
      <c r="F68" s="110">
        <v>11</v>
      </c>
      <c r="G68" s="159">
        <v>0</v>
      </c>
      <c r="H68" s="159"/>
      <c r="I68" s="119" t="s">
        <v>103</v>
      </c>
      <c r="J68" s="119">
        <v>10</v>
      </c>
      <c r="K68" s="113">
        <f t="shared" si="16"/>
        <v>2007</v>
      </c>
      <c r="L68" s="160"/>
      <c r="N68" s="138">
        <v>1650</v>
      </c>
      <c r="O68" s="147"/>
      <c r="P68" s="139">
        <f t="shared" si="17"/>
        <v>1650</v>
      </c>
      <c r="Q68" s="139">
        <f t="shared" si="18"/>
        <v>13.75</v>
      </c>
      <c r="R68" s="139">
        <f t="shared" si="19"/>
        <v>0</v>
      </c>
      <c r="S68" s="139"/>
      <c r="T68" s="139">
        <f t="shared" si="20"/>
        <v>0</v>
      </c>
      <c r="U68" s="139">
        <v>1</v>
      </c>
      <c r="V68" s="139">
        <f t="shared" si="21"/>
        <v>0</v>
      </c>
      <c r="W68" s="139"/>
      <c r="X68" s="139">
        <f t="shared" si="22"/>
        <v>1650</v>
      </c>
      <c r="Y68" s="139">
        <f t="shared" si="23"/>
        <v>1650</v>
      </c>
      <c r="Z68" s="139">
        <v>1</v>
      </c>
      <c r="AA68" s="139">
        <f t="shared" si="24"/>
        <v>1650</v>
      </c>
      <c r="AB68" s="139">
        <f t="shared" si="25"/>
        <v>1650</v>
      </c>
      <c r="AC68" s="139">
        <f t="shared" si="26"/>
        <v>0</v>
      </c>
      <c r="AD68" s="115">
        <f t="shared" si="27"/>
        <v>1997.8333333333333</v>
      </c>
      <c r="AE68" s="115">
        <f t="shared" si="28"/>
        <v>2018</v>
      </c>
      <c r="AF68" s="115">
        <f t="shared" si="29"/>
        <v>2007.8333333333333</v>
      </c>
      <c r="AG68" s="115">
        <f t="shared" si="30"/>
        <v>2017</v>
      </c>
      <c r="AH68" s="115">
        <f t="shared" si="31"/>
        <v>-8.3333333333333329E-2</v>
      </c>
    </row>
    <row r="69" spans="1:34">
      <c r="A69" s="97">
        <v>189676</v>
      </c>
      <c r="B69" s="97"/>
      <c r="C69" s="7"/>
      <c r="D69" s="136" t="s">
        <v>179</v>
      </c>
      <c r="E69" s="119">
        <v>1997</v>
      </c>
      <c r="F69" s="110">
        <v>12</v>
      </c>
      <c r="G69" s="159">
        <v>0</v>
      </c>
      <c r="H69" s="159"/>
      <c r="I69" s="119" t="s">
        <v>103</v>
      </c>
      <c r="J69" s="119">
        <v>10</v>
      </c>
      <c r="K69" s="113">
        <f t="shared" si="16"/>
        <v>2007</v>
      </c>
      <c r="L69" s="160"/>
      <c r="N69" s="138">
        <v>145</v>
      </c>
      <c r="O69" s="147"/>
      <c r="P69" s="139">
        <f t="shared" si="17"/>
        <v>145</v>
      </c>
      <c r="Q69" s="139">
        <f t="shared" si="18"/>
        <v>1.2083333333333333</v>
      </c>
      <c r="R69" s="139">
        <f t="shared" si="19"/>
        <v>0</v>
      </c>
      <c r="S69" s="139"/>
      <c r="T69" s="139">
        <f t="shared" si="20"/>
        <v>0</v>
      </c>
      <c r="U69" s="139">
        <v>1</v>
      </c>
      <c r="V69" s="139">
        <f t="shared" si="21"/>
        <v>0</v>
      </c>
      <c r="W69" s="139"/>
      <c r="X69" s="139">
        <f t="shared" si="22"/>
        <v>145</v>
      </c>
      <c r="Y69" s="139">
        <f t="shared" si="23"/>
        <v>145</v>
      </c>
      <c r="Z69" s="139">
        <v>1</v>
      </c>
      <c r="AA69" s="139">
        <f t="shared" si="24"/>
        <v>145</v>
      </c>
      <c r="AB69" s="139">
        <f t="shared" si="25"/>
        <v>145</v>
      </c>
      <c r="AC69" s="139">
        <f t="shared" si="26"/>
        <v>0</v>
      </c>
      <c r="AD69" s="115">
        <f t="shared" si="27"/>
        <v>1997.9166666666667</v>
      </c>
      <c r="AE69" s="115">
        <f t="shared" si="28"/>
        <v>2018</v>
      </c>
      <c r="AF69" s="115">
        <f t="shared" si="29"/>
        <v>2007.9166666666667</v>
      </c>
      <c r="AG69" s="115">
        <f t="shared" si="30"/>
        <v>2017</v>
      </c>
      <c r="AH69" s="115">
        <f t="shared" si="31"/>
        <v>-8.3333333333333329E-2</v>
      </c>
    </row>
    <row r="70" spans="1:34">
      <c r="C70" s="7">
        <v>1</v>
      </c>
      <c r="D70" s="136" t="s">
        <v>180</v>
      </c>
      <c r="E70" s="119">
        <v>1998</v>
      </c>
      <c r="F70" s="110">
        <v>2</v>
      </c>
      <c r="G70" s="159">
        <v>0</v>
      </c>
      <c r="H70" s="159"/>
      <c r="I70" s="119" t="s">
        <v>103</v>
      </c>
      <c r="J70" s="119">
        <v>10</v>
      </c>
      <c r="K70" s="113">
        <f t="shared" si="16"/>
        <v>2008</v>
      </c>
      <c r="L70" s="160"/>
      <c r="N70" s="138">
        <v>1732</v>
      </c>
      <c r="O70" s="147"/>
      <c r="P70" s="139">
        <f t="shared" si="17"/>
        <v>1732</v>
      </c>
      <c r="Q70" s="139">
        <f t="shared" si="18"/>
        <v>14.433333333333332</v>
      </c>
      <c r="R70" s="139">
        <f t="shared" si="19"/>
        <v>0</v>
      </c>
      <c r="S70" s="139"/>
      <c r="T70" s="139">
        <f t="shared" si="20"/>
        <v>0</v>
      </c>
      <c r="U70" s="139">
        <v>1</v>
      </c>
      <c r="V70" s="139">
        <f t="shared" si="21"/>
        <v>0</v>
      </c>
      <c r="W70" s="139"/>
      <c r="X70" s="139">
        <f t="shared" si="22"/>
        <v>1732</v>
      </c>
      <c r="Y70" s="139">
        <f t="shared" si="23"/>
        <v>1732</v>
      </c>
      <c r="Z70" s="139">
        <v>1</v>
      </c>
      <c r="AA70" s="139">
        <f t="shared" si="24"/>
        <v>1732</v>
      </c>
      <c r="AB70" s="139">
        <f t="shared" si="25"/>
        <v>1732</v>
      </c>
      <c r="AC70" s="139">
        <f t="shared" si="26"/>
        <v>0</v>
      </c>
      <c r="AD70" s="115">
        <f t="shared" si="27"/>
        <v>1998.0833333333333</v>
      </c>
      <c r="AE70" s="115">
        <f t="shared" si="28"/>
        <v>2018</v>
      </c>
      <c r="AF70" s="115">
        <f t="shared" si="29"/>
        <v>2008.0833333333333</v>
      </c>
      <c r="AG70" s="115">
        <f t="shared" si="30"/>
        <v>2017</v>
      </c>
      <c r="AH70" s="115">
        <f t="shared" si="31"/>
        <v>-8.3333333333333329E-2</v>
      </c>
    </row>
    <row r="71" spans="1:34">
      <c r="C71" s="7">
        <v>1</v>
      </c>
      <c r="D71" s="136" t="str">
        <f>+D70</f>
        <v>Containers</v>
      </c>
      <c r="E71" s="119">
        <v>1998</v>
      </c>
      <c r="F71" s="110">
        <v>4</v>
      </c>
      <c r="G71" s="159">
        <v>0</v>
      </c>
      <c r="H71" s="159"/>
      <c r="I71" s="119" t="s">
        <v>103</v>
      </c>
      <c r="J71" s="119">
        <v>10</v>
      </c>
      <c r="K71" s="113">
        <f t="shared" si="16"/>
        <v>2008</v>
      </c>
      <c r="L71" s="160"/>
      <c r="N71" s="138">
        <v>2971</v>
      </c>
      <c r="O71" s="147"/>
      <c r="P71" s="139">
        <f t="shared" si="17"/>
        <v>2971</v>
      </c>
      <c r="Q71" s="139">
        <f t="shared" si="18"/>
        <v>24.758333333333336</v>
      </c>
      <c r="R71" s="139">
        <f t="shared" si="19"/>
        <v>0</v>
      </c>
      <c r="S71" s="139"/>
      <c r="T71" s="139">
        <f t="shared" si="20"/>
        <v>0</v>
      </c>
      <c r="U71" s="139">
        <v>1</v>
      </c>
      <c r="V71" s="139">
        <f t="shared" si="21"/>
        <v>0</v>
      </c>
      <c r="W71" s="139"/>
      <c r="X71" s="139">
        <f t="shared" si="22"/>
        <v>2971</v>
      </c>
      <c r="Y71" s="139">
        <f t="shared" si="23"/>
        <v>2971</v>
      </c>
      <c r="Z71" s="139">
        <v>1</v>
      </c>
      <c r="AA71" s="139">
        <f t="shared" si="24"/>
        <v>2971</v>
      </c>
      <c r="AB71" s="139">
        <f t="shared" si="25"/>
        <v>2971</v>
      </c>
      <c r="AC71" s="139">
        <f t="shared" si="26"/>
        <v>0</v>
      </c>
      <c r="AD71" s="115">
        <f t="shared" si="27"/>
        <v>1998.25</v>
      </c>
      <c r="AE71" s="115">
        <f t="shared" si="28"/>
        <v>2018</v>
      </c>
      <c r="AF71" s="115">
        <f t="shared" si="29"/>
        <v>2008.25</v>
      </c>
      <c r="AG71" s="115">
        <f t="shared" si="30"/>
        <v>2017</v>
      </c>
      <c r="AH71" s="115">
        <f t="shared" si="31"/>
        <v>-8.3333333333333329E-2</v>
      </c>
    </row>
    <row r="72" spans="1:34">
      <c r="A72" s="110">
        <v>126207</v>
      </c>
      <c r="C72" s="7">
        <v>1</v>
      </c>
      <c r="D72" s="136" t="str">
        <f>+D60</f>
        <v>4 Yd. Cont.</v>
      </c>
      <c r="E72" s="119">
        <v>1998</v>
      </c>
      <c r="F72" s="110">
        <v>8</v>
      </c>
      <c r="G72" s="159">
        <v>0</v>
      </c>
      <c r="H72" s="159"/>
      <c r="I72" s="119" t="s">
        <v>103</v>
      </c>
      <c r="J72" s="119">
        <v>10</v>
      </c>
      <c r="K72" s="113">
        <f t="shared" si="16"/>
        <v>2008</v>
      </c>
      <c r="L72" s="160"/>
      <c r="N72" s="138">
        <v>1692</v>
      </c>
      <c r="O72" s="147"/>
      <c r="P72" s="139">
        <f t="shared" si="17"/>
        <v>1692</v>
      </c>
      <c r="Q72" s="139">
        <f t="shared" si="18"/>
        <v>14.1</v>
      </c>
      <c r="R72" s="139">
        <f t="shared" si="19"/>
        <v>0</v>
      </c>
      <c r="S72" s="139"/>
      <c r="T72" s="139">
        <f t="shared" si="20"/>
        <v>0</v>
      </c>
      <c r="U72" s="139">
        <v>1</v>
      </c>
      <c r="V72" s="139">
        <f t="shared" si="21"/>
        <v>0</v>
      </c>
      <c r="W72" s="139"/>
      <c r="X72" s="139">
        <f t="shared" si="22"/>
        <v>1692</v>
      </c>
      <c r="Y72" s="139">
        <f t="shared" si="23"/>
        <v>1692</v>
      </c>
      <c r="Z72" s="139">
        <v>1</v>
      </c>
      <c r="AA72" s="139">
        <f t="shared" si="24"/>
        <v>1692</v>
      </c>
      <c r="AB72" s="139">
        <f t="shared" si="25"/>
        <v>1692</v>
      </c>
      <c r="AC72" s="139">
        <f t="shared" si="26"/>
        <v>0</v>
      </c>
      <c r="AD72" s="115">
        <f t="shared" si="27"/>
        <v>1998.5833333333333</v>
      </c>
      <c r="AE72" s="115">
        <f t="shared" si="28"/>
        <v>2018</v>
      </c>
      <c r="AF72" s="115">
        <f t="shared" si="29"/>
        <v>2008.5833333333333</v>
      </c>
      <c r="AG72" s="115">
        <f t="shared" si="30"/>
        <v>2017</v>
      </c>
      <c r="AH72" s="115">
        <f t="shared" si="31"/>
        <v>-8.3333333333333329E-2</v>
      </c>
    </row>
    <row r="73" spans="1:34">
      <c r="C73" s="7">
        <v>1</v>
      </c>
      <c r="D73" s="136" t="str">
        <f>+D71</f>
        <v>Containers</v>
      </c>
      <c r="E73" s="119">
        <v>1998</v>
      </c>
      <c r="F73" s="110">
        <v>10</v>
      </c>
      <c r="G73" s="159">
        <v>0</v>
      </c>
      <c r="H73" s="159"/>
      <c r="I73" s="119" t="s">
        <v>103</v>
      </c>
      <c r="J73" s="119">
        <v>10</v>
      </c>
      <c r="K73" s="113">
        <f t="shared" si="16"/>
        <v>2008</v>
      </c>
      <c r="L73" s="160"/>
      <c r="N73" s="138">
        <v>4494</v>
      </c>
      <c r="O73" s="147"/>
      <c r="P73" s="139">
        <f t="shared" si="17"/>
        <v>4494</v>
      </c>
      <c r="Q73" s="139">
        <f t="shared" si="18"/>
        <v>37.449999999999996</v>
      </c>
      <c r="R73" s="139">
        <f t="shared" si="19"/>
        <v>0</v>
      </c>
      <c r="S73" s="139"/>
      <c r="T73" s="139">
        <f t="shared" si="20"/>
        <v>0</v>
      </c>
      <c r="U73" s="139">
        <v>1</v>
      </c>
      <c r="V73" s="139">
        <f t="shared" si="21"/>
        <v>0</v>
      </c>
      <c r="W73" s="139"/>
      <c r="X73" s="139">
        <f t="shared" si="22"/>
        <v>4494</v>
      </c>
      <c r="Y73" s="139">
        <f t="shared" si="23"/>
        <v>4494</v>
      </c>
      <c r="Z73" s="139">
        <v>1</v>
      </c>
      <c r="AA73" s="139">
        <f t="shared" si="24"/>
        <v>4494</v>
      </c>
      <c r="AB73" s="139">
        <f t="shared" si="25"/>
        <v>4494</v>
      </c>
      <c r="AC73" s="139">
        <f t="shared" si="26"/>
        <v>0</v>
      </c>
      <c r="AD73" s="115">
        <f t="shared" si="27"/>
        <v>1998.75</v>
      </c>
      <c r="AE73" s="115">
        <f t="shared" si="28"/>
        <v>2018</v>
      </c>
      <c r="AF73" s="115">
        <f t="shared" si="29"/>
        <v>2008.75</v>
      </c>
      <c r="AG73" s="115">
        <f t="shared" si="30"/>
        <v>2017</v>
      </c>
      <c r="AH73" s="115">
        <f t="shared" si="31"/>
        <v>-8.3333333333333329E-2</v>
      </c>
    </row>
    <row r="74" spans="1:34">
      <c r="C74" s="7"/>
      <c r="D74" s="136" t="str">
        <f>+D73</f>
        <v>Containers</v>
      </c>
      <c r="E74" s="119">
        <v>1999</v>
      </c>
      <c r="F74" s="110">
        <v>3</v>
      </c>
      <c r="G74" s="159">
        <v>0</v>
      </c>
      <c r="H74" s="159"/>
      <c r="I74" s="119" t="s">
        <v>103</v>
      </c>
      <c r="J74" s="119">
        <v>10</v>
      </c>
      <c r="K74" s="113">
        <f t="shared" si="16"/>
        <v>2009</v>
      </c>
      <c r="L74" s="160"/>
      <c r="N74" s="138">
        <v>2751</v>
      </c>
      <c r="O74" s="147"/>
      <c r="P74" s="139">
        <f t="shared" si="17"/>
        <v>2751</v>
      </c>
      <c r="Q74" s="139">
        <f t="shared" si="18"/>
        <v>22.925000000000001</v>
      </c>
      <c r="R74" s="139">
        <f t="shared" si="19"/>
        <v>0</v>
      </c>
      <c r="S74" s="139"/>
      <c r="T74" s="139">
        <f t="shared" si="20"/>
        <v>0</v>
      </c>
      <c r="U74" s="139">
        <v>1</v>
      </c>
      <c r="V74" s="139">
        <f t="shared" si="21"/>
        <v>0</v>
      </c>
      <c r="W74" s="139"/>
      <c r="X74" s="139">
        <f t="shared" si="22"/>
        <v>2751</v>
      </c>
      <c r="Y74" s="139">
        <f t="shared" si="23"/>
        <v>2751</v>
      </c>
      <c r="Z74" s="139">
        <v>1</v>
      </c>
      <c r="AA74" s="139">
        <f t="shared" si="24"/>
        <v>2751</v>
      </c>
      <c r="AB74" s="139">
        <f t="shared" si="25"/>
        <v>2751</v>
      </c>
      <c r="AC74" s="139">
        <f t="shared" si="26"/>
        <v>0</v>
      </c>
      <c r="AD74" s="115">
        <f t="shared" si="27"/>
        <v>1999.1666666666667</v>
      </c>
      <c r="AE74" s="115">
        <f t="shared" si="28"/>
        <v>2018</v>
      </c>
      <c r="AF74" s="115">
        <f t="shared" si="29"/>
        <v>2009.1666666666667</v>
      </c>
      <c r="AG74" s="115">
        <f t="shared" si="30"/>
        <v>2017</v>
      </c>
      <c r="AH74" s="115">
        <f t="shared" si="31"/>
        <v>-8.3333333333333329E-2</v>
      </c>
    </row>
    <row r="75" spans="1:34">
      <c r="C75" s="7"/>
      <c r="D75" s="136" t="str">
        <f>+D74</f>
        <v>Containers</v>
      </c>
      <c r="E75" s="119">
        <v>1999</v>
      </c>
      <c r="F75" s="110">
        <v>7</v>
      </c>
      <c r="G75" s="159">
        <v>0</v>
      </c>
      <c r="H75" s="159"/>
      <c r="I75" s="119" t="s">
        <v>103</v>
      </c>
      <c r="J75" s="119">
        <v>10</v>
      </c>
      <c r="K75" s="113">
        <f t="shared" si="16"/>
        <v>2009</v>
      </c>
      <c r="L75" s="160"/>
      <c r="N75" s="138">
        <v>1740</v>
      </c>
      <c r="O75" s="147"/>
      <c r="P75" s="139">
        <f t="shared" si="17"/>
        <v>1740</v>
      </c>
      <c r="Q75" s="139">
        <f t="shared" si="18"/>
        <v>14.5</v>
      </c>
      <c r="R75" s="139">
        <f t="shared" si="19"/>
        <v>0</v>
      </c>
      <c r="S75" s="139"/>
      <c r="T75" s="139">
        <f t="shared" si="20"/>
        <v>0</v>
      </c>
      <c r="U75" s="139">
        <v>1</v>
      </c>
      <c r="V75" s="139">
        <f t="shared" si="21"/>
        <v>0</v>
      </c>
      <c r="W75" s="139"/>
      <c r="X75" s="139">
        <f t="shared" si="22"/>
        <v>1740</v>
      </c>
      <c r="Y75" s="139">
        <f t="shared" si="23"/>
        <v>1740</v>
      </c>
      <c r="Z75" s="139">
        <v>1</v>
      </c>
      <c r="AA75" s="139">
        <f t="shared" si="24"/>
        <v>1740</v>
      </c>
      <c r="AB75" s="139">
        <f t="shared" si="25"/>
        <v>1740</v>
      </c>
      <c r="AC75" s="139">
        <f t="shared" si="26"/>
        <v>0</v>
      </c>
      <c r="AD75" s="115">
        <f t="shared" si="27"/>
        <v>1999.5</v>
      </c>
      <c r="AE75" s="115">
        <f t="shared" si="28"/>
        <v>2018</v>
      </c>
      <c r="AF75" s="115">
        <f t="shared" si="29"/>
        <v>2009.5</v>
      </c>
      <c r="AG75" s="115">
        <f t="shared" si="30"/>
        <v>2017</v>
      </c>
      <c r="AH75" s="115">
        <f t="shared" si="31"/>
        <v>-8.3333333333333329E-2</v>
      </c>
    </row>
    <row r="76" spans="1:34">
      <c r="A76" s="97">
        <v>189675</v>
      </c>
      <c r="B76" s="97"/>
      <c r="C76" s="7"/>
      <c r="D76" s="136" t="s">
        <v>181</v>
      </c>
      <c r="E76" s="119">
        <v>1999</v>
      </c>
      <c r="F76" s="110">
        <v>9</v>
      </c>
      <c r="G76" s="159">
        <v>0</v>
      </c>
      <c r="H76" s="159"/>
      <c r="I76" s="119" t="s">
        <v>103</v>
      </c>
      <c r="J76" s="119">
        <v>10</v>
      </c>
      <c r="K76" s="113">
        <f t="shared" si="16"/>
        <v>2009</v>
      </c>
      <c r="L76" s="160"/>
      <c r="N76" s="138">
        <v>9489</v>
      </c>
      <c r="O76" s="147"/>
      <c r="P76" s="139">
        <f t="shared" si="17"/>
        <v>9489</v>
      </c>
      <c r="Q76" s="139">
        <f t="shared" si="18"/>
        <v>79.075000000000003</v>
      </c>
      <c r="R76" s="139">
        <f t="shared" si="19"/>
        <v>0</v>
      </c>
      <c r="S76" s="139"/>
      <c r="T76" s="139">
        <f t="shared" si="20"/>
        <v>0</v>
      </c>
      <c r="U76" s="139">
        <v>1</v>
      </c>
      <c r="V76" s="139">
        <f t="shared" si="21"/>
        <v>0</v>
      </c>
      <c r="W76" s="139"/>
      <c r="X76" s="139">
        <f t="shared" si="22"/>
        <v>9489</v>
      </c>
      <c r="Y76" s="139">
        <f t="shared" si="23"/>
        <v>9489</v>
      </c>
      <c r="Z76" s="139">
        <v>1</v>
      </c>
      <c r="AA76" s="139">
        <f t="shared" si="24"/>
        <v>9489</v>
      </c>
      <c r="AB76" s="139">
        <f t="shared" si="25"/>
        <v>9489</v>
      </c>
      <c r="AC76" s="139">
        <f t="shared" si="26"/>
        <v>0</v>
      </c>
      <c r="AD76" s="115">
        <f t="shared" si="27"/>
        <v>1999.6666666666667</v>
      </c>
      <c r="AE76" s="115">
        <f t="shared" si="28"/>
        <v>2018</v>
      </c>
      <c r="AF76" s="115">
        <f t="shared" si="29"/>
        <v>2009.6666666666667</v>
      </c>
      <c r="AG76" s="115">
        <f t="shared" si="30"/>
        <v>2017</v>
      </c>
      <c r="AH76" s="115">
        <f t="shared" si="31"/>
        <v>-8.3333333333333329E-2</v>
      </c>
    </row>
    <row r="77" spans="1:34">
      <c r="C77" s="7"/>
      <c r="D77" s="136" t="s">
        <v>182</v>
      </c>
      <c r="E77" s="119">
        <v>1999</v>
      </c>
      <c r="F77" s="110">
        <v>12</v>
      </c>
      <c r="G77" s="159">
        <v>0</v>
      </c>
      <c r="H77" s="159"/>
      <c r="I77" s="119" t="s">
        <v>103</v>
      </c>
      <c r="J77" s="119">
        <v>10</v>
      </c>
      <c r="K77" s="113">
        <f t="shared" ref="K77:K108" si="32">E77+J77</f>
        <v>2009</v>
      </c>
      <c r="L77" s="160"/>
      <c r="N77" s="138">
        <v>1199.9100000000001</v>
      </c>
      <c r="O77" s="147"/>
      <c r="P77" s="139">
        <f t="shared" ref="P77:P108" si="33">N77-N77*G77</f>
        <v>1199.9100000000001</v>
      </c>
      <c r="Q77" s="139">
        <f t="shared" ref="Q77:Q108" si="34">P77/J77/12</f>
        <v>9.9992500000000017</v>
      </c>
      <c r="R77" s="139">
        <f t="shared" ref="R77:R108" si="35">IF(O77&gt;0,0,IF(OR(AD77&gt;AE77,AF77&lt;AG77),0,IF(AND(AF77&gt;=AG77,AF77&lt;=AE77),Q77*((AF77-AG77)*12),IF(AND(AG77&lt;=AD77,AE77&gt;=AD77),((AE77-AD77)*12)*Q77,IF(AF77&gt;AE77,12*Q77,0)))))</f>
        <v>0</v>
      </c>
      <c r="S77" s="139"/>
      <c r="T77" s="139">
        <f t="shared" ref="T77:T108" si="36">IF(S77&gt;0,S77,R77)</f>
        <v>0</v>
      </c>
      <c r="U77" s="139">
        <v>1</v>
      </c>
      <c r="V77" s="139">
        <f t="shared" ref="V77:V108" si="37">U77*SUM(R77:S77)</f>
        <v>0</v>
      </c>
      <c r="W77" s="139"/>
      <c r="X77" s="139">
        <f t="shared" ref="X77:X108" si="38">IF(AD77&gt;AE77,0,IF(AF77&lt;AG77,P77,IF(AND(AF77&gt;=AG77,AF77&lt;=AE77),(P77-T77),IF(AND(AG77&lt;=AD77,AE77&gt;=AD77),0,IF(AF77&gt;AE77,((AG77-AD77)*12)*Q77,0)))))</f>
        <v>1199.9100000000001</v>
      </c>
      <c r="Y77" s="139">
        <f t="shared" ref="Y77:Y108" si="39">X77*U77</f>
        <v>1199.9100000000001</v>
      </c>
      <c r="Z77" s="139">
        <v>1</v>
      </c>
      <c r="AA77" s="139">
        <f t="shared" ref="AA77:AA108" si="40">Y77*Z77</f>
        <v>1199.9100000000001</v>
      </c>
      <c r="AB77" s="139">
        <f t="shared" ref="AB77:AB108" si="41">IF(O77&gt;0,0,AA77+V77*Z77)*Z77</f>
        <v>1199.9100000000001</v>
      </c>
      <c r="AC77" s="139">
        <f t="shared" ref="AC77:AC108" si="42">IF(O77&gt;0,(N77-AA77)/2,IF(AD77&gt;=AG77,(((N77*U77)*Z77)-AB77)/2,((((N77*U77)*Z77)-AA77)+(((N77*U77)*Z77)-AB77))/2))</f>
        <v>0</v>
      </c>
      <c r="AD77" s="115">
        <f t="shared" ref="AD77:AD108" si="43">$E77+(($F77-1)/12)</f>
        <v>1999.9166666666667</v>
      </c>
      <c r="AE77" s="115">
        <f t="shared" ref="AE77:AE108" si="44">($P$5+1)-($P$2/12)</f>
        <v>2018</v>
      </c>
      <c r="AF77" s="115">
        <f t="shared" ref="AF77:AF108" si="45">$K77+(($F77-1)/12)</f>
        <v>2009.9166666666667</v>
      </c>
      <c r="AG77" s="115">
        <f t="shared" ref="AG77:AG108" si="46">$P$4+($P$3/12)</f>
        <v>2017</v>
      </c>
      <c r="AH77" s="115">
        <f t="shared" ref="AH77:AH108" si="47">$L77+(($M77-1)/12)</f>
        <v>-8.3333333333333329E-2</v>
      </c>
    </row>
    <row r="78" spans="1:34">
      <c r="C78" s="7"/>
      <c r="D78" s="136" t="s">
        <v>183</v>
      </c>
      <c r="E78" s="119">
        <v>1999</v>
      </c>
      <c r="F78" s="110">
        <v>12</v>
      </c>
      <c r="G78" s="159">
        <v>0</v>
      </c>
      <c r="H78" s="159"/>
      <c r="I78" s="119" t="s">
        <v>103</v>
      </c>
      <c r="J78" s="119">
        <v>10</v>
      </c>
      <c r="K78" s="113">
        <f t="shared" si="32"/>
        <v>2009</v>
      </c>
      <c r="L78" s="160"/>
      <c r="N78" s="138">
        <v>2578.19</v>
      </c>
      <c r="O78" s="147"/>
      <c r="P78" s="139">
        <f t="shared" si="33"/>
        <v>2578.19</v>
      </c>
      <c r="Q78" s="139">
        <f t="shared" si="34"/>
        <v>21.484916666666667</v>
      </c>
      <c r="R78" s="139">
        <f t="shared" si="35"/>
        <v>0</v>
      </c>
      <c r="S78" s="139"/>
      <c r="T78" s="139">
        <f t="shared" si="36"/>
        <v>0</v>
      </c>
      <c r="U78" s="139">
        <v>1</v>
      </c>
      <c r="V78" s="139">
        <f t="shared" si="37"/>
        <v>0</v>
      </c>
      <c r="W78" s="139"/>
      <c r="X78" s="139">
        <f t="shared" si="38"/>
        <v>2578.19</v>
      </c>
      <c r="Y78" s="139">
        <f t="shared" si="39"/>
        <v>2578.19</v>
      </c>
      <c r="Z78" s="139">
        <v>1</v>
      </c>
      <c r="AA78" s="139">
        <f t="shared" si="40"/>
        <v>2578.19</v>
      </c>
      <c r="AB78" s="139">
        <f t="shared" si="41"/>
        <v>2578.19</v>
      </c>
      <c r="AC78" s="139">
        <f t="shared" si="42"/>
        <v>0</v>
      </c>
      <c r="AD78" s="115">
        <f t="shared" si="43"/>
        <v>1999.9166666666667</v>
      </c>
      <c r="AE78" s="115">
        <f t="shared" si="44"/>
        <v>2018</v>
      </c>
      <c r="AF78" s="115">
        <f t="shared" si="45"/>
        <v>2009.9166666666667</v>
      </c>
      <c r="AG78" s="115">
        <f t="shared" si="46"/>
        <v>2017</v>
      </c>
      <c r="AH78" s="115">
        <f t="shared" si="47"/>
        <v>-8.3333333333333329E-2</v>
      </c>
    </row>
    <row r="79" spans="1:34">
      <c r="C79" s="7"/>
      <c r="D79" s="136" t="s">
        <v>184</v>
      </c>
      <c r="E79" s="119">
        <v>1999</v>
      </c>
      <c r="F79" s="110">
        <v>12</v>
      </c>
      <c r="G79" s="159">
        <v>0</v>
      </c>
      <c r="H79" s="159"/>
      <c r="I79" s="119" t="s">
        <v>103</v>
      </c>
      <c r="J79" s="119">
        <v>10</v>
      </c>
      <c r="K79" s="113">
        <f t="shared" si="32"/>
        <v>2009</v>
      </c>
      <c r="L79" s="160"/>
      <c r="N79" s="138">
        <v>4367.96</v>
      </c>
      <c r="O79" s="147"/>
      <c r="P79" s="139">
        <f t="shared" si="33"/>
        <v>4367.96</v>
      </c>
      <c r="Q79" s="139">
        <f t="shared" si="34"/>
        <v>36.399666666666668</v>
      </c>
      <c r="R79" s="139">
        <f t="shared" si="35"/>
        <v>0</v>
      </c>
      <c r="S79" s="139"/>
      <c r="T79" s="139">
        <f t="shared" si="36"/>
        <v>0</v>
      </c>
      <c r="U79" s="139">
        <v>1</v>
      </c>
      <c r="V79" s="139">
        <f t="shared" si="37"/>
        <v>0</v>
      </c>
      <c r="W79" s="139"/>
      <c r="X79" s="139">
        <f t="shared" si="38"/>
        <v>4367.96</v>
      </c>
      <c r="Y79" s="139">
        <f t="shared" si="39"/>
        <v>4367.96</v>
      </c>
      <c r="Z79" s="139">
        <v>1</v>
      </c>
      <c r="AA79" s="139">
        <f t="shared" si="40"/>
        <v>4367.96</v>
      </c>
      <c r="AB79" s="139">
        <f t="shared" si="41"/>
        <v>4367.96</v>
      </c>
      <c r="AC79" s="139">
        <f t="shared" si="42"/>
        <v>0</v>
      </c>
      <c r="AD79" s="115">
        <f t="shared" si="43"/>
        <v>1999.9166666666667</v>
      </c>
      <c r="AE79" s="115">
        <f t="shared" si="44"/>
        <v>2018</v>
      </c>
      <c r="AF79" s="115">
        <f t="shared" si="45"/>
        <v>2009.9166666666667</v>
      </c>
      <c r="AG79" s="115">
        <f t="shared" si="46"/>
        <v>2017</v>
      </c>
      <c r="AH79" s="115">
        <f t="shared" si="47"/>
        <v>-8.3333333333333329E-2</v>
      </c>
    </row>
    <row r="80" spans="1:34">
      <c r="C80" s="7"/>
      <c r="D80" s="136" t="s">
        <v>185</v>
      </c>
      <c r="E80" s="119">
        <v>2000</v>
      </c>
      <c r="F80" s="110">
        <v>7</v>
      </c>
      <c r="G80" s="159">
        <v>0</v>
      </c>
      <c r="H80" s="159"/>
      <c r="I80" s="119" t="s">
        <v>103</v>
      </c>
      <c r="J80" s="119">
        <v>10</v>
      </c>
      <c r="K80" s="113">
        <f t="shared" si="32"/>
        <v>2010</v>
      </c>
      <c r="L80" s="160"/>
      <c r="N80" s="138">
        <v>1491.78</v>
      </c>
      <c r="O80" s="147"/>
      <c r="P80" s="139">
        <f t="shared" si="33"/>
        <v>1491.78</v>
      </c>
      <c r="Q80" s="139">
        <f t="shared" si="34"/>
        <v>12.4315</v>
      </c>
      <c r="R80" s="139">
        <f t="shared" si="35"/>
        <v>0</v>
      </c>
      <c r="S80" s="139"/>
      <c r="T80" s="139">
        <f t="shared" si="36"/>
        <v>0</v>
      </c>
      <c r="U80" s="139">
        <v>1</v>
      </c>
      <c r="V80" s="139">
        <f t="shared" si="37"/>
        <v>0</v>
      </c>
      <c r="W80" s="139"/>
      <c r="X80" s="139">
        <f t="shared" si="38"/>
        <v>1491.78</v>
      </c>
      <c r="Y80" s="139">
        <f t="shared" si="39"/>
        <v>1491.78</v>
      </c>
      <c r="Z80" s="139">
        <v>1</v>
      </c>
      <c r="AA80" s="139">
        <f t="shared" si="40"/>
        <v>1491.78</v>
      </c>
      <c r="AB80" s="139">
        <f t="shared" si="41"/>
        <v>1491.78</v>
      </c>
      <c r="AC80" s="139">
        <f t="shared" si="42"/>
        <v>0</v>
      </c>
      <c r="AD80" s="115">
        <f t="shared" si="43"/>
        <v>2000.5</v>
      </c>
      <c r="AE80" s="115">
        <f t="shared" si="44"/>
        <v>2018</v>
      </c>
      <c r="AF80" s="115">
        <f t="shared" si="45"/>
        <v>2010.5</v>
      </c>
      <c r="AG80" s="115">
        <f t="shared" si="46"/>
        <v>2017</v>
      </c>
      <c r="AH80" s="115">
        <f t="shared" si="47"/>
        <v>-8.3333333333333329E-2</v>
      </c>
    </row>
    <row r="81" spans="1:34">
      <c r="C81" s="7"/>
      <c r="D81" s="136" t="s">
        <v>186</v>
      </c>
      <c r="E81" s="119">
        <v>2000</v>
      </c>
      <c r="F81" s="110">
        <v>8</v>
      </c>
      <c r="G81" s="159">
        <v>0</v>
      </c>
      <c r="H81" s="159"/>
      <c r="I81" s="119" t="s">
        <v>103</v>
      </c>
      <c r="J81" s="119">
        <v>10</v>
      </c>
      <c r="K81" s="113">
        <f t="shared" si="32"/>
        <v>2010</v>
      </c>
      <c r="L81" s="160"/>
      <c r="N81" s="138">
        <v>713.46</v>
      </c>
      <c r="O81" s="147"/>
      <c r="P81" s="139">
        <f t="shared" si="33"/>
        <v>713.46</v>
      </c>
      <c r="Q81" s="139">
        <f t="shared" si="34"/>
        <v>5.9455</v>
      </c>
      <c r="R81" s="139">
        <f t="shared" si="35"/>
        <v>0</v>
      </c>
      <c r="S81" s="139"/>
      <c r="T81" s="139">
        <f t="shared" si="36"/>
        <v>0</v>
      </c>
      <c r="U81" s="139">
        <v>1</v>
      </c>
      <c r="V81" s="139">
        <f t="shared" si="37"/>
        <v>0</v>
      </c>
      <c r="W81" s="139"/>
      <c r="X81" s="139">
        <f t="shared" si="38"/>
        <v>713.46</v>
      </c>
      <c r="Y81" s="139">
        <f t="shared" si="39"/>
        <v>713.46</v>
      </c>
      <c r="Z81" s="139">
        <v>1</v>
      </c>
      <c r="AA81" s="139">
        <f t="shared" si="40"/>
        <v>713.46</v>
      </c>
      <c r="AB81" s="139">
        <f t="shared" si="41"/>
        <v>713.46</v>
      </c>
      <c r="AC81" s="139">
        <f t="shared" si="42"/>
        <v>0</v>
      </c>
      <c r="AD81" s="115">
        <f t="shared" si="43"/>
        <v>2000.5833333333333</v>
      </c>
      <c r="AE81" s="115">
        <f t="shared" si="44"/>
        <v>2018</v>
      </c>
      <c r="AF81" s="115">
        <f t="shared" si="45"/>
        <v>2010.5833333333333</v>
      </c>
      <c r="AG81" s="115">
        <f t="shared" si="46"/>
        <v>2017</v>
      </c>
      <c r="AH81" s="115">
        <f t="shared" si="47"/>
        <v>-8.3333333333333329E-2</v>
      </c>
    </row>
    <row r="82" spans="1:34">
      <c r="C82" s="7"/>
      <c r="D82" s="136" t="s">
        <v>187</v>
      </c>
      <c r="E82" s="119">
        <v>2000</v>
      </c>
      <c r="F82" s="110">
        <v>8</v>
      </c>
      <c r="G82" s="159">
        <v>0</v>
      </c>
      <c r="H82" s="159"/>
      <c r="I82" s="119" t="s">
        <v>103</v>
      </c>
      <c r="J82" s="119">
        <v>10</v>
      </c>
      <c r="K82" s="113">
        <f t="shared" si="32"/>
        <v>2010</v>
      </c>
      <c r="L82" s="160"/>
      <c r="N82" s="138">
        <v>778.32</v>
      </c>
      <c r="O82" s="147"/>
      <c r="P82" s="139">
        <f t="shared" si="33"/>
        <v>778.32</v>
      </c>
      <c r="Q82" s="139">
        <f t="shared" si="34"/>
        <v>6.4860000000000007</v>
      </c>
      <c r="R82" s="139">
        <f t="shared" si="35"/>
        <v>0</v>
      </c>
      <c r="S82" s="139"/>
      <c r="T82" s="139">
        <f t="shared" si="36"/>
        <v>0</v>
      </c>
      <c r="U82" s="139">
        <v>1</v>
      </c>
      <c r="V82" s="139">
        <f t="shared" si="37"/>
        <v>0</v>
      </c>
      <c r="W82" s="139"/>
      <c r="X82" s="139">
        <f t="shared" si="38"/>
        <v>778.32</v>
      </c>
      <c r="Y82" s="139">
        <f t="shared" si="39"/>
        <v>778.32</v>
      </c>
      <c r="Z82" s="139">
        <v>1</v>
      </c>
      <c r="AA82" s="139">
        <f t="shared" si="40"/>
        <v>778.32</v>
      </c>
      <c r="AB82" s="139">
        <f t="shared" si="41"/>
        <v>778.32</v>
      </c>
      <c r="AC82" s="139">
        <f t="shared" si="42"/>
        <v>0</v>
      </c>
      <c r="AD82" s="115">
        <f t="shared" si="43"/>
        <v>2000.5833333333333</v>
      </c>
      <c r="AE82" s="115">
        <f t="shared" si="44"/>
        <v>2018</v>
      </c>
      <c r="AF82" s="115">
        <f t="shared" si="45"/>
        <v>2010.5833333333333</v>
      </c>
      <c r="AG82" s="115">
        <f t="shared" si="46"/>
        <v>2017</v>
      </c>
      <c r="AH82" s="115">
        <f t="shared" si="47"/>
        <v>-8.3333333333333329E-2</v>
      </c>
    </row>
    <row r="83" spans="1:34">
      <c r="C83" s="7"/>
      <c r="D83" s="136" t="s">
        <v>180</v>
      </c>
      <c r="E83" s="119">
        <v>2000</v>
      </c>
      <c r="F83" s="110">
        <v>8</v>
      </c>
      <c r="G83" s="159">
        <v>0</v>
      </c>
      <c r="H83" s="159"/>
      <c r="I83" s="119" t="s">
        <v>103</v>
      </c>
      <c r="J83" s="119">
        <v>10</v>
      </c>
      <c r="K83" s="113">
        <f t="shared" si="32"/>
        <v>2010</v>
      </c>
      <c r="L83" s="160"/>
      <c r="N83" s="138">
        <v>6739.42</v>
      </c>
      <c r="O83" s="147"/>
      <c r="P83" s="139">
        <f t="shared" si="33"/>
        <v>6739.42</v>
      </c>
      <c r="Q83" s="139">
        <f t="shared" si="34"/>
        <v>56.161833333333334</v>
      </c>
      <c r="R83" s="139">
        <f t="shared" si="35"/>
        <v>0</v>
      </c>
      <c r="S83" s="139"/>
      <c r="T83" s="139">
        <f t="shared" si="36"/>
        <v>0</v>
      </c>
      <c r="U83" s="139">
        <v>1</v>
      </c>
      <c r="V83" s="139">
        <f t="shared" si="37"/>
        <v>0</v>
      </c>
      <c r="W83" s="139"/>
      <c r="X83" s="139">
        <f t="shared" si="38"/>
        <v>6739.42</v>
      </c>
      <c r="Y83" s="139">
        <f t="shared" si="39"/>
        <v>6739.42</v>
      </c>
      <c r="Z83" s="139">
        <v>1</v>
      </c>
      <c r="AA83" s="139">
        <f t="shared" si="40"/>
        <v>6739.42</v>
      </c>
      <c r="AB83" s="139">
        <f t="shared" si="41"/>
        <v>6739.42</v>
      </c>
      <c r="AC83" s="139">
        <f t="shared" si="42"/>
        <v>0</v>
      </c>
      <c r="AD83" s="115">
        <f t="shared" si="43"/>
        <v>2000.5833333333333</v>
      </c>
      <c r="AE83" s="115">
        <f t="shared" si="44"/>
        <v>2018</v>
      </c>
      <c r="AF83" s="115">
        <f t="shared" si="45"/>
        <v>2010.5833333333333</v>
      </c>
      <c r="AG83" s="115">
        <f t="shared" si="46"/>
        <v>2017</v>
      </c>
      <c r="AH83" s="115">
        <f t="shared" si="47"/>
        <v>-8.3333333333333329E-2</v>
      </c>
    </row>
    <row r="84" spans="1:34">
      <c r="C84" s="7"/>
      <c r="D84" s="136" t="s">
        <v>185</v>
      </c>
      <c r="E84" s="119">
        <v>2000</v>
      </c>
      <c r="F84" s="110">
        <v>10</v>
      </c>
      <c r="G84" s="159">
        <v>0</v>
      </c>
      <c r="H84" s="159"/>
      <c r="I84" s="119" t="s">
        <v>103</v>
      </c>
      <c r="J84" s="119">
        <v>10</v>
      </c>
      <c r="K84" s="113">
        <f t="shared" si="32"/>
        <v>2010</v>
      </c>
      <c r="L84" s="160"/>
      <c r="N84" s="138">
        <v>1459.35</v>
      </c>
      <c r="O84" s="147"/>
      <c r="P84" s="139">
        <f t="shared" si="33"/>
        <v>1459.35</v>
      </c>
      <c r="Q84" s="139">
        <f t="shared" si="34"/>
        <v>12.161250000000001</v>
      </c>
      <c r="R84" s="139">
        <f t="shared" si="35"/>
        <v>0</v>
      </c>
      <c r="S84" s="139"/>
      <c r="T84" s="139">
        <f t="shared" si="36"/>
        <v>0</v>
      </c>
      <c r="U84" s="139">
        <v>1</v>
      </c>
      <c r="V84" s="139">
        <f t="shared" si="37"/>
        <v>0</v>
      </c>
      <c r="W84" s="139"/>
      <c r="X84" s="139">
        <f t="shared" si="38"/>
        <v>1459.35</v>
      </c>
      <c r="Y84" s="139">
        <f t="shared" si="39"/>
        <v>1459.35</v>
      </c>
      <c r="Z84" s="139">
        <v>1</v>
      </c>
      <c r="AA84" s="139">
        <f t="shared" si="40"/>
        <v>1459.35</v>
      </c>
      <c r="AB84" s="139">
        <f t="shared" si="41"/>
        <v>1459.35</v>
      </c>
      <c r="AC84" s="139">
        <f t="shared" si="42"/>
        <v>0</v>
      </c>
      <c r="AD84" s="115">
        <f t="shared" si="43"/>
        <v>2000.75</v>
      </c>
      <c r="AE84" s="115">
        <f t="shared" si="44"/>
        <v>2018</v>
      </c>
      <c r="AF84" s="115">
        <f t="shared" si="45"/>
        <v>2010.75</v>
      </c>
      <c r="AG84" s="115">
        <f t="shared" si="46"/>
        <v>2017</v>
      </c>
      <c r="AH84" s="115">
        <f t="shared" si="47"/>
        <v>-8.3333333333333329E-2</v>
      </c>
    </row>
    <row r="85" spans="1:34">
      <c r="C85" s="7"/>
      <c r="D85" s="136" t="s">
        <v>188</v>
      </c>
      <c r="E85" s="119">
        <v>2000</v>
      </c>
      <c r="F85" s="110">
        <v>11</v>
      </c>
      <c r="G85" s="159">
        <v>0</v>
      </c>
      <c r="H85" s="159"/>
      <c r="I85" s="119" t="s">
        <v>103</v>
      </c>
      <c r="J85" s="119">
        <v>10</v>
      </c>
      <c r="K85" s="113">
        <f t="shared" si="32"/>
        <v>2010</v>
      </c>
      <c r="L85" s="160"/>
      <c r="N85" s="138">
        <f>610*1.081</f>
        <v>659.41</v>
      </c>
      <c r="O85" s="147"/>
      <c r="P85" s="139">
        <f t="shared" si="33"/>
        <v>659.41</v>
      </c>
      <c r="Q85" s="139">
        <f t="shared" si="34"/>
        <v>5.4950833333333335</v>
      </c>
      <c r="R85" s="139">
        <f t="shared" si="35"/>
        <v>0</v>
      </c>
      <c r="S85" s="139"/>
      <c r="T85" s="139">
        <f t="shared" si="36"/>
        <v>0</v>
      </c>
      <c r="U85" s="139">
        <v>1</v>
      </c>
      <c r="V85" s="139">
        <f t="shared" si="37"/>
        <v>0</v>
      </c>
      <c r="W85" s="139"/>
      <c r="X85" s="139">
        <f t="shared" si="38"/>
        <v>659.41</v>
      </c>
      <c r="Y85" s="139">
        <f t="shared" si="39"/>
        <v>659.41</v>
      </c>
      <c r="Z85" s="139">
        <v>1</v>
      </c>
      <c r="AA85" s="139">
        <f t="shared" si="40"/>
        <v>659.41</v>
      </c>
      <c r="AB85" s="139">
        <f t="shared" si="41"/>
        <v>659.41</v>
      </c>
      <c r="AC85" s="139">
        <f t="shared" si="42"/>
        <v>0</v>
      </c>
      <c r="AD85" s="115">
        <f t="shared" si="43"/>
        <v>2000.8333333333333</v>
      </c>
      <c r="AE85" s="115">
        <f t="shared" si="44"/>
        <v>2018</v>
      </c>
      <c r="AF85" s="115">
        <f t="shared" si="45"/>
        <v>2010.8333333333333</v>
      </c>
      <c r="AG85" s="115">
        <f t="shared" si="46"/>
        <v>2017</v>
      </c>
      <c r="AH85" s="115">
        <f t="shared" si="47"/>
        <v>-8.3333333333333329E-2</v>
      </c>
    </row>
    <row r="86" spans="1:34">
      <c r="C86" s="7"/>
      <c r="D86" s="136" t="s">
        <v>189</v>
      </c>
      <c r="E86" s="119">
        <v>2000</v>
      </c>
      <c r="F86" s="110">
        <v>11</v>
      </c>
      <c r="G86" s="159">
        <v>0</v>
      </c>
      <c r="H86" s="159"/>
      <c r="I86" s="119" t="s">
        <v>103</v>
      </c>
      <c r="J86" s="119">
        <v>10</v>
      </c>
      <c r="K86" s="113">
        <f t="shared" si="32"/>
        <v>2010</v>
      </c>
      <c r="L86" s="160"/>
      <c r="N86" s="138">
        <f>740*1.081</f>
        <v>799.93999999999994</v>
      </c>
      <c r="O86" s="147"/>
      <c r="P86" s="139">
        <f t="shared" si="33"/>
        <v>799.93999999999994</v>
      </c>
      <c r="Q86" s="139">
        <f t="shared" si="34"/>
        <v>6.6661666666666664</v>
      </c>
      <c r="R86" s="139">
        <f t="shared" si="35"/>
        <v>0</v>
      </c>
      <c r="S86" s="139"/>
      <c r="T86" s="139">
        <f t="shared" si="36"/>
        <v>0</v>
      </c>
      <c r="U86" s="139">
        <v>1</v>
      </c>
      <c r="V86" s="139">
        <f t="shared" si="37"/>
        <v>0</v>
      </c>
      <c r="W86" s="139"/>
      <c r="X86" s="139">
        <f t="shared" si="38"/>
        <v>799.93999999999994</v>
      </c>
      <c r="Y86" s="139">
        <f t="shared" si="39"/>
        <v>799.93999999999994</v>
      </c>
      <c r="Z86" s="139">
        <v>1</v>
      </c>
      <c r="AA86" s="139">
        <f t="shared" si="40"/>
        <v>799.93999999999994</v>
      </c>
      <c r="AB86" s="139">
        <f t="shared" si="41"/>
        <v>799.93999999999994</v>
      </c>
      <c r="AC86" s="139">
        <f t="shared" si="42"/>
        <v>0</v>
      </c>
      <c r="AD86" s="115">
        <f t="shared" si="43"/>
        <v>2000.8333333333333</v>
      </c>
      <c r="AE86" s="115">
        <f t="shared" si="44"/>
        <v>2018</v>
      </c>
      <c r="AF86" s="115">
        <f t="shared" si="45"/>
        <v>2010.8333333333333</v>
      </c>
      <c r="AG86" s="115">
        <f t="shared" si="46"/>
        <v>2017</v>
      </c>
      <c r="AH86" s="115">
        <f t="shared" si="47"/>
        <v>-8.3333333333333329E-2</v>
      </c>
    </row>
    <row r="87" spans="1:34">
      <c r="C87" s="7"/>
      <c r="D87" s="148" t="s">
        <v>190</v>
      </c>
      <c r="E87" s="119">
        <v>2000</v>
      </c>
      <c r="F87" s="110">
        <v>12</v>
      </c>
      <c r="G87" s="159">
        <v>0</v>
      </c>
      <c r="H87" s="159"/>
      <c r="I87" s="119" t="s">
        <v>103</v>
      </c>
      <c r="J87" s="119">
        <v>10</v>
      </c>
      <c r="K87" s="113">
        <f t="shared" si="32"/>
        <v>2010</v>
      </c>
      <c r="L87" s="160"/>
      <c r="N87" s="138">
        <v>2788.98</v>
      </c>
      <c r="O87" s="147"/>
      <c r="P87" s="139">
        <f t="shared" si="33"/>
        <v>2788.98</v>
      </c>
      <c r="Q87" s="139">
        <f t="shared" si="34"/>
        <v>23.241500000000002</v>
      </c>
      <c r="R87" s="139">
        <f t="shared" si="35"/>
        <v>0</v>
      </c>
      <c r="S87" s="139"/>
      <c r="T87" s="139">
        <f t="shared" si="36"/>
        <v>0</v>
      </c>
      <c r="U87" s="139">
        <v>1</v>
      </c>
      <c r="V87" s="139">
        <f t="shared" si="37"/>
        <v>0</v>
      </c>
      <c r="W87" s="139"/>
      <c r="X87" s="139">
        <f t="shared" si="38"/>
        <v>2788.98</v>
      </c>
      <c r="Y87" s="139">
        <f t="shared" si="39"/>
        <v>2788.98</v>
      </c>
      <c r="Z87" s="139">
        <v>1</v>
      </c>
      <c r="AA87" s="139">
        <f t="shared" si="40"/>
        <v>2788.98</v>
      </c>
      <c r="AB87" s="139">
        <f t="shared" si="41"/>
        <v>2788.98</v>
      </c>
      <c r="AC87" s="139">
        <f t="shared" si="42"/>
        <v>0</v>
      </c>
      <c r="AD87" s="115">
        <f t="shared" si="43"/>
        <v>2000.9166666666667</v>
      </c>
      <c r="AE87" s="115">
        <f t="shared" si="44"/>
        <v>2018</v>
      </c>
      <c r="AF87" s="115">
        <f t="shared" si="45"/>
        <v>2010.9166666666667</v>
      </c>
      <c r="AG87" s="115">
        <f t="shared" si="46"/>
        <v>2017</v>
      </c>
      <c r="AH87" s="115">
        <f t="shared" si="47"/>
        <v>-8.3333333333333329E-2</v>
      </c>
    </row>
    <row r="88" spans="1:34">
      <c r="C88" s="7"/>
      <c r="D88" s="136" t="s">
        <v>191</v>
      </c>
      <c r="E88" s="119">
        <v>2001</v>
      </c>
      <c r="F88" s="110">
        <v>3</v>
      </c>
      <c r="G88" s="159">
        <v>0</v>
      </c>
      <c r="H88" s="159"/>
      <c r="I88" s="119" t="s">
        <v>103</v>
      </c>
      <c r="J88" s="119">
        <v>10</v>
      </c>
      <c r="K88" s="113">
        <f t="shared" si="32"/>
        <v>2011</v>
      </c>
      <c r="L88" s="160"/>
      <c r="N88" s="138">
        <f>795*1.081</f>
        <v>859.39499999999998</v>
      </c>
      <c r="O88" s="147"/>
      <c r="P88" s="139">
        <f t="shared" si="33"/>
        <v>859.39499999999998</v>
      </c>
      <c r="Q88" s="139">
        <f t="shared" si="34"/>
        <v>7.1616249999999999</v>
      </c>
      <c r="R88" s="139">
        <f t="shared" si="35"/>
        <v>0</v>
      </c>
      <c r="S88" s="139"/>
      <c r="T88" s="139">
        <f t="shared" si="36"/>
        <v>0</v>
      </c>
      <c r="U88" s="139">
        <v>1</v>
      </c>
      <c r="V88" s="139">
        <f t="shared" si="37"/>
        <v>0</v>
      </c>
      <c r="W88" s="139"/>
      <c r="X88" s="139">
        <f t="shared" si="38"/>
        <v>859.39499999999998</v>
      </c>
      <c r="Y88" s="139">
        <f t="shared" si="39"/>
        <v>859.39499999999998</v>
      </c>
      <c r="Z88" s="139">
        <v>1</v>
      </c>
      <c r="AA88" s="139">
        <f t="shared" si="40"/>
        <v>859.39499999999998</v>
      </c>
      <c r="AB88" s="139">
        <f t="shared" si="41"/>
        <v>859.39499999999998</v>
      </c>
      <c r="AC88" s="139">
        <f t="shared" si="42"/>
        <v>0</v>
      </c>
      <c r="AD88" s="115">
        <f t="shared" si="43"/>
        <v>2001.1666666666667</v>
      </c>
      <c r="AE88" s="115">
        <f t="shared" si="44"/>
        <v>2018</v>
      </c>
      <c r="AF88" s="115">
        <f t="shared" si="45"/>
        <v>2011.1666666666667</v>
      </c>
      <c r="AG88" s="115">
        <f t="shared" si="46"/>
        <v>2017</v>
      </c>
      <c r="AH88" s="115">
        <f t="shared" si="47"/>
        <v>-8.3333333333333329E-2</v>
      </c>
    </row>
    <row r="89" spans="1:34">
      <c r="C89" s="7"/>
      <c r="D89" s="136" t="s">
        <v>192</v>
      </c>
      <c r="E89" s="119">
        <v>2001</v>
      </c>
      <c r="F89" s="110">
        <v>3</v>
      </c>
      <c r="G89" s="159">
        <v>0</v>
      </c>
      <c r="H89" s="159"/>
      <c r="I89" s="119" t="s">
        <v>103</v>
      </c>
      <c r="J89" s="119">
        <v>10</v>
      </c>
      <c r="K89" s="113">
        <f t="shared" si="32"/>
        <v>2011</v>
      </c>
      <c r="L89" s="160"/>
      <c r="N89" s="138">
        <f>1440*1.081</f>
        <v>1556.6399999999999</v>
      </c>
      <c r="O89" s="147"/>
      <c r="P89" s="139">
        <f t="shared" si="33"/>
        <v>1556.6399999999999</v>
      </c>
      <c r="Q89" s="139">
        <f t="shared" si="34"/>
        <v>12.972</v>
      </c>
      <c r="R89" s="139">
        <f t="shared" si="35"/>
        <v>0</v>
      </c>
      <c r="S89" s="139"/>
      <c r="T89" s="139">
        <f t="shared" si="36"/>
        <v>0</v>
      </c>
      <c r="U89" s="139">
        <v>1</v>
      </c>
      <c r="V89" s="139">
        <f t="shared" si="37"/>
        <v>0</v>
      </c>
      <c r="W89" s="139"/>
      <c r="X89" s="139">
        <f t="shared" si="38"/>
        <v>1556.6399999999999</v>
      </c>
      <c r="Y89" s="139">
        <f t="shared" si="39"/>
        <v>1556.6399999999999</v>
      </c>
      <c r="Z89" s="139">
        <v>1</v>
      </c>
      <c r="AA89" s="139">
        <f t="shared" si="40"/>
        <v>1556.6399999999999</v>
      </c>
      <c r="AB89" s="139">
        <f t="shared" si="41"/>
        <v>1556.6399999999999</v>
      </c>
      <c r="AC89" s="139">
        <f t="shared" si="42"/>
        <v>0</v>
      </c>
      <c r="AD89" s="115">
        <f t="shared" si="43"/>
        <v>2001.1666666666667</v>
      </c>
      <c r="AE89" s="115">
        <f t="shared" si="44"/>
        <v>2018</v>
      </c>
      <c r="AF89" s="115">
        <f t="shared" si="45"/>
        <v>2011.1666666666667</v>
      </c>
      <c r="AG89" s="115">
        <f t="shared" si="46"/>
        <v>2017</v>
      </c>
      <c r="AH89" s="115">
        <f t="shared" si="47"/>
        <v>-8.3333333333333329E-2</v>
      </c>
    </row>
    <row r="90" spans="1:34">
      <c r="C90" s="7">
        <v>3</v>
      </c>
      <c r="D90" s="136" t="s">
        <v>193</v>
      </c>
      <c r="E90" s="119">
        <v>2003</v>
      </c>
      <c r="F90" s="110">
        <v>2</v>
      </c>
      <c r="G90" s="159">
        <v>0</v>
      </c>
      <c r="H90" s="159"/>
      <c r="I90" s="119" t="s">
        <v>103</v>
      </c>
      <c r="J90" s="119">
        <v>10</v>
      </c>
      <c r="K90" s="113">
        <f t="shared" si="32"/>
        <v>2013</v>
      </c>
      <c r="L90" s="160"/>
      <c r="N90" s="138">
        <v>1261</v>
      </c>
      <c r="O90" s="147"/>
      <c r="P90" s="139">
        <f t="shared" si="33"/>
        <v>1261</v>
      </c>
      <c r="Q90" s="139">
        <f t="shared" si="34"/>
        <v>10.508333333333333</v>
      </c>
      <c r="R90" s="139">
        <f t="shared" si="35"/>
        <v>0</v>
      </c>
      <c r="S90" s="139"/>
      <c r="T90" s="139">
        <f t="shared" si="36"/>
        <v>0</v>
      </c>
      <c r="U90" s="139">
        <v>1</v>
      </c>
      <c r="V90" s="139">
        <f t="shared" si="37"/>
        <v>0</v>
      </c>
      <c r="W90" s="139"/>
      <c r="X90" s="139">
        <f t="shared" si="38"/>
        <v>1261</v>
      </c>
      <c r="Y90" s="139">
        <f t="shared" si="39"/>
        <v>1261</v>
      </c>
      <c r="Z90" s="139">
        <v>1</v>
      </c>
      <c r="AA90" s="139">
        <f t="shared" si="40"/>
        <v>1261</v>
      </c>
      <c r="AB90" s="139">
        <f t="shared" si="41"/>
        <v>1261</v>
      </c>
      <c r="AC90" s="139">
        <f t="shared" si="42"/>
        <v>0</v>
      </c>
      <c r="AD90" s="115">
        <f t="shared" si="43"/>
        <v>2003.0833333333333</v>
      </c>
      <c r="AE90" s="115">
        <f t="shared" si="44"/>
        <v>2018</v>
      </c>
      <c r="AF90" s="115">
        <f t="shared" si="45"/>
        <v>2013.0833333333333</v>
      </c>
      <c r="AG90" s="115">
        <f t="shared" si="46"/>
        <v>2017</v>
      </c>
      <c r="AH90" s="115">
        <f t="shared" si="47"/>
        <v>-8.3333333333333329E-2</v>
      </c>
    </row>
    <row r="91" spans="1:34">
      <c r="C91" s="7">
        <v>15</v>
      </c>
      <c r="D91" s="136" t="s">
        <v>194</v>
      </c>
      <c r="E91" s="119">
        <v>2003</v>
      </c>
      <c r="F91" s="110">
        <v>5</v>
      </c>
      <c r="G91" s="159">
        <v>0</v>
      </c>
      <c r="H91" s="159"/>
      <c r="I91" s="119" t="s">
        <v>103</v>
      </c>
      <c r="J91" s="119">
        <v>10</v>
      </c>
      <c r="K91" s="113">
        <f t="shared" si="32"/>
        <v>2013</v>
      </c>
      <c r="L91" s="160"/>
      <c r="N91" s="138">
        <v>6180.08</v>
      </c>
      <c r="O91" s="147"/>
      <c r="P91" s="139">
        <f t="shared" si="33"/>
        <v>6180.08</v>
      </c>
      <c r="Q91" s="139">
        <f t="shared" si="34"/>
        <v>51.500666666666667</v>
      </c>
      <c r="R91" s="139">
        <f t="shared" si="35"/>
        <v>0</v>
      </c>
      <c r="S91" s="139"/>
      <c r="T91" s="139">
        <f t="shared" si="36"/>
        <v>0</v>
      </c>
      <c r="U91" s="139">
        <v>1</v>
      </c>
      <c r="V91" s="139">
        <f t="shared" si="37"/>
        <v>0</v>
      </c>
      <c r="W91" s="139"/>
      <c r="X91" s="139">
        <f t="shared" si="38"/>
        <v>6180.08</v>
      </c>
      <c r="Y91" s="139">
        <f t="shared" si="39"/>
        <v>6180.08</v>
      </c>
      <c r="Z91" s="139">
        <v>1</v>
      </c>
      <c r="AA91" s="139">
        <f t="shared" si="40"/>
        <v>6180.08</v>
      </c>
      <c r="AB91" s="139">
        <f t="shared" si="41"/>
        <v>6180.08</v>
      </c>
      <c r="AC91" s="139">
        <f t="shared" si="42"/>
        <v>0</v>
      </c>
      <c r="AD91" s="115">
        <f t="shared" si="43"/>
        <v>2003.3333333333333</v>
      </c>
      <c r="AE91" s="115">
        <f t="shared" si="44"/>
        <v>2018</v>
      </c>
      <c r="AF91" s="115">
        <f t="shared" si="45"/>
        <v>2013.3333333333333</v>
      </c>
      <c r="AG91" s="115">
        <f t="shared" si="46"/>
        <v>2017</v>
      </c>
      <c r="AH91" s="115">
        <f t="shared" si="47"/>
        <v>-8.3333333333333329E-2</v>
      </c>
    </row>
    <row r="92" spans="1:34">
      <c r="C92" s="7">
        <v>2</v>
      </c>
      <c r="D92" s="136" t="s">
        <v>195</v>
      </c>
      <c r="E92" s="119">
        <v>2003</v>
      </c>
      <c r="F92" s="110">
        <v>5</v>
      </c>
      <c r="G92" s="159">
        <v>0</v>
      </c>
      <c r="H92" s="159"/>
      <c r="I92" s="119" t="s">
        <v>103</v>
      </c>
      <c r="J92" s="119">
        <v>10</v>
      </c>
      <c r="K92" s="113">
        <f t="shared" si="32"/>
        <v>2013</v>
      </c>
      <c r="L92" s="160"/>
      <c r="N92" s="138">
        <v>778.32</v>
      </c>
      <c r="O92" s="147"/>
      <c r="P92" s="139">
        <f t="shared" si="33"/>
        <v>778.32</v>
      </c>
      <c r="Q92" s="139">
        <f t="shared" si="34"/>
        <v>6.4860000000000007</v>
      </c>
      <c r="R92" s="139">
        <f t="shared" si="35"/>
        <v>0</v>
      </c>
      <c r="S92" s="139"/>
      <c r="T92" s="139">
        <f t="shared" si="36"/>
        <v>0</v>
      </c>
      <c r="U92" s="139">
        <v>1</v>
      </c>
      <c r="V92" s="139">
        <f t="shared" si="37"/>
        <v>0</v>
      </c>
      <c r="W92" s="139"/>
      <c r="X92" s="139">
        <f t="shared" si="38"/>
        <v>778.32</v>
      </c>
      <c r="Y92" s="139">
        <f t="shared" si="39"/>
        <v>778.32</v>
      </c>
      <c r="Z92" s="139">
        <v>1</v>
      </c>
      <c r="AA92" s="139">
        <f t="shared" si="40"/>
        <v>778.32</v>
      </c>
      <c r="AB92" s="139">
        <f t="shared" si="41"/>
        <v>778.32</v>
      </c>
      <c r="AC92" s="139">
        <f t="shared" si="42"/>
        <v>0</v>
      </c>
      <c r="AD92" s="115">
        <f t="shared" si="43"/>
        <v>2003.3333333333333</v>
      </c>
      <c r="AE92" s="115">
        <f t="shared" si="44"/>
        <v>2018</v>
      </c>
      <c r="AF92" s="115">
        <f t="shared" si="45"/>
        <v>2013.3333333333333</v>
      </c>
      <c r="AG92" s="115">
        <f t="shared" si="46"/>
        <v>2017</v>
      </c>
      <c r="AH92" s="115">
        <f t="shared" si="47"/>
        <v>-8.3333333333333329E-2</v>
      </c>
    </row>
    <row r="93" spans="1:34">
      <c r="C93" s="7">
        <v>13</v>
      </c>
      <c r="D93" s="136" t="s">
        <v>196</v>
      </c>
      <c r="E93" s="119">
        <v>2003</v>
      </c>
      <c r="F93" s="110">
        <v>7</v>
      </c>
      <c r="G93" s="159">
        <v>0</v>
      </c>
      <c r="H93" s="159"/>
      <c r="I93" s="119" t="s">
        <v>103</v>
      </c>
      <c r="J93" s="119">
        <v>7</v>
      </c>
      <c r="K93" s="113">
        <f t="shared" si="32"/>
        <v>2010</v>
      </c>
      <c r="L93" s="160"/>
      <c r="N93" s="138">
        <v>2425.92</v>
      </c>
      <c r="O93" s="147"/>
      <c r="P93" s="139">
        <f t="shared" si="33"/>
        <v>2425.92</v>
      </c>
      <c r="Q93" s="139">
        <f t="shared" si="34"/>
        <v>28.88</v>
      </c>
      <c r="R93" s="139">
        <f t="shared" si="35"/>
        <v>0</v>
      </c>
      <c r="S93" s="139"/>
      <c r="T93" s="139">
        <f t="shared" si="36"/>
        <v>0</v>
      </c>
      <c r="U93" s="139">
        <v>1</v>
      </c>
      <c r="V93" s="139">
        <f t="shared" si="37"/>
        <v>0</v>
      </c>
      <c r="W93" s="139"/>
      <c r="X93" s="139">
        <f t="shared" si="38"/>
        <v>2425.92</v>
      </c>
      <c r="Y93" s="139">
        <f t="shared" si="39"/>
        <v>2425.92</v>
      </c>
      <c r="Z93" s="139">
        <v>1</v>
      </c>
      <c r="AA93" s="139">
        <f t="shared" si="40"/>
        <v>2425.92</v>
      </c>
      <c r="AB93" s="139">
        <f t="shared" si="41"/>
        <v>2425.92</v>
      </c>
      <c r="AC93" s="139">
        <f t="shared" si="42"/>
        <v>0</v>
      </c>
      <c r="AD93" s="115">
        <f t="shared" si="43"/>
        <v>2003.5</v>
      </c>
      <c r="AE93" s="115">
        <f t="shared" si="44"/>
        <v>2018</v>
      </c>
      <c r="AF93" s="115">
        <f t="shared" si="45"/>
        <v>2010.5</v>
      </c>
      <c r="AG93" s="115">
        <f t="shared" si="46"/>
        <v>2017</v>
      </c>
      <c r="AH93" s="115">
        <f t="shared" si="47"/>
        <v>-8.3333333333333329E-2</v>
      </c>
    </row>
    <row r="94" spans="1:34">
      <c r="C94" s="7">
        <v>1</v>
      </c>
      <c r="D94" s="136" t="s">
        <v>197</v>
      </c>
      <c r="E94" s="119">
        <v>2003</v>
      </c>
      <c r="F94" s="110">
        <v>7</v>
      </c>
      <c r="G94" s="159">
        <v>0</v>
      </c>
      <c r="H94" s="159"/>
      <c r="I94" s="119" t="s">
        <v>103</v>
      </c>
      <c r="J94" s="119">
        <v>10</v>
      </c>
      <c r="K94" s="113">
        <f t="shared" si="32"/>
        <v>2013</v>
      </c>
      <c r="L94" s="160"/>
      <c r="N94" s="138">
        <v>989.12</v>
      </c>
      <c r="O94" s="147"/>
      <c r="P94" s="139">
        <f t="shared" si="33"/>
        <v>989.12</v>
      </c>
      <c r="Q94" s="139">
        <f t="shared" si="34"/>
        <v>8.2426666666666666</v>
      </c>
      <c r="R94" s="139">
        <f t="shared" si="35"/>
        <v>0</v>
      </c>
      <c r="S94" s="139"/>
      <c r="T94" s="139">
        <f t="shared" si="36"/>
        <v>0</v>
      </c>
      <c r="U94" s="139">
        <v>1</v>
      </c>
      <c r="V94" s="139">
        <f t="shared" si="37"/>
        <v>0</v>
      </c>
      <c r="W94" s="139"/>
      <c r="X94" s="139">
        <f t="shared" si="38"/>
        <v>989.12</v>
      </c>
      <c r="Y94" s="139">
        <f t="shared" si="39"/>
        <v>989.12</v>
      </c>
      <c r="Z94" s="139">
        <v>1</v>
      </c>
      <c r="AA94" s="139">
        <f t="shared" si="40"/>
        <v>989.12</v>
      </c>
      <c r="AB94" s="139">
        <f t="shared" si="41"/>
        <v>989.12</v>
      </c>
      <c r="AC94" s="139">
        <f t="shared" si="42"/>
        <v>0</v>
      </c>
      <c r="AD94" s="115">
        <f t="shared" si="43"/>
        <v>2003.5</v>
      </c>
      <c r="AE94" s="115">
        <f t="shared" si="44"/>
        <v>2018</v>
      </c>
      <c r="AF94" s="115">
        <f t="shared" si="45"/>
        <v>2013.5</v>
      </c>
      <c r="AG94" s="115">
        <f t="shared" si="46"/>
        <v>2017</v>
      </c>
      <c r="AH94" s="115">
        <f t="shared" si="47"/>
        <v>-8.3333333333333329E-2</v>
      </c>
    </row>
    <row r="95" spans="1:34">
      <c r="A95" s="110">
        <v>126343</v>
      </c>
      <c r="C95" s="7"/>
      <c r="D95" s="136" t="s">
        <v>198</v>
      </c>
      <c r="E95" s="119">
        <v>2003</v>
      </c>
      <c r="F95" s="110">
        <v>7</v>
      </c>
      <c r="G95" s="159">
        <v>0</v>
      </c>
      <c r="H95" s="159"/>
      <c r="I95" s="119" t="s">
        <v>103</v>
      </c>
      <c r="J95" s="119">
        <v>10</v>
      </c>
      <c r="K95" s="113">
        <f t="shared" si="32"/>
        <v>2013</v>
      </c>
      <c r="L95" s="160"/>
      <c r="N95" s="138">
        <v>4763.8500000000004</v>
      </c>
      <c r="O95" s="147"/>
      <c r="P95" s="139">
        <f t="shared" si="33"/>
        <v>4763.8500000000004</v>
      </c>
      <c r="Q95" s="139">
        <f t="shared" si="34"/>
        <v>39.698750000000004</v>
      </c>
      <c r="R95" s="139">
        <f t="shared" si="35"/>
        <v>0</v>
      </c>
      <c r="S95" s="139"/>
      <c r="T95" s="139">
        <f t="shared" si="36"/>
        <v>0</v>
      </c>
      <c r="U95" s="139">
        <v>1</v>
      </c>
      <c r="V95" s="139">
        <f t="shared" si="37"/>
        <v>0</v>
      </c>
      <c r="W95" s="139"/>
      <c r="X95" s="139">
        <f t="shared" si="38"/>
        <v>4763.8500000000004</v>
      </c>
      <c r="Y95" s="139">
        <f t="shared" si="39"/>
        <v>4763.8500000000004</v>
      </c>
      <c r="Z95" s="139">
        <v>1</v>
      </c>
      <c r="AA95" s="139">
        <f t="shared" si="40"/>
        <v>4763.8500000000004</v>
      </c>
      <c r="AB95" s="139">
        <f t="shared" si="41"/>
        <v>4763.8500000000004</v>
      </c>
      <c r="AC95" s="139">
        <f t="shared" si="42"/>
        <v>0</v>
      </c>
      <c r="AD95" s="115">
        <f t="shared" si="43"/>
        <v>2003.5</v>
      </c>
      <c r="AE95" s="115">
        <f t="shared" si="44"/>
        <v>2018</v>
      </c>
      <c r="AF95" s="115">
        <f t="shared" si="45"/>
        <v>2013.5</v>
      </c>
      <c r="AG95" s="115">
        <f t="shared" si="46"/>
        <v>2017</v>
      </c>
      <c r="AH95" s="115">
        <f t="shared" si="47"/>
        <v>-8.3333333333333329E-2</v>
      </c>
    </row>
    <row r="96" spans="1:34">
      <c r="C96" s="7">
        <v>2</v>
      </c>
      <c r="D96" s="136" t="s">
        <v>199</v>
      </c>
      <c r="E96" s="119">
        <v>2003</v>
      </c>
      <c r="F96" s="110">
        <v>9</v>
      </c>
      <c r="G96" s="159">
        <v>0</v>
      </c>
      <c r="H96" s="159"/>
      <c r="I96" s="119" t="s">
        <v>103</v>
      </c>
      <c r="J96" s="119">
        <v>10</v>
      </c>
      <c r="K96" s="113">
        <f t="shared" si="32"/>
        <v>2013</v>
      </c>
      <c r="L96" s="160"/>
      <c r="N96" s="138">
        <v>1563.13</v>
      </c>
      <c r="O96" s="147"/>
      <c r="P96" s="139">
        <f t="shared" si="33"/>
        <v>1563.13</v>
      </c>
      <c r="Q96" s="139">
        <f t="shared" si="34"/>
        <v>13.026083333333334</v>
      </c>
      <c r="R96" s="139">
        <f t="shared" si="35"/>
        <v>0</v>
      </c>
      <c r="S96" s="139"/>
      <c r="T96" s="139">
        <f t="shared" si="36"/>
        <v>0</v>
      </c>
      <c r="U96" s="139">
        <v>1</v>
      </c>
      <c r="V96" s="139">
        <f t="shared" si="37"/>
        <v>0</v>
      </c>
      <c r="W96" s="139"/>
      <c r="X96" s="139">
        <f t="shared" si="38"/>
        <v>1563.13</v>
      </c>
      <c r="Y96" s="139">
        <f t="shared" si="39"/>
        <v>1563.13</v>
      </c>
      <c r="Z96" s="139">
        <v>1</v>
      </c>
      <c r="AA96" s="139">
        <f t="shared" si="40"/>
        <v>1563.13</v>
      </c>
      <c r="AB96" s="139">
        <f t="shared" si="41"/>
        <v>1563.13</v>
      </c>
      <c r="AC96" s="139">
        <f t="shared" si="42"/>
        <v>0</v>
      </c>
      <c r="AD96" s="115">
        <f t="shared" si="43"/>
        <v>2003.6666666666667</v>
      </c>
      <c r="AE96" s="115">
        <f t="shared" si="44"/>
        <v>2018</v>
      </c>
      <c r="AF96" s="115">
        <f t="shared" si="45"/>
        <v>2013.6666666666667</v>
      </c>
      <c r="AG96" s="115">
        <f t="shared" si="46"/>
        <v>2017</v>
      </c>
      <c r="AH96" s="115">
        <f t="shared" si="47"/>
        <v>-8.3333333333333329E-2</v>
      </c>
    </row>
    <row r="97" spans="3:34">
      <c r="C97" s="7">
        <v>2</v>
      </c>
      <c r="D97" s="136" t="s">
        <v>178</v>
      </c>
      <c r="E97" s="119">
        <v>2003</v>
      </c>
      <c r="F97" s="110">
        <v>9</v>
      </c>
      <c r="G97" s="159">
        <v>0</v>
      </c>
      <c r="H97" s="159"/>
      <c r="I97" s="119" t="s">
        <v>103</v>
      </c>
      <c r="J97" s="119">
        <v>10</v>
      </c>
      <c r="K97" s="113">
        <f t="shared" si="32"/>
        <v>2013</v>
      </c>
      <c r="L97" s="160"/>
      <c r="N97" s="138">
        <v>1714.47</v>
      </c>
      <c r="O97" s="147"/>
      <c r="P97" s="139">
        <f t="shared" si="33"/>
        <v>1714.47</v>
      </c>
      <c r="Q97" s="139">
        <f t="shared" si="34"/>
        <v>14.28725</v>
      </c>
      <c r="R97" s="139">
        <f t="shared" si="35"/>
        <v>0</v>
      </c>
      <c r="S97" s="139"/>
      <c r="T97" s="139">
        <f t="shared" si="36"/>
        <v>0</v>
      </c>
      <c r="U97" s="139">
        <v>1</v>
      </c>
      <c r="V97" s="139">
        <f t="shared" si="37"/>
        <v>0</v>
      </c>
      <c r="W97" s="139"/>
      <c r="X97" s="139">
        <f t="shared" si="38"/>
        <v>1714.47</v>
      </c>
      <c r="Y97" s="139">
        <f t="shared" si="39"/>
        <v>1714.47</v>
      </c>
      <c r="Z97" s="139">
        <v>1</v>
      </c>
      <c r="AA97" s="139">
        <f t="shared" si="40"/>
        <v>1714.47</v>
      </c>
      <c r="AB97" s="139">
        <f t="shared" si="41"/>
        <v>1714.47</v>
      </c>
      <c r="AC97" s="139">
        <f t="shared" si="42"/>
        <v>0</v>
      </c>
      <c r="AD97" s="115">
        <f t="shared" si="43"/>
        <v>2003.6666666666667</v>
      </c>
      <c r="AE97" s="115">
        <f t="shared" si="44"/>
        <v>2018</v>
      </c>
      <c r="AF97" s="115">
        <f t="shared" si="45"/>
        <v>2013.6666666666667</v>
      </c>
      <c r="AG97" s="115">
        <f t="shared" si="46"/>
        <v>2017</v>
      </c>
      <c r="AH97" s="115">
        <f t="shared" si="47"/>
        <v>-8.3333333333333329E-2</v>
      </c>
    </row>
    <row r="98" spans="3:34">
      <c r="C98" s="7">
        <v>3</v>
      </c>
      <c r="D98" s="136" t="s">
        <v>193</v>
      </c>
      <c r="E98" s="119">
        <v>2003</v>
      </c>
      <c r="F98" s="110">
        <v>9</v>
      </c>
      <c r="G98" s="159">
        <v>0</v>
      </c>
      <c r="H98" s="159"/>
      <c r="I98" s="119" t="s">
        <v>103</v>
      </c>
      <c r="J98" s="119">
        <v>10</v>
      </c>
      <c r="K98" s="113">
        <f t="shared" si="32"/>
        <v>2013</v>
      </c>
      <c r="L98" s="160"/>
      <c r="N98" s="138">
        <v>1092.8900000000001</v>
      </c>
      <c r="O98" s="147"/>
      <c r="P98" s="139">
        <f t="shared" si="33"/>
        <v>1092.8900000000001</v>
      </c>
      <c r="Q98" s="139">
        <f t="shared" si="34"/>
        <v>9.1074166666666674</v>
      </c>
      <c r="R98" s="139">
        <f t="shared" si="35"/>
        <v>0</v>
      </c>
      <c r="S98" s="139"/>
      <c r="T98" s="139">
        <f t="shared" si="36"/>
        <v>0</v>
      </c>
      <c r="U98" s="139">
        <v>1</v>
      </c>
      <c r="V98" s="139">
        <f t="shared" si="37"/>
        <v>0</v>
      </c>
      <c r="W98" s="139"/>
      <c r="X98" s="139">
        <f t="shared" si="38"/>
        <v>1092.8900000000001</v>
      </c>
      <c r="Y98" s="139">
        <f t="shared" si="39"/>
        <v>1092.8900000000001</v>
      </c>
      <c r="Z98" s="139">
        <v>1</v>
      </c>
      <c r="AA98" s="139">
        <f t="shared" si="40"/>
        <v>1092.8900000000001</v>
      </c>
      <c r="AB98" s="139">
        <f t="shared" si="41"/>
        <v>1092.8900000000001</v>
      </c>
      <c r="AC98" s="139">
        <f t="shared" si="42"/>
        <v>0</v>
      </c>
      <c r="AD98" s="115">
        <f t="shared" si="43"/>
        <v>2003.6666666666667</v>
      </c>
      <c r="AE98" s="115">
        <f t="shared" si="44"/>
        <v>2018</v>
      </c>
      <c r="AF98" s="115">
        <f t="shared" si="45"/>
        <v>2013.6666666666667</v>
      </c>
      <c r="AG98" s="115">
        <f t="shared" si="46"/>
        <v>2017</v>
      </c>
      <c r="AH98" s="115">
        <f t="shared" si="47"/>
        <v>-8.3333333333333329E-2</v>
      </c>
    </row>
    <row r="99" spans="3:34">
      <c r="C99" s="7">
        <v>10</v>
      </c>
      <c r="D99" s="136" t="s">
        <v>200</v>
      </c>
      <c r="E99" s="119">
        <v>2004</v>
      </c>
      <c r="F99" s="110">
        <v>7</v>
      </c>
      <c r="G99" s="159">
        <v>0</v>
      </c>
      <c r="H99" s="159"/>
      <c r="I99" s="119" t="s">
        <v>103</v>
      </c>
      <c r="J99" s="119">
        <v>10</v>
      </c>
      <c r="K99" s="113">
        <f t="shared" si="32"/>
        <v>2014</v>
      </c>
      <c r="L99" s="160"/>
      <c r="N99" s="138">
        <v>3950</v>
      </c>
      <c r="O99" s="147"/>
      <c r="P99" s="139">
        <f t="shared" si="33"/>
        <v>3950</v>
      </c>
      <c r="Q99" s="139">
        <f t="shared" si="34"/>
        <v>32.916666666666664</v>
      </c>
      <c r="R99" s="139">
        <f t="shared" si="35"/>
        <v>0</v>
      </c>
      <c r="S99" s="139"/>
      <c r="T99" s="139">
        <f t="shared" si="36"/>
        <v>0</v>
      </c>
      <c r="U99" s="139">
        <v>1</v>
      </c>
      <c r="V99" s="139">
        <f t="shared" si="37"/>
        <v>0</v>
      </c>
      <c r="W99" s="139"/>
      <c r="X99" s="139">
        <f t="shared" si="38"/>
        <v>3950</v>
      </c>
      <c r="Y99" s="139">
        <f t="shared" si="39"/>
        <v>3950</v>
      </c>
      <c r="Z99" s="139">
        <v>1</v>
      </c>
      <c r="AA99" s="139">
        <f t="shared" si="40"/>
        <v>3950</v>
      </c>
      <c r="AB99" s="139">
        <f t="shared" si="41"/>
        <v>3950</v>
      </c>
      <c r="AC99" s="139">
        <f t="shared" si="42"/>
        <v>0</v>
      </c>
      <c r="AD99" s="115">
        <f t="shared" si="43"/>
        <v>2004.5</v>
      </c>
      <c r="AE99" s="115">
        <f t="shared" si="44"/>
        <v>2018</v>
      </c>
      <c r="AF99" s="115">
        <f t="shared" si="45"/>
        <v>2014.5</v>
      </c>
      <c r="AG99" s="115">
        <f t="shared" si="46"/>
        <v>2017</v>
      </c>
      <c r="AH99" s="115">
        <f t="shared" si="47"/>
        <v>-8.3333333333333329E-2</v>
      </c>
    </row>
    <row r="100" spans="3:34">
      <c r="C100" s="7">
        <v>4</v>
      </c>
      <c r="D100" s="136" t="s">
        <v>201</v>
      </c>
      <c r="E100" s="119">
        <v>2004</v>
      </c>
      <c r="F100" s="110">
        <v>7</v>
      </c>
      <c r="G100" s="159">
        <v>0</v>
      </c>
      <c r="H100" s="159"/>
      <c r="I100" s="119" t="s">
        <v>103</v>
      </c>
      <c r="J100" s="119">
        <v>10</v>
      </c>
      <c r="K100" s="113">
        <f t="shared" si="32"/>
        <v>2014</v>
      </c>
      <c r="L100" s="160"/>
      <c r="N100" s="138">
        <v>3040</v>
      </c>
      <c r="O100" s="147"/>
      <c r="P100" s="139">
        <f t="shared" si="33"/>
        <v>3040</v>
      </c>
      <c r="Q100" s="139">
        <f t="shared" si="34"/>
        <v>25.333333333333332</v>
      </c>
      <c r="R100" s="139">
        <f t="shared" si="35"/>
        <v>0</v>
      </c>
      <c r="S100" s="139"/>
      <c r="T100" s="139">
        <f t="shared" si="36"/>
        <v>0</v>
      </c>
      <c r="U100" s="139">
        <v>1</v>
      </c>
      <c r="V100" s="139">
        <f t="shared" si="37"/>
        <v>0</v>
      </c>
      <c r="W100" s="139"/>
      <c r="X100" s="139">
        <f t="shared" si="38"/>
        <v>3040</v>
      </c>
      <c r="Y100" s="139">
        <f t="shared" si="39"/>
        <v>3040</v>
      </c>
      <c r="Z100" s="139">
        <v>1</v>
      </c>
      <c r="AA100" s="139">
        <f t="shared" si="40"/>
        <v>3040</v>
      </c>
      <c r="AB100" s="139">
        <f t="shared" si="41"/>
        <v>3040</v>
      </c>
      <c r="AC100" s="139">
        <f t="shared" si="42"/>
        <v>0</v>
      </c>
      <c r="AD100" s="115">
        <f t="shared" si="43"/>
        <v>2004.5</v>
      </c>
      <c r="AE100" s="115">
        <f t="shared" si="44"/>
        <v>2018</v>
      </c>
      <c r="AF100" s="115">
        <f t="shared" si="45"/>
        <v>2014.5</v>
      </c>
      <c r="AG100" s="115">
        <f t="shared" si="46"/>
        <v>2017</v>
      </c>
      <c r="AH100" s="115">
        <f t="shared" si="47"/>
        <v>-8.3333333333333329E-2</v>
      </c>
    </row>
    <row r="101" spans="3:34">
      <c r="C101" s="7">
        <v>5</v>
      </c>
      <c r="D101" s="136" t="s">
        <v>202</v>
      </c>
      <c r="E101" s="119">
        <v>2004</v>
      </c>
      <c r="F101" s="110">
        <v>7</v>
      </c>
      <c r="G101" s="159">
        <v>0</v>
      </c>
      <c r="H101" s="159"/>
      <c r="I101" s="119" t="s">
        <v>103</v>
      </c>
      <c r="J101" s="119">
        <v>10</v>
      </c>
      <c r="K101" s="113">
        <f t="shared" si="32"/>
        <v>2014</v>
      </c>
      <c r="L101" s="160"/>
      <c r="N101" s="138">
        <v>1925</v>
      </c>
      <c r="O101" s="147"/>
      <c r="P101" s="139">
        <f t="shared" si="33"/>
        <v>1925</v>
      </c>
      <c r="Q101" s="139">
        <f t="shared" si="34"/>
        <v>16.041666666666668</v>
      </c>
      <c r="R101" s="139">
        <f t="shared" si="35"/>
        <v>0</v>
      </c>
      <c r="S101" s="139"/>
      <c r="T101" s="139">
        <f t="shared" si="36"/>
        <v>0</v>
      </c>
      <c r="U101" s="139">
        <v>1</v>
      </c>
      <c r="V101" s="139">
        <f t="shared" si="37"/>
        <v>0</v>
      </c>
      <c r="W101" s="139"/>
      <c r="X101" s="139">
        <f t="shared" si="38"/>
        <v>1925</v>
      </c>
      <c r="Y101" s="139">
        <f t="shared" si="39"/>
        <v>1925</v>
      </c>
      <c r="Z101" s="139">
        <v>1</v>
      </c>
      <c r="AA101" s="139">
        <f t="shared" si="40"/>
        <v>1925</v>
      </c>
      <c r="AB101" s="139">
        <f t="shared" si="41"/>
        <v>1925</v>
      </c>
      <c r="AC101" s="139">
        <f t="shared" si="42"/>
        <v>0</v>
      </c>
      <c r="AD101" s="115">
        <f t="shared" si="43"/>
        <v>2004.5</v>
      </c>
      <c r="AE101" s="115">
        <f t="shared" si="44"/>
        <v>2018</v>
      </c>
      <c r="AF101" s="115">
        <f t="shared" si="45"/>
        <v>2014.5</v>
      </c>
      <c r="AG101" s="115">
        <f t="shared" si="46"/>
        <v>2017</v>
      </c>
      <c r="AH101" s="115">
        <f t="shared" si="47"/>
        <v>-8.3333333333333329E-2</v>
      </c>
    </row>
    <row r="102" spans="3:34">
      <c r="C102" s="7">
        <v>6</v>
      </c>
      <c r="D102" s="136" t="s">
        <v>203</v>
      </c>
      <c r="E102" s="119">
        <v>2004</v>
      </c>
      <c r="F102" s="110">
        <v>7</v>
      </c>
      <c r="G102" s="159">
        <v>0</v>
      </c>
      <c r="H102" s="159"/>
      <c r="I102" s="119" t="s">
        <v>103</v>
      </c>
      <c r="J102" s="119">
        <v>10</v>
      </c>
      <c r="K102" s="113">
        <f t="shared" si="32"/>
        <v>2014</v>
      </c>
      <c r="L102" s="160"/>
      <c r="N102" s="138">
        <v>4590</v>
      </c>
      <c r="O102" s="147"/>
      <c r="P102" s="139">
        <f t="shared" si="33"/>
        <v>4590</v>
      </c>
      <c r="Q102" s="139">
        <f t="shared" si="34"/>
        <v>38.25</v>
      </c>
      <c r="R102" s="139">
        <f t="shared" si="35"/>
        <v>0</v>
      </c>
      <c r="S102" s="139"/>
      <c r="T102" s="139">
        <f t="shared" si="36"/>
        <v>0</v>
      </c>
      <c r="U102" s="139">
        <v>1</v>
      </c>
      <c r="V102" s="139">
        <f t="shared" si="37"/>
        <v>0</v>
      </c>
      <c r="W102" s="139"/>
      <c r="X102" s="139">
        <f t="shared" si="38"/>
        <v>4590</v>
      </c>
      <c r="Y102" s="139">
        <f t="shared" si="39"/>
        <v>4590</v>
      </c>
      <c r="Z102" s="139">
        <v>1</v>
      </c>
      <c r="AA102" s="139">
        <f t="shared" si="40"/>
        <v>4590</v>
      </c>
      <c r="AB102" s="139">
        <f t="shared" si="41"/>
        <v>4590</v>
      </c>
      <c r="AC102" s="139">
        <f t="shared" si="42"/>
        <v>0</v>
      </c>
      <c r="AD102" s="115">
        <f t="shared" si="43"/>
        <v>2004.5</v>
      </c>
      <c r="AE102" s="115">
        <f t="shared" si="44"/>
        <v>2018</v>
      </c>
      <c r="AF102" s="115">
        <f t="shared" si="45"/>
        <v>2014.5</v>
      </c>
      <c r="AG102" s="115">
        <f t="shared" si="46"/>
        <v>2017</v>
      </c>
      <c r="AH102" s="115">
        <f t="shared" si="47"/>
        <v>-8.3333333333333329E-2</v>
      </c>
    </row>
    <row r="103" spans="3:34">
      <c r="C103" s="7">
        <v>3</v>
      </c>
      <c r="D103" s="136" t="s">
        <v>204</v>
      </c>
      <c r="E103" s="119">
        <v>2004</v>
      </c>
      <c r="F103" s="110">
        <v>8</v>
      </c>
      <c r="G103" s="159">
        <v>0</v>
      </c>
      <c r="H103" s="159"/>
      <c r="I103" s="119" t="s">
        <v>103</v>
      </c>
      <c r="J103" s="119">
        <v>10</v>
      </c>
      <c r="K103" s="113">
        <f t="shared" si="32"/>
        <v>2014</v>
      </c>
      <c r="L103" s="160"/>
      <c r="N103" s="138">
        <v>2745</v>
      </c>
      <c r="O103" s="147"/>
      <c r="P103" s="139">
        <f t="shared" si="33"/>
        <v>2745</v>
      </c>
      <c r="Q103" s="139">
        <f t="shared" si="34"/>
        <v>22.875</v>
      </c>
      <c r="R103" s="139">
        <f t="shared" si="35"/>
        <v>0</v>
      </c>
      <c r="S103" s="139"/>
      <c r="T103" s="139">
        <f t="shared" si="36"/>
        <v>0</v>
      </c>
      <c r="U103" s="139">
        <v>1</v>
      </c>
      <c r="V103" s="139">
        <f t="shared" si="37"/>
        <v>0</v>
      </c>
      <c r="W103" s="139"/>
      <c r="X103" s="139">
        <f t="shared" si="38"/>
        <v>2745</v>
      </c>
      <c r="Y103" s="139">
        <f t="shared" si="39"/>
        <v>2745</v>
      </c>
      <c r="Z103" s="139">
        <v>1</v>
      </c>
      <c r="AA103" s="139">
        <f t="shared" si="40"/>
        <v>2745</v>
      </c>
      <c r="AB103" s="139">
        <f t="shared" si="41"/>
        <v>2745</v>
      </c>
      <c r="AC103" s="139">
        <f t="shared" si="42"/>
        <v>0</v>
      </c>
      <c r="AD103" s="115">
        <f t="shared" si="43"/>
        <v>2004.5833333333333</v>
      </c>
      <c r="AE103" s="115">
        <f t="shared" si="44"/>
        <v>2018</v>
      </c>
      <c r="AF103" s="115">
        <f t="shared" si="45"/>
        <v>2014.5833333333333</v>
      </c>
      <c r="AG103" s="115">
        <f t="shared" si="46"/>
        <v>2017</v>
      </c>
      <c r="AH103" s="115">
        <f t="shared" si="47"/>
        <v>-8.3333333333333329E-2</v>
      </c>
    </row>
    <row r="104" spans="3:34">
      <c r="C104" s="7">
        <v>8</v>
      </c>
      <c r="D104" s="148" t="s">
        <v>205</v>
      </c>
      <c r="E104" s="119">
        <v>2005</v>
      </c>
      <c r="F104" s="110">
        <v>3</v>
      </c>
      <c r="G104" s="159">
        <v>0</v>
      </c>
      <c r="H104" s="159"/>
      <c r="I104" s="119" t="s">
        <v>103</v>
      </c>
      <c r="J104" s="119">
        <v>10</v>
      </c>
      <c r="K104" s="113">
        <f t="shared" si="32"/>
        <v>2015</v>
      </c>
      <c r="L104" s="160"/>
      <c r="N104" s="138">
        <v>6400</v>
      </c>
      <c r="O104" s="147"/>
      <c r="P104" s="139">
        <f t="shared" si="33"/>
        <v>6400</v>
      </c>
      <c r="Q104" s="139">
        <f t="shared" si="34"/>
        <v>53.333333333333336</v>
      </c>
      <c r="R104" s="139">
        <f t="shared" si="35"/>
        <v>0</v>
      </c>
      <c r="S104" s="139"/>
      <c r="T104" s="139">
        <f t="shared" si="36"/>
        <v>0</v>
      </c>
      <c r="U104" s="139">
        <v>1</v>
      </c>
      <c r="V104" s="139">
        <f t="shared" si="37"/>
        <v>0</v>
      </c>
      <c r="W104" s="139"/>
      <c r="X104" s="139">
        <f t="shared" si="38"/>
        <v>6400</v>
      </c>
      <c r="Y104" s="139">
        <f t="shared" si="39"/>
        <v>6400</v>
      </c>
      <c r="Z104" s="139">
        <v>1</v>
      </c>
      <c r="AA104" s="139">
        <f t="shared" si="40"/>
        <v>6400</v>
      </c>
      <c r="AB104" s="139">
        <f t="shared" si="41"/>
        <v>6400</v>
      </c>
      <c r="AC104" s="139">
        <f t="shared" si="42"/>
        <v>0</v>
      </c>
      <c r="AD104" s="115">
        <f t="shared" si="43"/>
        <v>2005.1666666666667</v>
      </c>
      <c r="AE104" s="115">
        <f t="shared" si="44"/>
        <v>2018</v>
      </c>
      <c r="AF104" s="115">
        <f t="shared" si="45"/>
        <v>2015.1666666666667</v>
      </c>
      <c r="AG104" s="115">
        <f t="shared" si="46"/>
        <v>2017</v>
      </c>
      <c r="AH104" s="115">
        <f t="shared" si="47"/>
        <v>-8.3333333333333329E-2</v>
      </c>
    </row>
    <row r="105" spans="3:34">
      <c r="C105" s="7">
        <v>3</v>
      </c>
      <c r="D105" s="136" t="s">
        <v>206</v>
      </c>
      <c r="E105" s="119">
        <v>2005</v>
      </c>
      <c r="F105" s="110">
        <v>5</v>
      </c>
      <c r="G105" s="159">
        <v>0</v>
      </c>
      <c r="H105" s="159"/>
      <c r="I105" s="119" t="s">
        <v>103</v>
      </c>
      <c r="J105" s="119">
        <v>10</v>
      </c>
      <c r="K105" s="113">
        <f t="shared" si="32"/>
        <v>2015</v>
      </c>
      <c r="L105" s="160"/>
      <c r="N105" s="138">
        <v>2469</v>
      </c>
      <c r="O105" s="147"/>
      <c r="P105" s="139">
        <f t="shared" si="33"/>
        <v>2469</v>
      </c>
      <c r="Q105" s="139">
        <f t="shared" si="34"/>
        <v>20.574999999999999</v>
      </c>
      <c r="R105" s="139">
        <f t="shared" si="35"/>
        <v>0</v>
      </c>
      <c r="S105" s="139"/>
      <c r="T105" s="139">
        <f t="shared" si="36"/>
        <v>0</v>
      </c>
      <c r="U105" s="139">
        <v>1</v>
      </c>
      <c r="V105" s="139">
        <f t="shared" si="37"/>
        <v>0</v>
      </c>
      <c r="W105" s="139"/>
      <c r="X105" s="139">
        <f t="shared" si="38"/>
        <v>2469</v>
      </c>
      <c r="Y105" s="139">
        <f t="shared" si="39"/>
        <v>2469</v>
      </c>
      <c r="Z105" s="139">
        <v>1</v>
      </c>
      <c r="AA105" s="139">
        <f t="shared" si="40"/>
        <v>2469</v>
      </c>
      <c r="AB105" s="139">
        <f t="shared" si="41"/>
        <v>2469</v>
      </c>
      <c r="AC105" s="139">
        <f t="shared" si="42"/>
        <v>0</v>
      </c>
      <c r="AD105" s="115">
        <f t="shared" si="43"/>
        <v>2005.3333333333333</v>
      </c>
      <c r="AE105" s="115">
        <f t="shared" si="44"/>
        <v>2018</v>
      </c>
      <c r="AF105" s="115">
        <f t="shared" si="45"/>
        <v>2015.3333333333333</v>
      </c>
      <c r="AG105" s="115">
        <f t="shared" si="46"/>
        <v>2017</v>
      </c>
      <c r="AH105" s="115">
        <f t="shared" si="47"/>
        <v>-8.3333333333333329E-2</v>
      </c>
    </row>
    <row r="106" spans="3:34">
      <c r="C106" s="7">
        <v>2</v>
      </c>
      <c r="D106" s="136" t="s">
        <v>207</v>
      </c>
      <c r="E106" s="119">
        <v>2005</v>
      </c>
      <c r="F106" s="110">
        <v>5</v>
      </c>
      <c r="G106" s="159">
        <v>0</v>
      </c>
      <c r="H106" s="159"/>
      <c r="I106" s="119" t="s">
        <v>103</v>
      </c>
      <c r="J106" s="119">
        <v>10</v>
      </c>
      <c r="K106" s="113">
        <f t="shared" si="32"/>
        <v>2015</v>
      </c>
      <c r="L106" s="160"/>
      <c r="N106" s="138">
        <v>863</v>
      </c>
      <c r="O106" s="147"/>
      <c r="P106" s="139">
        <f t="shared" si="33"/>
        <v>863</v>
      </c>
      <c r="Q106" s="139">
        <f t="shared" si="34"/>
        <v>7.1916666666666664</v>
      </c>
      <c r="R106" s="139">
        <f t="shared" si="35"/>
        <v>0</v>
      </c>
      <c r="S106" s="139"/>
      <c r="T106" s="139">
        <f t="shared" si="36"/>
        <v>0</v>
      </c>
      <c r="U106" s="139">
        <v>1</v>
      </c>
      <c r="V106" s="139">
        <f t="shared" si="37"/>
        <v>0</v>
      </c>
      <c r="W106" s="139"/>
      <c r="X106" s="139">
        <f t="shared" si="38"/>
        <v>863</v>
      </c>
      <c r="Y106" s="139">
        <f t="shared" si="39"/>
        <v>863</v>
      </c>
      <c r="Z106" s="139">
        <v>1</v>
      </c>
      <c r="AA106" s="139">
        <f t="shared" si="40"/>
        <v>863</v>
      </c>
      <c r="AB106" s="139">
        <f t="shared" si="41"/>
        <v>863</v>
      </c>
      <c r="AC106" s="139">
        <f t="shared" si="42"/>
        <v>0</v>
      </c>
      <c r="AD106" s="115">
        <f t="shared" si="43"/>
        <v>2005.3333333333333</v>
      </c>
      <c r="AE106" s="115">
        <f t="shared" si="44"/>
        <v>2018</v>
      </c>
      <c r="AF106" s="115">
        <f t="shared" si="45"/>
        <v>2015.3333333333333</v>
      </c>
      <c r="AG106" s="115">
        <f t="shared" si="46"/>
        <v>2017</v>
      </c>
      <c r="AH106" s="115">
        <f t="shared" si="47"/>
        <v>-8.3333333333333329E-2</v>
      </c>
    </row>
    <row r="107" spans="3:34">
      <c r="C107" s="7">
        <v>3</v>
      </c>
      <c r="D107" s="136" t="s">
        <v>206</v>
      </c>
      <c r="E107" s="119">
        <v>2005</v>
      </c>
      <c r="F107" s="110">
        <v>8</v>
      </c>
      <c r="G107" s="159">
        <v>0</v>
      </c>
      <c r="H107" s="159"/>
      <c r="I107" s="119" t="s">
        <v>103</v>
      </c>
      <c r="J107" s="119">
        <v>10</v>
      </c>
      <c r="K107" s="113">
        <f t="shared" si="32"/>
        <v>2015</v>
      </c>
      <c r="L107" s="160"/>
      <c r="N107" s="138">
        <v>2469</v>
      </c>
      <c r="O107" s="147"/>
      <c r="P107" s="139">
        <f t="shared" si="33"/>
        <v>2469</v>
      </c>
      <c r="Q107" s="139">
        <f t="shared" si="34"/>
        <v>20.574999999999999</v>
      </c>
      <c r="R107" s="139">
        <f t="shared" si="35"/>
        <v>0</v>
      </c>
      <c r="S107" s="139"/>
      <c r="T107" s="139">
        <f t="shared" si="36"/>
        <v>0</v>
      </c>
      <c r="U107" s="139">
        <v>1</v>
      </c>
      <c r="V107" s="139">
        <f t="shared" si="37"/>
        <v>0</v>
      </c>
      <c r="W107" s="139"/>
      <c r="X107" s="139">
        <f t="shared" si="38"/>
        <v>2469</v>
      </c>
      <c r="Y107" s="139">
        <f t="shared" si="39"/>
        <v>2469</v>
      </c>
      <c r="Z107" s="139">
        <v>1</v>
      </c>
      <c r="AA107" s="139">
        <f t="shared" si="40"/>
        <v>2469</v>
      </c>
      <c r="AB107" s="139">
        <f t="shared" si="41"/>
        <v>2469</v>
      </c>
      <c r="AC107" s="139">
        <f t="shared" si="42"/>
        <v>0</v>
      </c>
      <c r="AD107" s="115">
        <f t="shared" si="43"/>
        <v>2005.5833333333333</v>
      </c>
      <c r="AE107" s="115">
        <f t="shared" si="44"/>
        <v>2018</v>
      </c>
      <c r="AF107" s="115">
        <f t="shared" si="45"/>
        <v>2015.5833333333333</v>
      </c>
      <c r="AG107" s="115">
        <f t="shared" si="46"/>
        <v>2017</v>
      </c>
      <c r="AH107" s="115">
        <f t="shared" si="47"/>
        <v>-8.3333333333333329E-2</v>
      </c>
    </row>
    <row r="108" spans="3:34">
      <c r="C108" s="7">
        <v>4</v>
      </c>
      <c r="D108" s="136" t="s">
        <v>206</v>
      </c>
      <c r="E108" s="119">
        <v>2006</v>
      </c>
      <c r="F108" s="110">
        <v>2</v>
      </c>
      <c r="G108" s="159">
        <v>0</v>
      </c>
      <c r="H108" s="159"/>
      <c r="I108" s="119" t="s">
        <v>103</v>
      </c>
      <c r="J108" s="119">
        <v>10</v>
      </c>
      <c r="K108" s="113">
        <f t="shared" si="32"/>
        <v>2016</v>
      </c>
      <c r="L108" s="160"/>
      <c r="N108" s="138">
        <v>2588.33</v>
      </c>
      <c r="O108" s="147"/>
      <c r="P108" s="139">
        <f t="shared" si="33"/>
        <v>2588.33</v>
      </c>
      <c r="Q108" s="139">
        <f t="shared" si="34"/>
        <v>21.569416666666665</v>
      </c>
      <c r="R108" s="139">
        <f t="shared" si="35"/>
        <v>0</v>
      </c>
      <c r="S108" s="139"/>
      <c r="T108" s="139">
        <f t="shared" si="36"/>
        <v>0</v>
      </c>
      <c r="U108" s="139">
        <v>1</v>
      </c>
      <c r="V108" s="139">
        <f t="shared" si="37"/>
        <v>0</v>
      </c>
      <c r="W108" s="139"/>
      <c r="X108" s="139">
        <f t="shared" si="38"/>
        <v>2588.33</v>
      </c>
      <c r="Y108" s="139">
        <f t="shared" si="39"/>
        <v>2588.33</v>
      </c>
      <c r="Z108" s="139">
        <v>1</v>
      </c>
      <c r="AA108" s="139">
        <f t="shared" si="40"/>
        <v>2588.33</v>
      </c>
      <c r="AB108" s="139">
        <f t="shared" si="41"/>
        <v>2588.33</v>
      </c>
      <c r="AC108" s="139">
        <f t="shared" si="42"/>
        <v>0</v>
      </c>
      <c r="AD108" s="115">
        <f t="shared" si="43"/>
        <v>2006.0833333333333</v>
      </c>
      <c r="AE108" s="115">
        <f t="shared" si="44"/>
        <v>2018</v>
      </c>
      <c r="AF108" s="115">
        <f t="shared" si="45"/>
        <v>2016.0833333333333</v>
      </c>
      <c r="AG108" s="115">
        <f t="shared" si="46"/>
        <v>2017</v>
      </c>
      <c r="AH108" s="115">
        <f t="shared" si="47"/>
        <v>-8.3333333333333329E-2</v>
      </c>
    </row>
    <row r="109" spans="3:34">
      <c r="C109" s="7">
        <v>4</v>
      </c>
      <c r="D109" s="136" t="s">
        <v>207</v>
      </c>
      <c r="E109" s="119">
        <v>2006</v>
      </c>
      <c r="F109" s="110">
        <v>2</v>
      </c>
      <c r="G109" s="159">
        <v>0</v>
      </c>
      <c r="H109" s="159"/>
      <c r="I109" s="119" t="s">
        <v>103</v>
      </c>
      <c r="J109" s="119">
        <v>10</v>
      </c>
      <c r="K109" s="113">
        <f t="shared" ref="K109:K140" si="48">E109+J109</f>
        <v>2016</v>
      </c>
      <c r="L109" s="160"/>
      <c r="N109" s="138">
        <v>3127.61</v>
      </c>
      <c r="O109" s="147"/>
      <c r="P109" s="139">
        <f t="shared" ref="P109:P140" si="49">N109-N109*G109</f>
        <v>3127.61</v>
      </c>
      <c r="Q109" s="139">
        <f t="shared" ref="Q109:Q140" si="50">P109/J109/12</f>
        <v>26.063416666666669</v>
      </c>
      <c r="R109" s="139">
        <f t="shared" ref="R109:R140" si="51">IF(O109&gt;0,0,IF(OR(AD109&gt;AE109,AF109&lt;AG109),0,IF(AND(AF109&gt;=AG109,AF109&lt;=AE109),Q109*((AF109-AG109)*12),IF(AND(AG109&lt;=AD109,AE109&gt;=AD109),((AE109-AD109)*12)*Q109,IF(AF109&gt;AE109,12*Q109,0)))))</f>
        <v>0</v>
      </c>
      <c r="S109" s="139"/>
      <c r="T109" s="139">
        <f t="shared" ref="T109:T140" si="52">IF(S109&gt;0,S109,R109)</f>
        <v>0</v>
      </c>
      <c r="U109" s="139">
        <v>1</v>
      </c>
      <c r="V109" s="139">
        <f t="shared" ref="V109:V140" si="53">U109*SUM(R109:S109)</f>
        <v>0</v>
      </c>
      <c r="W109" s="139"/>
      <c r="X109" s="139">
        <f t="shared" ref="X109:X140" si="54">IF(AD109&gt;AE109,0,IF(AF109&lt;AG109,P109,IF(AND(AF109&gt;=AG109,AF109&lt;=AE109),(P109-T109),IF(AND(AG109&lt;=AD109,AE109&gt;=AD109),0,IF(AF109&gt;AE109,((AG109-AD109)*12)*Q109,0)))))</f>
        <v>3127.61</v>
      </c>
      <c r="Y109" s="139">
        <f t="shared" ref="Y109:Y140" si="55">X109*U109</f>
        <v>3127.61</v>
      </c>
      <c r="Z109" s="139">
        <v>1</v>
      </c>
      <c r="AA109" s="139">
        <f t="shared" ref="AA109:AA140" si="56">Y109*Z109</f>
        <v>3127.61</v>
      </c>
      <c r="AB109" s="139">
        <f t="shared" ref="AB109:AB140" si="57">IF(O109&gt;0,0,AA109+V109*Z109)*Z109</f>
        <v>3127.61</v>
      </c>
      <c r="AC109" s="139">
        <f t="shared" ref="AC109:AC140" si="58">IF(O109&gt;0,(N109-AA109)/2,IF(AD109&gt;=AG109,(((N109*U109)*Z109)-AB109)/2,((((N109*U109)*Z109)-AA109)+(((N109*U109)*Z109)-AB109))/2))</f>
        <v>0</v>
      </c>
      <c r="AD109" s="115">
        <f t="shared" ref="AD109:AD140" si="59">$E109+(($F109-1)/12)</f>
        <v>2006.0833333333333</v>
      </c>
      <c r="AE109" s="115">
        <f t="shared" ref="AE109:AE140" si="60">($P$5+1)-($P$2/12)</f>
        <v>2018</v>
      </c>
      <c r="AF109" s="115">
        <f t="shared" ref="AF109:AF140" si="61">$K109+(($F109-1)/12)</f>
        <v>2016.0833333333333</v>
      </c>
      <c r="AG109" s="115">
        <f t="shared" ref="AG109:AG140" si="62">$P$4+($P$3/12)</f>
        <v>2017</v>
      </c>
      <c r="AH109" s="115">
        <f t="shared" ref="AH109:AH140" si="63">$L109+(($M109-1)/12)</f>
        <v>-8.3333333333333329E-2</v>
      </c>
    </row>
    <row r="110" spans="3:34">
      <c r="C110" s="7">
        <v>8</v>
      </c>
      <c r="D110" s="136" t="s">
        <v>208</v>
      </c>
      <c r="E110" s="119">
        <v>2006</v>
      </c>
      <c r="F110" s="110">
        <v>3</v>
      </c>
      <c r="G110" s="159">
        <v>0</v>
      </c>
      <c r="H110" s="159"/>
      <c r="I110" s="119" t="s">
        <v>103</v>
      </c>
      <c r="J110" s="119">
        <v>10</v>
      </c>
      <c r="K110" s="113">
        <f t="shared" si="48"/>
        <v>2016</v>
      </c>
      <c r="L110" s="160"/>
      <c r="N110" s="138">
        <v>3749.76</v>
      </c>
      <c r="O110" s="147"/>
      <c r="P110" s="139">
        <f t="shared" si="49"/>
        <v>3749.76</v>
      </c>
      <c r="Q110" s="139">
        <f t="shared" si="50"/>
        <v>31.248000000000001</v>
      </c>
      <c r="R110" s="139">
        <f t="shared" si="51"/>
        <v>0</v>
      </c>
      <c r="S110" s="139"/>
      <c r="T110" s="139">
        <f t="shared" si="52"/>
        <v>0</v>
      </c>
      <c r="U110" s="139">
        <v>1</v>
      </c>
      <c r="V110" s="139">
        <f t="shared" si="53"/>
        <v>0</v>
      </c>
      <c r="W110" s="139"/>
      <c r="X110" s="139">
        <f t="shared" si="54"/>
        <v>3749.76</v>
      </c>
      <c r="Y110" s="139">
        <f t="shared" si="55"/>
        <v>3749.76</v>
      </c>
      <c r="Z110" s="139">
        <v>1</v>
      </c>
      <c r="AA110" s="139">
        <f t="shared" si="56"/>
        <v>3749.76</v>
      </c>
      <c r="AB110" s="139">
        <f t="shared" si="57"/>
        <v>3749.76</v>
      </c>
      <c r="AC110" s="139">
        <f t="shared" si="58"/>
        <v>0</v>
      </c>
      <c r="AD110" s="115">
        <f t="shared" si="59"/>
        <v>2006.1666666666667</v>
      </c>
      <c r="AE110" s="115">
        <f t="shared" si="60"/>
        <v>2018</v>
      </c>
      <c r="AF110" s="115">
        <f t="shared" si="61"/>
        <v>2016.1666666666667</v>
      </c>
      <c r="AG110" s="115">
        <f t="shared" si="62"/>
        <v>2017</v>
      </c>
      <c r="AH110" s="115">
        <f t="shared" si="63"/>
        <v>-8.3333333333333329E-2</v>
      </c>
    </row>
    <row r="111" spans="3:34">
      <c r="C111" s="7">
        <v>13</v>
      </c>
      <c r="D111" s="136" t="s">
        <v>209</v>
      </c>
      <c r="E111" s="119">
        <v>2006</v>
      </c>
      <c r="F111" s="110">
        <v>4</v>
      </c>
      <c r="G111" s="159">
        <v>0</v>
      </c>
      <c r="H111" s="159"/>
      <c r="I111" s="119" t="s">
        <v>103</v>
      </c>
      <c r="J111" s="119">
        <v>10</v>
      </c>
      <c r="K111" s="113">
        <f t="shared" si="48"/>
        <v>2016</v>
      </c>
      <c r="L111" s="160"/>
      <c r="N111" s="138">
        <f>5005+430.43</f>
        <v>5435.43</v>
      </c>
      <c r="O111" s="147"/>
      <c r="P111" s="139">
        <f t="shared" si="49"/>
        <v>5435.43</v>
      </c>
      <c r="Q111" s="139">
        <f t="shared" si="50"/>
        <v>45.295250000000003</v>
      </c>
      <c r="R111" s="139">
        <f t="shared" si="51"/>
        <v>0</v>
      </c>
      <c r="S111" s="139"/>
      <c r="T111" s="139">
        <f t="shared" si="52"/>
        <v>0</v>
      </c>
      <c r="U111" s="139">
        <v>1</v>
      </c>
      <c r="V111" s="139">
        <f t="shared" si="53"/>
        <v>0</v>
      </c>
      <c r="W111" s="139"/>
      <c r="X111" s="139">
        <f t="shared" si="54"/>
        <v>5435.43</v>
      </c>
      <c r="Y111" s="139">
        <f t="shared" si="55"/>
        <v>5435.43</v>
      </c>
      <c r="Z111" s="139">
        <v>1</v>
      </c>
      <c r="AA111" s="139">
        <f t="shared" si="56"/>
        <v>5435.43</v>
      </c>
      <c r="AB111" s="139">
        <f t="shared" si="57"/>
        <v>5435.43</v>
      </c>
      <c r="AC111" s="139">
        <f t="shared" si="58"/>
        <v>0</v>
      </c>
      <c r="AD111" s="115">
        <f t="shared" si="59"/>
        <v>2006.25</v>
      </c>
      <c r="AE111" s="115">
        <f t="shared" si="60"/>
        <v>2018</v>
      </c>
      <c r="AF111" s="115">
        <f t="shared" si="61"/>
        <v>2016.25</v>
      </c>
      <c r="AG111" s="115">
        <f t="shared" si="62"/>
        <v>2017</v>
      </c>
      <c r="AH111" s="115">
        <f t="shared" si="63"/>
        <v>-8.3333333333333329E-2</v>
      </c>
    </row>
    <row r="112" spans="3:34">
      <c r="C112" s="7">
        <v>5</v>
      </c>
      <c r="D112" s="136" t="s">
        <v>210</v>
      </c>
      <c r="E112" s="119">
        <v>2006</v>
      </c>
      <c r="F112" s="110">
        <v>4</v>
      </c>
      <c r="G112" s="159">
        <v>0</v>
      </c>
      <c r="H112" s="159"/>
      <c r="I112" s="119" t="s">
        <v>103</v>
      </c>
      <c r="J112" s="119">
        <v>10</v>
      </c>
      <c r="K112" s="113">
        <f t="shared" si="48"/>
        <v>2016</v>
      </c>
      <c r="L112" s="160"/>
      <c r="N112" s="138">
        <f>2075+178.45</f>
        <v>2253.4499999999998</v>
      </c>
      <c r="O112" s="147"/>
      <c r="P112" s="139">
        <f t="shared" si="49"/>
        <v>2253.4499999999998</v>
      </c>
      <c r="Q112" s="139">
        <f t="shared" si="50"/>
        <v>18.778749999999999</v>
      </c>
      <c r="R112" s="139">
        <f t="shared" si="51"/>
        <v>0</v>
      </c>
      <c r="S112" s="139"/>
      <c r="T112" s="139">
        <f t="shared" si="52"/>
        <v>0</v>
      </c>
      <c r="U112" s="139">
        <v>1</v>
      </c>
      <c r="V112" s="139">
        <f t="shared" si="53"/>
        <v>0</v>
      </c>
      <c r="W112" s="139"/>
      <c r="X112" s="139">
        <f t="shared" si="54"/>
        <v>2253.4499999999998</v>
      </c>
      <c r="Y112" s="139">
        <f t="shared" si="55"/>
        <v>2253.4499999999998</v>
      </c>
      <c r="Z112" s="139">
        <v>1</v>
      </c>
      <c r="AA112" s="139">
        <f t="shared" si="56"/>
        <v>2253.4499999999998</v>
      </c>
      <c r="AB112" s="139">
        <f t="shared" si="57"/>
        <v>2253.4499999999998</v>
      </c>
      <c r="AC112" s="139">
        <f t="shared" si="58"/>
        <v>0</v>
      </c>
      <c r="AD112" s="115">
        <f t="shared" si="59"/>
        <v>2006.25</v>
      </c>
      <c r="AE112" s="115">
        <f t="shared" si="60"/>
        <v>2018</v>
      </c>
      <c r="AF112" s="115">
        <f t="shared" si="61"/>
        <v>2016.25</v>
      </c>
      <c r="AG112" s="115">
        <f t="shared" si="62"/>
        <v>2017</v>
      </c>
      <c r="AH112" s="115">
        <f t="shared" si="63"/>
        <v>-8.3333333333333329E-2</v>
      </c>
    </row>
    <row r="113" spans="3:34">
      <c r="C113" s="7">
        <v>2</v>
      </c>
      <c r="D113" s="136" t="s">
        <v>206</v>
      </c>
      <c r="E113" s="119">
        <v>2006</v>
      </c>
      <c r="F113" s="110">
        <v>4</v>
      </c>
      <c r="G113" s="159">
        <v>0</v>
      </c>
      <c r="H113" s="159"/>
      <c r="I113" s="119" t="s">
        <v>103</v>
      </c>
      <c r="J113" s="119">
        <v>10</v>
      </c>
      <c r="K113" s="113">
        <f t="shared" si="48"/>
        <v>2016</v>
      </c>
      <c r="L113" s="160"/>
      <c r="N113" s="138">
        <f>1660+142.76</f>
        <v>1802.76</v>
      </c>
      <c r="O113" s="147"/>
      <c r="P113" s="139">
        <f t="shared" si="49"/>
        <v>1802.76</v>
      </c>
      <c r="Q113" s="139">
        <f t="shared" si="50"/>
        <v>15.023000000000001</v>
      </c>
      <c r="R113" s="139">
        <f t="shared" si="51"/>
        <v>0</v>
      </c>
      <c r="S113" s="139"/>
      <c r="T113" s="139">
        <f t="shared" si="52"/>
        <v>0</v>
      </c>
      <c r="U113" s="139">
        <v>1</v>
      </c>
      <c r="V113" s="139">
        <f t="shared" si="53"/>
        <v>0</v>
      </c>
      <c r="W113" s="139"/>
      <c r="X113" s="139">
        <f t="shared" si="54"/>
        <v>1802.76</v>
      </c>
      <c r="Y113" s="139">
        <f t="shared" si="55"/>
        <v>1802.76</v>
      </c>
      <c r="Z113" s="139">
        <v>1</v>
      </c>
      <c r="AA113" s="139">
        <f t="shared" si="56"/>
        <v>1802.76</v>
      </c>
      <c r="AB113" s="139">
        <f t="shared" si="57"/>
        <v>1802.76</v>
      </c>
      <c r="AC113" s="139">
        <f t="shared" si="58"/>
        <v>0</v>
      </c>
      <c r="AD113" s="115">
        <f t="shared" si="59"/>
        <v>2006.25</v>
      </c>
      <c r="AE113" s="115">
        <f t="shared" si="60"/>
        <v>2018</v>
      </c>
      <c r="AF113" s="115">
        <f t="shared" si="61"/>
        <v>2016.25</v>
      </c>
      <c r="AG113" s="115">
        <f t="shared" si="62"/>
        <v>2017</v>
      </c>
      <c r="AH113" s="115">
        <f t="shared" si="63"/>
        <v>-8.3333333333333329E-2</v>
      </c>
    </row>
    <row r="114" spans="3:34" s="7" customFormat="1">
      <c r="C114" s="7">
        <v>8</v>
      </c>
      <c r="D114" s="32" t="s">
        <v>206</v>
      </c>
      <c r="E114" s="15">
        <v>2006</v>
      </c>
      <c r="F114" s="7">
        <v>8</v>
      </c>
      <c r="G114" s="56">
        <v>0</v>
      </c>
      <c r="H114" s="56"/>
      <c r="I114" s="15" t="s">
        <v>103</v>
      </c>
      <c r="J114" s="15">
        <v>10</v>
      </c>
      <c r="K114" s="9">
        <f t="shared" si="48"/>
        <v>2016</v>
      </c>
      <c r="L114" s="57"/>
      <c r="N114" s="34">
        <v>4912</v>
      </c>
      <c r="O114" s="44"/>
      <c r="P114" s="35">
        <f t="shared" si="49"/>
        <v>4912</v>
      </c>
      <c r="Q114" s="35">
        <f t="shared" si="50"/>
        <v>40.93333333333333</v>
      </c>
      <c r="R114" s="35">
        <f t="shared" si="51"/>
        <v>0</v>
      </c>
      <c r="S114" s="35"/>
      <c r="T114" s="35">
        <f t="shared" si="52"/>
        <v>0</v>
      </c>
      <c r="U114" s="35">
        <v>1</v>
      </c>
      <c r="V114" s="35">
        <f t="shared" si="53"/>
        <v>0</v>
      </c>
      <c r="W114" s="35"/>
      <c r="X114" s="35">
        <f t="shared" si="54"/>
        <v>4912</v>
      </c>
      <c r="Y114" s="35">
        <f t="shared" si="55"/>
        <v>4912</v>
      </c>
      <c r="Z114" s="35">
        <v>1</v>
      </c>
      <c r="AA114" s="35">
        <f t="shared" si="56"/>
        <v>4912</v>
      </c>
      <c r="AB114" s="35">
        <f t="shared" si="57"/>
        <v>4912</v>
      </c>
      <c r="AC114" s="35">
        <f t="shared" si="58"/>
        <v>0</v>
      </c>
      <c r="AD114" s="11">
        <f t="shared" si="59"/>
        <v>2006.5833333333333</v>
      </c>
      <c r="AE114" s="11">
        <f t="shared" si="60"/>
        <v>2018</v>
      </c>
      <c r="AF114" s="11">
        <f t="shared" si="61"/>
        <v>2016.5833333333333</v>
      </c>
      <c r="AG114" s="11">
        <f t="shared" si="62"/>
        <v>2017</v>
      </c>
      <c r="AH114" s="11">
        <f t="shared" si="63"/>
        <v>-8.3333333333333329E-2</v>
      </c>
    </row>
    <row r="115" spans="3:34" s="7" customFormat="1">
      <c r="C115" s="7">
        <v>2</v>
      </c>
      <c r="D115" s="32" t="s">
        <v>207</v>
      </c>
      <c r="E115" s="15">
        <v>2006</v>
      </c>
      <c r="F115" s="7">
        <v>8</v>
      </c>
      <c r="G115" s="56">
        <v>0</v>
      </c>
      <c r="H115" s="56"/>
      <c r="I115" s="15" t="s">
        <v>103</v>
      </c>
      <c r="J115" s="15">
        <v>10</v>
      </c>
      <c r="K115" s="9">
        <f t="shared" si="48"/>
        <v>2016</v>
      </c>
      <c r="L115" s="57"/>
      <c r="N115" s="34">
        <v>1454</v>
      </c>
      <c r="O115" s="44"/>
      <c r="P115" s="35">
        <f t="shared" si="49"/>
        <v>1454</v>
      </c>
      <c r="Q115" s="35">
        <f t="shared" si="50"/>
        <v>12.116666666666667</v>
      </c>
      <c r="R115" s="35">
        <f t="shared" si="51"/>
        <v>0</v>
      </c>
      <c r="S115" s="35"/>
      <c r="T115" s="35">
        <f t="shared" si="52"/>
        <v>0</v>
      </c>
      <c r="U115" s="35">
        <v>1</v>
      </c>
      <c r="V115" s="35">
        <f t="shared" si="53"/>
        <v>0</v>
      </c>
      <c r="W115" s="35"/>
      <c r="X115" s="35">
        <f t="shared" si="54"/>
        <v>1454</v>
      </c>
      <c r="Y115" s="35">
        <f t="shared" si="55"/>
        <v>1454</v>
      </c>
      <c r="Z115" s="35">
        <v>1</v>
      </c>
      <c r="AA115" s="35">
        <f t="shared" si="56"/>
        <v>1454</v>
      </c>
      <c r="AB115" s="35">
        <f t="shared" si="57"/>
        <v>1454</v>
      </c>
      <c r="AC115" s="35">
        <f t="shared" si="58"/>
        <v>0</v>
      </c>
      <c r="AD115" s="11">
        <f t="shared" si="59"/>
        <v>2006.5833333333333</v>
      </c>
      <c r="AE115" s="11">
        <f t="shared" si="60"/>
        <v>2018</v>
      </c>
      <c r="AF115" s="11">
        <f t="shared" si="61"/>
        <v>2016.5833333333333</v>
      </c>
      <c r="AG115" s="11">
        <f t="shared" si="62"/>
        <v>2017</v>
      </c>
      <c r="AH115" s="11">
        <f t="shared" si="63"/>
        <v>-8.3333333333333329E-2</v>
      </c>
    </row>
    <row r="116" spans="3:34" s="7" customFormat="1">
      <c r="C116" s="7">
        <v>2</v>
      </c>
      <c r="D116" s="32" t="s">
        <v>209</v>
      </c>
      <c r="E116" s="15">
        <v>2007</v>
      </c>
      <c r="F116" s="7">
        <v>1</v>
      </c>
      <c r="G116" s="56">
        <v>0</v>
      </c>
      <c r="H116" s="56"/>
      <c r="I116" s="15" t="s">
        <v>103</v>
      </c>
      <c r="J116" s="15">
        <v>10</v>
      </c>
      <c r="K116" s="9">
        <f t="shared" si="48"/>
        <v>2017</v>
      </c>
      <c r="L116" s="57"/>
      <c r="N116" s="34">
        <v>860</v>
      </c>
      <c r="O116" s="44"/>
      <c r="P116" s="35">
        <f t="shared" si="49"/>
        <v>860</v>
      </c>
      <c r="Q116" s="35">
        <f t="shared" si="50"/>
        <v>7.166666666666667</v>
      </c>
      <c r="R116" s="35">
        <f t="shared" si="51"/>
        <v>0</v>
      </c>
      <c r="S116" s="35"/>
      <c r="T116" s="35">
        <f t="shared" si="52"/>
        <v>0</v>
      </c>
      <c r="U116" s="35">
        <v>1</v>
      </c>
      <c r="V116" s="35">
        <f t="shared" si="53"/>
        <v>0</v>
      </c>
      <c r="W116" s="35"/>
      <c r="X116" s="35">
        <f t="shared" si="54"/>
        <v>860</v>
      </c>
      <c r="Y116" s="35">
        <f t="shared" si="55"/>
        <v>860</v>
      </c>
      <c r="Z116" s="35">
        <v>1</v>
      </c>
      <c r="AA116" s="35">
        <f t="shared" si="56"/>
        <v>860</v>
      </c>
      <c r="AB116" s="35">
        <f t="shared" si="57"/>
        <v>860</v>
      </c>
      <c r="AC116" s="35">
        <f t="shared" si="58"/>
        <v>0</v>
      </c>
      <c r="AD116" s="11">
        <f t="shared" si="59"/>
        <v>2007</v>
      </c>
      <c r="AE116" s="11">
        <f t="shared" si="60"/>
        <v>2018</v>
      </c>
      <c r="AF116" s="11">
        <f t="shared" si="61"/>
        <v>2017</v>
      </c>
      <c r="AG116" s="11">
        <f t="shared" si="62"/>
        <v>2017</v>
      </c>
      <c r="AH116" s="11">
        <f t="shared" si="63"/>
        <v>-8.3333333333333329E-2</v>
      </c>
    </row>
    <row r="117" spans="3:34" s="7" customFormat="1">
      <c r="C117" s="7">
        <v>2</v>
      </c>
      <c r="D117" s="32" t="s">
        <v>210</v>
      </c>
      <c r="E117" s="15">
        <v>2007</v>
      </c>
      <c r="F117" s="7">
        <v>1</v>
      </c>
      <c r="G117" s="56">
        <v>0</v>
      </c>
      <c r="H117" s="56"/>
      <c r="I117" s="15" t="s">
        <v>103</v>
      </c>
      <c r="J117" s="15">
        <v>10</v>
      </c>
      <c r="K117" s="9">
        <f t="shared" si="48"/>
        <v>2017</v>
      </c>
      <c r="L117" s="57"/>
      <c r="N117" s="34">
        <v>900</v>
      </c>
      <c r="O117" s="44"/>
      <c r="P117" s="35">
        <f t="shared" si="49"/>
        <v>900</v>
      </c>
      <c r="Q117" s="35">
        <f t="shared" si="50"/>
        <v>7.5</v>
      </c>
      <c r="R117" s="35">
        <f t="shared" si="51"/>
        <v>0</v>
      </c>
      <c r="S117" s="35"/>
      <c r="T117" s="35">
        <f t="shared" si="52"/>
        <v>0</v>
      </c>
      <c r="U117" s="35">
        <v>1</v>
      </c>
      <c r="V117" s="35">
        <f t="shared" si="53"/>
        <v>0</v>
      </c>
      <c r="W117" s="35"/>
      <c r="X117" s="35">
        <f t="shared" si="54"/>
        <v>900</v>
      </c>
      <c r="Y117" s="35">
        <f t="shared" si="55"/>
        <v>900</v>
      </c>
      <c r="Z117" s="35">
        <v>1</v>
      </c>
      <c r="AA117" s="35">
        <f t="shared" si="56"/>
        <v>900</v>
      </c>
      <c r="AB117" s="35">
        <f t="shared" si="57"/>
        <v>900</v>
      </c>
      <c r="AC117" s="35">
        <f t="shared" si="58"/>
        <v>0</v>
      </c>
      <c r="AD117" s="11">
        <f t="shared" si="59"/>
        <v>2007</v>
      </c>
      <c r="AE117" s="11">
        <f t="shared" si="60"/>
        <v>2018</v>
      </c>
      <c r="AF117" s="11">
        <f t="shared" si="61"/>
        <v>2017</v>
      </c>
      <c r="AG117" s="11">
        <f t="shared" si="62"/>
        <v>2017</v>
      </c>
      <c r="AH117" s="11">
        <f t="shared" si="63"/>
        <v>-8.3333333333333329E-2</v>
      </c>
    </row>
    <row r="118" spans="3:34" s="7" customFormat="1">
      <c r="C118" s="7">
        <v>3</v>
      </c>
      <c r="D118" s="32" t="s">
        <v>208</v>
      </c>
      <c r="E118" s="15">
        <v>2007</v>
      </c>
      <c r="F118" s="7">
        <v>1</v>
      </c>
      <c r="G118" s="56">
        <v>0</v>
      </c>
      <c r="H118" s="56"/>
      <c r="I118" s="15" t="s">
        <v>103</v>
      </c>
      <c r="J118" s="15">
        <v>10</v>
      </c>
      <c r="K118" s="9">
        <f t="shared" si="48"/>
        <v>2017</v>
      </c>
      <c r="L118" s="57"/>
      <c r="N118" s="34">
        <v>1410</v>
      </c>
      <c r="O118" s="44"/>
      <c r="P118" s="35">
        <f t="shared" si="49"/>
        <v>1410</v>
      </c>
      <c r="Q118" s="35">
        <f t="shared" si="50"/>
        <v>11.75</v>
      </c>
      <c r="R118" s="35">
        <f t="shared" si="51"/>
        <v>0</v>
      </c>
      <c r="S118" s="35"/>
      <c r="T118" s="35">
        <f t="shared" si="52"/>
        <v>0</v>
      </c>
      <c r="U118" s="35">
        <v>1</v>
      </c>
      <c r="V118" s="35">
        <f t="shared" si="53"/>
        <v>0</v>
      </c>
      <c r="W118" s="35"/>
      <c r="X118" s="35">
        <f t="shared" si="54"/>
        <v>1410</v>
      </c>
      <c r="Y118" s="35">
        <f t="shared" si="55"/>
        <v>1410</v>
      </c>
      <c r="Z118" s="35">
        <v>1</v>
      </c>
      <c r="AA118" s="35">
        <f t="shared" si="56"/>
        <v>1410</v>
      </c>
      <c r="AB118" s="35">
        <f t="shared" si="57"/>
        <v>1410</v>
      </c>
      <c r="AC118" s="35">
        <f t="shared" si="58"/>
        <v>0</v>
      </c>
      <c r="AD118" s="11">
        <f t="shared" si="59"/>
        <v>2007</v>
      </c>
      <c r="AE118" s="11">
        <f t="shared" si="60"/>
        <v>2018</v>
      </c>
      <c r="AF118" s="11">
        <f t="shared" si="61"/>
        <v>2017</v>
      </c>
      <c r="AG118" s="11">
        <f t="shared" si="62"/>
        <v>2017</v>
      </c>
      <c r="AH118" s="11">
        <f t="shared" si="63"/>
        <v>-8.3333333333333329E-2</v>
      </c>
    </row>
    <row r="119" spans="3:34" s="7" customFormat="1">
      <c r="C119" s="7">
        <v>12</v>
      </c>
      <c r="D119" s="32" t="s">
        <v>209</v>
      </c>
      <c r="E119" s="15">
        <v>2007</v>
      </c>
      <c r="F119" s="7">
        <v>7</v>
      </c>
      <c r="G119" s="56">
        <v>0</v>
      </c>
      <c r="H119" s="56"/>
      <c r="I119" s="15" t="s">
        <v>103</v>
      </c>
      <c r="J119" s="15">
        <v>10</v>
      </c>
      <c r="K119" s="9">
        <f t="shared" si="48"/>
        <v>2017</v>
      </c>
      <c r="L119" s="57"/>
      <c r="N119" s="34">
        <v>5539</v>
      </c>
      <c r="O119" s="44"/>
      <c r="P119" s="35">
        <f t="shared" si="49"/>
        <v>5539</v>
      </c>
      <c r="Q119" s="35">
        <f t="shared" si="50"/>
        <v>46.158333333333331</v>
      </c>
      <c r="R119" s="35">
        <f t="shared" si="51"/>
        <v>276.95</v>
      </c>
      <c r="S119" s="35"/>
      <c r="T119" s="35">
        <f t="shared" si="52"/>
        <v>276.95</v>
      </c>
      <c r="U119" s="35">
        <v>1</v>
      </c>
      <c r="V119" s="35">
        <f t="shared" si="53"/>
        <v>276.95</v>
      </c>
      <c r="W119" s="35"/>
      <c r="X119" s="35">
        <f t="shared" si="54"/>
        <v>5262.05</v>
      </c>
      <c r="Y119" s="35">
        <f t="shared" si="55"/>
        <v>5262.05</v>
      </c>
      <c r="Z119" s="35">
        <v>1</v>
      </c>
      <c r="AA119" s="35">
        <f t="shared" si="56"/>
        <v>5262.05</v>
      </c>
      <c r="AB119" s="35">
        <f t="shared" si="57"/>
        <v>5539</v>
      </c>
      <c r="AC119" s="35">
        <f t="shared" si="58"/>
        <v>138.47499999999991</v>
      </c>
      <c r="AD119" s="11">
        <f t="shared" si="59"/>
        <v>2007.5</v>
      </c>
      <c r="AE119" s="11">
        <f t="shared" si="60"/>
        <v>2018</v>
      </c>
      <c r="AF119" s="11">
        <f t="shared" si="61"/>
        <v>2017.5</v>
      </c>
      <c r="AG119" s="11">
        <f t="shared" si="62"/>
        <v>2017</v>
      </c>
      <c r="AH119" s="11">
        <f t="shared" si="63"/>
        <v>-8.3333333333333329E-2</v>
      </c>
    </row>
    <row r="120" spans="3:34" s="7" customFormat="1">
      <c r="C120" s="7">
        <v>3</v>
      </c>
      <c r="D120" s="32" t="s">
        <v>210</v>
      </c>
      <c r="E120" s="15">
        <v>2007</v>
      </c>
      <c r="F120" s="7">
        <v>7</v>
      </c>
      <c r="G120" s="56">
        <v>0</v>
      </c>
      <c r="H120" s="56"/>
      <c r="I120" s="15" t="s">
        <v>103</v>
      </c>
      <c r="J120" s="15">
        <v>10</v>
      </c>
      <c r="K120" s="9">
        <f t="shared" si="48"/>
        <v>2017</v>
      </c>
      <c r="L120" s="57"/>
      <c r="N120" s="34">
        <f>1335*1.086</f>
        <v>1449.8100000000002</v>
      </c>
      <c r="O120" s="44"/>
      <c r="P120" s="35">
        <f t="shared" si="49"/>
        <v>1449.8100000000002</v>
      </c>
      <c r="Q120" s="35">
        <f t="shared" si="50"/>
        <v>12.081750000000001</v>
      </c>
      <c r="R120" s="35">
        <f t="shared" si="51"/>
        <v>72.490500000000011</v>
      </c>
      <c r="S120" s="35"/>
      <c r="T120" s="35">
        <f t="shared" si="52"/>
        <v>72.490500000000011</v>
      </c>
      <c r="U120" s="35">
        <v>1</v>
      </c>
      <c r="V120" s="35">
        <f t="shared" si="53"/>
        <v>72.490500000000011</v>
      </c>
      <c r="W120" s="35"/>
      <c r="X120" s="35">
        <f t="shared" si="54"/>
        <v>1377.3195000000001</v>
      </c>
      <c r="Y120" s="35">
        <f t="shared" si="55"/>
        <v>1377.3195000000001</v>
      </c>
      <c r="Z120" s="35">
        <v>1</v>
      </c>
      <c r="AA120" s="35">
        <f t="shared" si="56"/>
        <v>1377.3195000000001</v>
      </c>
      <c r="AB120" s="35">
        <f t="shared" si="57"/>
        <v>1449.8100000000002</v>
      </c>
      <c r="AC120" s="35">
        <f t="shared" si="58"/>
        <v>36.245250000000055</v>
      </c>
      <c r="AD120" s="11">
        <f t="shared" si="59"/>
        <v>2007.5</v>
      </c>
      <c r="AE120" s="11">
        <f t="shared" si="60"/>
        <v>2018</v>
      </c>
      <c r="AF120" s="11">
        <f t="shared" si="61"/>
        <v>2017.5</v>
      </c>
      <c r="AG120" s="11">
        <f t="shared" si="62"/>
        <v>2017</v>
      </c>
      <c r="AH120" s="11">
        <f t="shared" si="63"/>
        <v>-8.3333333333333329E-2</v>
      </c>
    </row>
    <row r="121" spans="3:34" s="7" customFormat="1">
      <c r="C121" s="7">
        <v>2</v>
      </c>
      <c r="D121" s="32" t="s">
        <v>208</v>
      </c>
      <c r="E121" s="15">
        <v>2007</v>
      </c>
      <c r="F121" s="7">
        <v>7</v>
      </c>
      <c r="G121" s="56">
        <v>0</v>
      </c>
      <c r="H121" s="56"/>
      <c r="I121" s="15" t="s">
        <v>103</v>
      </c>
      <c r="J121" s="15">
        <v>10</v>
      </c>
      <c r="K121" s="9">
        <f t="shared" si="48"/>
        <v>2017</v>
      </c>
      <c r="L121" s="57"/>
      <c r="N121" s="34">
        <f>930*1.086</f>
        <v>1009.98</v>
      </c>
      <c r="O121" s="44"/>
      <c r="P121" s="35">
        <f t="shared" si="49"/>
        <v>1009.98</v>
      </c>
      <c r="Q121" s="35">
        <f t="shared" si="50"/>
        <v>8.416500000000001</v>
      </c>
      <c r="R121" s="35">
        <f t="shared" si="51"/>
        <v>50.499000000000009</v>
      </c>
      <c r="S121" s="35"/>
      <c r="T121" s="35">
        <f t="shared" si="52"/>
        <v>50.499000000000009</v>
      </c>
      <c r="U121" s="35">
        <v>1</v>
      </c>
      <c r="V121" s="35">
        <f t="shared" si="53"/>
        <v>50.499000000000009</v>
      </c>
      <c r="W121" s="35"/>
      <c r="X121" s="35">
        <f t="shared" si="54"/>
        <v>959.48099999999999</v>
      </c>
      <c r="Y121" s="35">
        <f t="shared" si="55"/>
        <v>959.48099999999999</v>
      </c>
      <c r="Z121" s="35">
        <v>1</v>
      </c>
      <c r="AA121" s="35">
        <f t="shared" si="56"/>
        <v>959.48099999999999</v>
      </c>
      <c r="AB121" s="35">
        <f t="shared" si="57"/>
        <v>1009.98</v>
      </c>
      <c r="AC121" s="35">
        <f t="shared" si="58"/>
        <v>25.249500000000012</v>
      </c>
      <c r="AD121" s="11">
        <f t="shared" si="59"/>
        <v>2007.5</v>
      </c>
      <c r="AE121" s="11">
        <f t="shared" si="60"/>
        <v>2018</v>
      </c>
      <c r="AF121" s="11">
        <f t="shared" si="61"/>
        <v>2017.5</v>
      </c>
      <c r="AG121" s="11">
        <f t="shared" si="62"/>
        <v>2017</v>
      </c>
      <c r="AH121" s="11">
        <f t="shared" si="63"/>
        <v>-8.3333333333333329E-2</v>
      </c>
    </row>
    <row r="122" spans="3:34" s="7" customFormat="1">
      <c r="C122" s="7">
        <v>2</v>
      </c>
      <c r="D122" s="32" t="s">
        <v>208</v>
      </c>
      <c r="E122" s="15">
        <v>2007</v>
      </c>
      <c r="F122" s="7">
        <v>7</v>
      </c>
      <c r="G122" s="56">
        <v>0</v>
      </c>
      <c r="H122" s="56"/>
      <c r="I122" s="15" t="s">
        <v>103</v>
      </c>
      <c r="J122" s="15">
        <v>10</v>
      </c>
      <c r="K122" s="9">
        <f t="shared" si="48"/>
        <v>2017</v>
      </c>
      <c r="L122" s="57"/>
      <c r="N122" s="34">
        <f>930*1.086</f>
        <v>1009.98</v>
      </c>
      <c r="O122" s="44"/>
      <c r="P122" s="35">
        <f t="shared" si="49"/>
        <v>1009.98</v>
      </c>
      <c r="Q122" s="35">
        <f t="shared" si="50"/>
        <v>8.416500000000001</v>
      </c>
      <c r="R122" s="35">
        <f t="shared" si="51"/>
        <v>50.499000000000009</v>
      </c>
      <c r="S122" s="35"/>
      <c r="T122" s="35">
        <f t="shared" si="52"/>
        <v>50.499000000000009</v>
      </c>
      <c r="U122" s="35">
        <v>1</v>
      </c>
      <c r="V122" s="35">
        <f t="shared" si="53"/>
        <v>50.499000000000009</v>
      </c>
      <c r="W122" s="35"/>
      <c r="X122" s="35">
        <f t="shared" si="54"/>
        <v>959.48099999999999</v>
      </c>
      <c r="Y122" s="35">
        <f t="shared" si="55"/>
        <v>959.48099999999999</v>
      </c>
      <c r="Z122" s="35">
        <v>1</v>
      </c>
      <c r="AA122" s="35">
        <f t="shared" si="56"/>
        <v>959.48099999999999</v>
      </c>
      <c r="AB122" s="35">
        <f t="shared" si="57"/>
        <v>1009.98</v>
      </c>
      <c r="AC122" s="35">
        <f t="shared" si="58"/>
        <v>25.249500000000012</v>
      </c>
      <c r="AD122" s="11">
        <f t="shared" si="59"/>
        <v>2007.5</v>
      </c>
      <c r="AE122" s="11">
        <f t="shared" si="60"/>
        <v>2018</v>
      </c>
      <c r="AF122" s="11">
        <f t="shared" si="61"/>
        <v>2017.5</v>
      </c>
      <c r="AG122" s="11">
        <f t="shared" si="62"/>
        <v>2017</v>
      </c>
      <c r="AH122" s="11">
        <f t="shared" si="63"/>
        <v>-8.3333333333333329E-2</v>
      </c>
    </row>
    <row r="123" spans="3:34" s="7" customFormat="1">
      <c r="C123" s="7">
        <v>3</v>
      </c>
      <c r="D123" s="32" t="s">
        <v>206</v>
      </c>
      <c r="E123" s="15">
        <v>2007</v>
      </c>
      <c r="F123" s="7">
        <v>8</v>
      </c>
      <c r="G123" s="56">
        <v>0</v>
      </c>
      <c r="H123" s="56"/>
      <c r="I123" s="15" t="s">
        <v>103</v>
      </c>
      <c r="J123" s="15">
        <v>10</v>
      </c>
      <c r="K123" s="9">
        <f t="shared" si="48"/>
        <v>2017</v>
      </c>
      <c r="L123" s="57"/>
      <c r="N123" s="34">
        <f>1668+148.32+127.14</f>
        <v>1943.46</v>
      </c>
      <c r="O123" s="44"/>
      <c r="P123" s="35">
        <f t="shared" si="49"/>
        <v>1943.46</v>
      </c>
      <c r="Q123" s="35">
        <f t="shared" si="50"/>
        <v>16.195499999999999</v>
      </c>
      <c r="R123" s="35">
        <f t="shared" si="51"/>
        <v>113.36849999998526</v>
      </c>
      <c r="S123" s="35"/>
      <c r="T123" s="35">
        <f t="shared" si="52"/>
        <v>113.36849999998526</v>
      </c>
      <c r="U123" s="35">
        <v>1</v>
      </c>
      <c r="V123" s="35">
        <f t="shared" si="53"/>
        <v>113.36849999998526</v>
      </c>
      <c r="W123" s="35"/>
      <c r="X123" s="35">
        <f t="shared" si="54"/>
        <v>1830.0915000000148</v>
      </c>
      <c r="Y123" s="35">
        <f t="shared" si="55"/>
        <v>1830.0915000000148</v>
      </c>
      <c r="Z123" s="35">
        <v>1</v>
      </c>
      <c r="AA123" s="35">
        <f t="shared" si="56"/>
        <v>1830.0915000000148</v>
      </c>
      <c r="AB123" s="35">
        <f t="shared" si="57"/>
        <v>1943.46</v>
      </c>
      <c r="AC123" s="35">
        <f t="shared" si="58"/>
        <v>56.68424999999263</v>
      </c>
      <c r="AD123" s="11">
        <f t="shared" si="59"/>
        <v>2007.5833333333333</v>
      </c>
      <c r="AE123" s="11">
        <f t="shared" si="60"/>
        <v>2018</v>
      </c>
      <c r="AF123" s="11">
        <f t="shared" si="61"/>
        <v>2017.5833333333333</v>
      </c>
      <c r="AG123" s="11">
        <f t="shared" si="62"/>
        <v>2017</v>
      </c>
      <c r="AH123" s="11">
        <f t="shared" si="63"/>
        <v>-8.3333333333333329E-2</v>
      </c>
    </row>
    <row r="124" spans="3:34" s="7" customFormat="1">
      <c r="C124" s="7">
        <v>6</v>
      </c>
      <c r="D124" s="32" t="s">
        <v>207</v>
      </c>
      <c r="E124" s="15">
        <v>2007</v>
      </c>
      <c r="F124" s="7">
        <v>8</v>
      </c>
      <c r="G124" s="56">
        <v>0</v>
      </c>
      <c r="H124" s="56"/>
      <c r="I124" s="15" t="s">
        <v>103</v>
      </c>
      <c r="J124" s="15">
        <v>10</v>
      </c>
      <c r="K124" s="9">
        <f t="shared" si="48"/>
        <v>2017</v>
      </c>
      <c r="L124" s="57"/>
      <c r="N124" s="34">
        <f>6639.35-N123</f>
        <v>4695.8900000000003</v>
      </c>
      <c r="O124" s="44"/>
      <c r="P124" s="35">
        <f t="shared" si="49"/>
        <v>4695.8900000000003</v>
      </c>
      <c r="Q124" s="35">
        <f t="shared" si="50"/>
        <v>39.132416666666671</v>
      </c>
      <c r="R124" s="35">
        <f t="shared" si="51"/>
        <v>273.92691666663109</v>
      </c>
      <c r="S124" s="35"/>
      <c r="T124" s="35">
        <f t="shared" si="52"/>
        <v>273.92691666663109</v>
      </c>
      <c r="U124" s="35">
        <v>1</v>
      </c>
      <c r="V124" s="35">
        <f t="shared" si="53"/>
        <v>273.92691666663109</v>
      </c>
      <c r="W124" s="35"/>
      <c r="X124" s="35">
        <f t="shared" si="54"/>
        <v>4421.9630833333695</v>
      </c>
      <c r="Y124" s="35">
        <f t="shared" si="55"/>
        <v>4421.9630833333695</v>
      </c>
      <c r="Z124" s="35">
        <v>1</v>
      </c>
      <c r="AA124" s="35">
        <f t="shared" si="56"/>
        <v>4421.9630833333695</v>
      </c>
      <c r="AB124" s="35">
        <f t="shared" si="57"/>
        <v>4695.8900000000003</v>
      </c>
      <c r="AC124" s="35">
        <f t="shared" si="58"/>
        <v>136.96345833331543</v>
      </c>
      <c r="AD124" s="11">
        <f t="shared" si="59"/>
        <v>2007.5833333333333</v>
      </c>
      <c r="AE124" s="11">
        <f t="shared" si="60"/>
        <v>2018</v>
      </c>
      <c r="AF124" s="11">
        <f t="shared" si="61"/>
        <v>2017.5833333333333</v>
      </c>
      <c r="AG124" s="11">
        <f t="shared" si="62"/>
        <v>2017</v>
      </c>
      <c r="AH124" s="11">
        <f t="shared" si="63"/>
        <v>-8.3333333333333329E-2</v>
      </c>
    </row>
    <row r="125" spans="3:34" s="7" customFormat="1">
      <c r="C125" s="7">
        <v>10</v>
      </c>
      <c r="D125" s="32" t="s">
        <v>211</v>
      </c>
      <c r="E125" s="15">
        <v>2009</v>
      </c>
      <c r="F125" s="7">
        <v>4</v>
      </c>
      <c r="G125" s="56">
        <v>0</v>
      </c>
      <c r="H125" s="56"/>
      <c r="I125" s="15" t="s">
        <v>103</v>
      </c>
      <c r="J125" s="15">
        <v>5</v>
      </c>
      <c r="K125" s="9">
        <f t="shared" si="48"/>
        <v>2014</v>
      </c>
      <c r="L125" s="57"/>
      <c r="N125" s="34">
        <v>1005</v>
      </c>
      <c r="O125" s="44"/>
      <c r="P125" s="35">
        <f t="shared" si="49"/>
        <v>1005</v>
      </c>
      <c r="Q125" s="35">
        <f t="shared" si="50"/>
        <v>16.75</v>
      </c>
      <c r="R125" s="35">
        <f t="shared" si="51"/>
        <v>0</v>
      </c>
      <c r="S125" s="35"/>
      <c r="T125" s="35">
        <f t="shared" si="52"/>
        <v>0</v>
      </c>
      <c r="U125" s="35">
        <v>1</v>
      </c>
      <c r="V125" s="35">
        <f t="shared" si="53"/>
        <v>0</v>
      </c>
      <c r="W125" s="35"/>
      <c r="X125" s="35">
        <f t="shared" si="54"/>
        <v>1005</v>
      </c>
      <c r="Y125" s="35">
        <f t="shared" si="55"/>
        <v>1005</v>
      </c>
      <c r="Z125" s="35">
        <v>1</v>
      </c>
      <c r="AA125" s="35">
        <f t="shared" si="56"/>
        <v>1005</v>
      </c>
      <c r="AB125" s="35">
        <f t="shared" si="57"/>
        <v>1005</v>
      </c>
      <c r="AC125" s="35">
        <f t="shared" si="58"/>
        <v>0</v>
      </c>
      <c r="AD125" s="11">
        <f t="shared" si="59"/>
        <v>2009.25</v>
      </c>
      <c r="AE125" s="11">
        <f t="shared" si="60"/>
        <v>2018</v>
      </c>
      <c r="AF125" s="11">
        <f t="shared" si="61"/>
        <v>2014.25</v>
      </c>
      <c r="AG125" s="11">
        <f t="shared" si="62"/>
        <v>2017</v>
      </c>
      <c r="AH125" s="11">
        <f t="shared" si="63"/>
        <v>-8.3333333333333329E-2</v>
      </c>
    </row>
    <row r="126" spans="3:34" s="7" customFormat="1">
      <c r="C126" s="7">
        <v>5</v>
      </c>
      <c r="D126" s="32" t="s">
        <v>212</v>
      </c>
      <c r="E126" s="15">
        <v>2009</v>
      </c>
      <c r="F126" s="7">
        <v>4</v>
      </c>
      <c r="G126" s="56">
        <v>0</v>
      </c>
      <c r="H126" s="56"/>
      <c r="I126" s="15" t="s">
        <v>103</v>
      </c>
      <c r="J126" s="15">
        <v>5</v>
      </c>
      <c r="K126" s="9">
        <f t="shared" si="48"/>
        <v>2014</v>
      </c>
      <c r="L126" s="57"/>
      <c r="N126" s="34">
        <v>588</v>
      </c>
      <c r="O126" s="44"/>
      <c r="P126" s="35">
        <f t="shared" si="49"/>
        <v>588</v>
      </c>
      <c r="Q126" s="35">
        <f t="shared" si="50"/>
        <v>9.7999999999999989</v>
      </c>
      <c r="R126" s="35">
        <f t="shared" si="51"/>
        <v>0</v>
      </c>
      <c r="S126" s="35"/>
      <c r="T126" s="35">
        <f t="shared" si="52"/>
        <v>0</v>
      </c>
      <c r="U126" s="35">
        <v>1</v>
      </c>
      <c r="V126" s="35">
        <f t="shared" si="53"/>
        <v>0</v>
      </c>
      <c r="W126" s="35"/>
      <c r="X126" s="35">
        <f t="shared" si="54"/>
        <v>588</v>
      </c>
      <c r="Y126" s="35">
        <f t="shared" si="55"/>
        <v>588</v>
      </c>
      <c r="Z126" s="35">
        <v>1</v>
      </c>
      <c r="AA126" s="35">
        <f t="shared" si="56"/>
        <v>588</v>
      </c>
      <c r="AB126" s="35">
        <f t="shared" si="57"/>
        <v>588</v>
      </c>
      <c r="AC126" s="35">
        <f t="shared" si="58"/>
        <v>0</v>
      </c>
      <c r="AD126" s="11">
        <f t="shared" si="59"/>
        <v>2009.25</v>
      </c>
      <c r="AE126" s="11">
        <f t="shared" si="60"/>
        <v>2018</v>
      </c>
      <c r="AF126" s="11">
        <f t="shared" si="61"/>
        <v>2014.25</v>
      </c>
      <c r="AG126" s="11">
        <f t="shared" si="62"/>
        <v>2017</v>
      </c>
      <c r="AH126" s="11">
        <f t="shared" si="63"/>
        <v>-8.3333333333333329E-2</v>
      </c>
    </row>
    <row r="127" spans="3:34" s="7" customFormat="1">
      <c r="C127" s="7">
        <v>4</v>
      </c>
      <c r="D127" s="32" t="s">
        <v>213</v>
      </c>
      <c r="E127" s="15">
        <v>2009</v>
      </c>
      <c r="F127" s="7">
        <v>4</v>
      </c>
      <c r="G127" s="56">
        <v>0</v>
      </c>
      <c r="H127" s="56"/>
      <c r="I127" s="15" t="s">
        <v>103</v>
      </c>
      <c r="J127" s="15">
        <v>5</v>
      </c>
      <c r="K127" s="9">
        <f t="shared" si="48"/>
        <v>2014</v>
      </c>
      <c r="L127" s="57"/>
      <c r="N127" s="34">
        <v>873</v>
      </c>
      <c r="O127" s="44"/>
      <c r="P127" s="35">
        <f t="shared" si="49"/>
        <v>873</v>
      </c>
      <c r="Q127" s="35">
        <f t="shared" si="50"/>
        <v>14.549999999999999</v>
      </c>
      <c r="R127" s="35">
        <f t="shared" si="51"/>
        <v>0</v>
      </c>
      <c r="S127" s="35"/>
      <c r="T127" s="35">
        <f t="shared" si="52"/>
        <v>0</v>
      </c>
      <c r="U127" s="35">
        <v>1</v>
      </c>
      <c r="V127" s="35">
        <f t="shared" si="53"/>
        <v>0</v>
      </c>
      <c r="W127" s="35"/>
      <c r="X127" s="35">
        <f t="shared" si="54"/>
        <v>873</v>
      </c>
      <c r="Y127" s="35">
        <f t="shared" si="55"/>
        <v>873</v>
      </c>
      <c r="Z127" s="35">
        <v>1</v>
      </c>
      <c r="AA127" s="35">
        <f t="shared" si="56"/>
        <v>873</v>
      </c>
      <c r="AB127" s="35">
        <f t="shared" si="57"/>
        <v>873</v>
      </c>
      <c r="AC127" s="35">
        <f t="shared" si="58"/>
        <v>0</v>
      </c>
      <c r="AD127" s="11">
        <f t="shared" si="59"/>
        <v>2009.25</v>
      </c>
      <c r="AE127" s="11">
        <f t="shared" si="60"/>
        <v>2018</v>
      </c>
      <c r="AF127" s="11">
        <f t="shared" si="61"/>
        <v>2014.25</v>
      </c>
      <c r="AG127" s="11">
        <f t="shared" si="62"/>
        <v>2017</v>
      </c>
      <c r="AH127" s="11">
        <f t="shared" si="63"/>
        <v>-8.3333333333333329E-2</v>
      </c>
    </row>
    <row r="128" spans="3:34" s="7" customFormat="1">
      <c r="C128" s="7">
        <v>6</v>
      </c>
      <c r="D128" s="32" t="s">
        <v>214</v>
      </c>
      <c r="E128" s="15">
        <v>2009</v>
      </c>
      <c r="F128" s="7">
        <v>4</v>
      </c>
      <c r="G128" s="56">
        <v>0</v>
      </c>
      <c r="H128" s="56"/>
      <c r="I128" s="15" t="s">
        <v>103</v>
      </c>
      <c r="J128" s="15">
        <v>5</v>
      </c>
      <c r="K128" s="9">
        <f t="shared" si="48"/>
        <v>2014</v>
      </c>
      <c r="L128" s="57"/>
      <c r="N128" s="34">
        <v>1560</v>
      </c>
      <c r="O128" s="44"/>
      <c r="P128" s="35">
        <f t="shared" si="49"/>
        <v>1560</v>
      </c>
      <c r="Q128" s="35">
        <f t="shared" si="50"/>
        <v>26</v>
      </c>
      <c r="R128" s="35">
        <f t="shared" si="51"/>
        <v>0</v>
      </c>
      <c r="S128" s="35"/>
      <c r="T128" s="35">
        <f t="shared" si="52"/>
        <v>0</v>
      </c>
      <c r="U128" s="35">
        <v>1</v>
      </c>
      <c r="V128" s="35">
        <f t="shared" si="53"/>
        <v>0</v>
      </c>
      <c r="W128" s="35"/>
      <c r="X128" s="35">
        <f t="shared" si="54"/>
        <v>1560</v>
      </c>
      <c r="Y128" s="35">
        <f t="shared" si="55"/>
        <v>1560</v>
      </c>
      <c r="Z128" s="35">
        <v>1</v>
      </c>
      <c r="AA128" s="35">
        <f t="shared" si="56"/>
        <v>1560</v>
      </c>
      <c r="AB128" s="35">
        <f t="shared" si="57"/>
        <v>1560</v>
      </c>
      <c r="AC128" s="35">
        <f t="shared" si="58"/>
        <v>0</v>
      </c>
      <c r="AD128" s="11">
        <f t="shared" si="59"/>
        <v>2009.25</v>
      </c>
      <c r="AE128" s="11">
        <f t="shared" si="60"/>
        <v>2018</v>
      </c>
      <c r="AF128" s="11">
        <f t="shared" si="61"/>
        <v>2014.25</v>
      </c>
      <c r="AG128" s="11">
        <f t="shared" si="62"/>
        <v>2017</v>
      </c>
      <c r="AH128" s="11">
        <f t="shared" si="63"/>
        <v>-8.3333333333333329E-2</v>
      </c>
    </row>
    <row r="129" spans="3:34" s="7" customFormat="1">
      <c r="C129" s="7">
        <v>7</v>
      </c>
      <c r="D129" s="32" t="s">
        <v>209</v>
      </c>
      <c r="E129" s="15">
        <v>2010</v>
      </c>
      <c r="F129" s="7">
        <v>5</v>
      </c>
      <c r="G129" s="56">
        <v>0</v>
      </c>
      <c r="H129" s="56"/>
      <c r="I129" s="15" t="s">
        <v>103</v>
      </c>
      <c r="J129" s="15">
        <v>10</v>
      </c>
      <c r="K129" s="9">
        <f t="shared" si="48"/>
        <v>2020</v>
      </c>
      <c r="L129" s="57"/>
      <c r="N129" s="34">
        <v>2792</v>
      </c>
      <c r="O129" s="44"/>
      <c r="P129" s="35">
        <f t="shared" si="49"/>
        <v>2792</v>
      </c>
      <c r="Q129" s="35">
        <f t="shared" si="50"/>
        <v>23.266666666666666</v>
      </c>
      <c r="R129" s="35">
        <f t="shared" si="51"/>
        <v>279.2</v>
      </c>
      <c r="S129" s="35"/>
      <c r="T129" s="35">
        <f t="shared" si="52"/>
        <v>279.2</v>
      </c>
      <c r="U129" s="35">
        <v>1</v>
      </c>
      <c r="V129" s="35">
        <f t="shared" si="53"/>
        <v>279.2</v>
      </c>
      <c r="W129" s="35"/>
      <c r="X129" s="35">
        <f t="shared" si="54"/>
        <v>1861.3333333333544</v>
      </c>
      <c r="Y129" s="35">
        <f t="shared" si="55"/>
        <v>1861.3333333333544</v>
      </c>
      <c r="Z129" s="35">
        <v>1</v>
      </c>
      <c r="AA129" s="35">
        <f t="shared" si="56"/>
        <v>1861.3333333333544</v>
      </c>
      <c r="AB129" s="35">
        <f t="shared" si="57"/>
        <v>2140.5333333333542</v>
      </c>
      <c r="AC129" s="35">
        <f t="shared" si="58"/>
        <v>791.06666666664569</v>
      </c>
      <c r="AD129" s="11">
        <f t="shared" si="59"/>
        <v>2010.3333333333333</v>
      </c>
      <c r="AE129" s="11">
        <f t="shared" si="60"/>
        <v>2018</v>
      </c>
      <c r="AF129" s="11">
        <f t="shared" si="61"/>
        <v>2020.3333333333333</v>
      </c>
      <c r="AG129" s="11">
        <f t="shared" si="62"/>
        <v>2017</v>
      </c>
      <c r="AH129" s="11">
        <f t="shared" si="63"/>
        <v>-8.3333333333333329E-2</v>
      </c>
    </row>
    <row r="130" spans="3:34" s="7" customFormat="1">
      <c r="C130" s="7">
        <v>3</v>
      </c>
      <c r="D130" s="32" t="s">
        <v>210</v>
      </c>
      <c r="E130" s="15">
        <v>2010</v>
      </c>
      <c r="F130" s="7">
        <v>5</v>
      </c>
      <c r="G130" s="56">
        <v>0</v>
      </c>
      <c r="H130" s="56"/>
      <c r="I130" s="15" t="s">
        <v>103</v>
      </c>
      <c r="J130" s="15">
        <v>10</v>
      </c>
      <c r="K130" s="9">
        <f t="shared" si="48"/>
        <v>2020</v>
      </c>
      <c r="L130" s="57"/>
      <c r="N130" s="34">
        <v>1294</v>
      </c>
      <c r="O130" s="44"/>
      <c r="P130" s="35">
        <f t="shared" si="49"/>
        <v>1294</v>
      </c>
      <c r="Q130" s="35">
        <f t="shared" si="50"/>
        <v>10.783333333333333</v>
      </c>
      <c r="R130" s="35">
        <f t="shared" si="51"/>
        <v>129.4</v>
      </c>
      <c r="S130" s="35"/>
      <c r="T130" s="35">
        <f t="shared" si="52"/>
        <v>129.4</v>
      </c>
      <c r="U130" s="35">
        <v>1</v>
      </c>
      <c r="V130" s="35">
        <f t="shared" si="53"/>
        <v>129.4</v>
      </c>
      <c r="W130" s="35"/>
      <c r="X130" s="35">
        <f t="shared" si="54"/>
        <v>862.66666666667652</v>
      </c>
      <c r="Y130" s="35">
        <f t="shared" si="55"/>
        <v>862.66666666667652</v>
      </c>
      <c r="Z130" s="35">
        <v>1</v>
      </c>
      <c r="AA130" s="35">
        <f t="shared" si="56"/>
        <v>862.66666666667652</v>
      </c>
      <c r="AB130" s="35">
        <f t="shared" si="57"/>
        <v>992.0666666666765</v>
      </c>
      <c r="AC130" s="35">
        <f t="shared" si="58"/>
        <v>366.63333333332349</v>
      </c>
      <c r="AD130" s="11">
        <f t="shared" si="59"/>
        <v>2010.3333333333333</v>
      </c>
      <c r="AE130" s="11">
        <f t="shared" si="60"/>
        <v>2018</v>
      </c>
      <c r="AF130" s="11">
        <f t="shared" si="61"/>
        <v>2020.3333333333333</v>
      </c>
      <c r="AG130" s="11">
        <f t="shared" si="62"/>
        <v>2017</v>
      </c>
      <c r="AH130" s="11">
        <f t="shared" si="63"/>
        <v>-8.3333333333333329E-2</v>
      </c>
    </row>
    <row r="131" spans="3:34" s="7" customFormat="1">
      <c r="C131" s="7">
        <v>3</v>
      </c>
      <c r="D131" s="32" t="s">
        <v>210</v>
      </c>
      <c r="E131" s="15">
        <v>2011</v>
      </c>
      <c r="F131" s="7">
        <v>1</v>
      </c>
      <c r="G131" s="56">
        <v>0</v>
      </c>
      <c r="H131" s="56"/>
      <c r="I131" s="15" t="s">
        <v>103</v>
      </c>
      <c r="J131" s="15">
        <v>10</v>
      </c>
      <c r="K131" s="9">
        <f t="shared" si="48"/>
        <v>2021</v>
      </c>
      <c r="L131" s="57"/>
      <c r="N131" s="34">
        <v>1623.47</v>
      </c>
      <c r="O131" s="44"/>
      <c r="P131" s="35">
        <f t="shared" si="49"/>
        <v>1623.47</v>
      </c>
      <c r="Q131" s="35">
        <f t="shared" si="50"/>
        <v>13.528916666666667</v>
      </c>
      <c r="R131" s="35">
        <f t="shared" si="51"/>
        <v>162.34700000000001</v>
      </c>
      <c r="S131" s="35"/>
      <c r="T131" s="35">
        <f t="shared" si="52"/>
        <v>162.34700000000001</v>
      </c>
      <c r="U131" s="35">
        <v>1</v>
      </c>
      <c r="V131" s="35">
        <f t="shared" si="53"/>
        <v>162.34700000000001</v>
      </c>
      <c r="W131" s="35"/>
      <c r="X131" s="35">
        <f t="shared" si="54"/>
        <v>974.08200000000011</v>
      </c>
      <c r="Y131" s="35">
        <f t="shared" si="55"/>
        <v>974.08200000000011</v>
      </c>
      <c r="Z131" s="35">
        <v>1</v>
      </c>
      <c r="AA131" s="35">
        <f t="shared" si="56"/>
        <v>974.08200000000011</v>
      </c>
      <c r="AB131" s="35">
        <f t="shared" si="57"/>
        <v>1136.4290000000001</v>
      </c>
      <c r="AC131" s="35">
        <f t="shared" si="58"/>
        <v>568.21449999999993</v>
      </c>
      <c r="AD131" s="11">
        <f t="shared" si="59"/>
        <v>2011</v>
      </c>
      <c r="AE131" s="11">
        <f t="shared" si="60"/>
        <v>2018</v>
      </c>
      <c r="AF131" s="11">
        <f t="shared" si="61"/>
        <v>2021</v>
      </c>
      <c r="AG131" s="11">
        <f t="shared" si="62"/>
        <v>2017</v>
      </c>
      <c r="AH131" s="11">
        <f t="shared" si="63"/>
        <v>-8.3333333333333329E-2</v>
      </c>
    </row>
    <row r="132" spans="3:34" s="7" customFormat="1">
      <c r="C132" s="7">
        <v>2</v>
      </c>
      <c r="D132" s="32" t="s">
        <v>208</v>
      </c>
      <c r="E132" s="15">
        <v>2011</v>
      </c>
      <c r="F132" s="7">
        <v>1</v>
      </c>
      <c r="G132" s="56">
        <v>0</v>
      </c>
      <c r="H132" s="56"/>
      <c r="I132" s="15" t="s">
        <v>103</v>
      </c>
      <c r="J132" s="15">
        <v>10</v>
      </c>
      <c r="K132" s="9">
        <f t="shared" si="48"/>
        <v>2021</v>
      </c>
      <c r="L132" s="57"/>
      <c r="N132" s="34">
        <v>1636.4</v>
      </c>
      <c r="O132" s="44"/>
      <c r="P132" s="35">
        <f t="shared" si="49"/>
        <v>1636.4</v>
      </c>
      <c r="Q132" s="35">
        <f t="shared" si="50"/>
        <v>13.636666666666668</v>
      </c>
      <c r="R132" s="35">
        <f t="shared" si="51"/>
        <v>163.64000000000001</v>
      </c>
      <c r="S132" s="35"/>
      <c r="T132" s="35">
        <f t="shared" si="52"/>
        <v>163.64000000000001</v>
      </c>
      <c r="U132" s="35">
        <v>1</v>
      </c>
      <c r="V132" s="35">
        <f t="shared" si="53"/>
        <v>163.64000000000001</v>
      </c>
      <c r="W132" s="35"/>
      <c r="X132" s="35">
        <f t="shared" si="54"/>
        <v>981.84000000000015</v>
      </c>
      <c r="Y132" s="35">
        <f t="shared" si="55"/>
        <v>981.84000000000015</v>
      </c>
      <c r="Z132" s="35">
        <v>1</v>
      </c>
      <c r="AA132" s="35">
        <f t="shared" si="56"/>
        <v>981.84000000000015</v>
      </c>
      <c r="AB132" s="35">
        <f t="shared" si="57"/>
        <v>1145.4800000000002</v>
      </c>
      <c r="AC132" s="35">
        <f t="shared" si="58"/>
        <v>572.7399999999999</v>
      </c>
      <c r="AD132" s="11">
        <f t="shared" si="59"/>
        <v>2011</v>
      </c>
      <c r="AE132" s="11">
        <f t="shared" si="60"/>
        <v>2018</v>
      </c>
      <c r="AF132" s="11">
        <f t="shared" si="61"/>
        <v>2021</v>
      </c>
      <c r="AG132" s="11">
        <f t="shared" si="62"/>
        <v>2017</v>
      </c>
      <c r="AH132" s="11">
        <f t="shared" si="63"/>
        <v>-8.3333333333333329E-2</v>
      </c>
    </row>
    <row r="133" spans="3:34" s="7" customFormat="1">
      <c r="C133" s="7">
        <v>4</v>
      </c>
      <c r="D133" s="32" t="s">
        <v>210</v>
      </c>
      <c r="E133" s="15">
        <v>2011</v>
      </c>
      <c r="F133" s="7">
        <v>12</v>
      </c>
      <c r="G133" s="56">
        <v>0</v>
      </c>
      <c r="H133" s="56"/>
      <c r="I133" s="15" t="s">
        <v>103</v>
      </c>
      <c r="J133" s="15">
        <v>10</v>
      </c>
      <c r="K133" s="9">
        <f t="shared" si="48"/>
        <v>2021</v>
      </c>
      <c r="L133" s="57"/>
      <c r="N133" s="34">
        <v>2165</v>
      </c>
      <c r="O133" s="44"/>
      <c r="P133" s="35">
        <f t="shared" si="49"/>
        <v>2165</v>
      </c>
      <c r="Q133" s="35">
        <f t="shared" si="50"/>
        <v>18.041666666666668</v>
      </c>
      <c r="R133" s="35">
        <f t="shared" si="51"/>
        <v>216.5</v>
      </c>
      <c r="S133" s="35"/>
      <c r="T133" s="35">
        <f t="shared" si="52"/>
        <v>216.5</v>
      </c>
      <c r="U133" s="35">
        <v>1</v>
      </c>
      <c r="V133" s="35">
        <f t="shared" si="53"/>
        <v>216.5</v>
      </c>
      <c r="W133" s="35"/>
      <c r="X133" s="35">
        <f t="shared" si="54"/>
        <v>1100.5416666666504</v>
      </c>
      <c r="Y133" s="35">
        <f t="shared" si="55"/>
        <v>1100.5416666666504</v>
      </c>
      <c r="Z133" s="35">
        <v>1</v>
      </c>
      <c r="AA133" s="35">
        <f t="shared" si="56"/>
        <v>1100.5416666666504</v>
      </c>
      <c r="AB133" s="35">
        <f t="shared" si="57"/>
        <v>1317.0416666666504</v>
      </c>
      <c r="AC133" s="35">
        <f t="shared" si="58"/>
        <v>956.20833333334963</v>
      </c>
      <c r="AD133" s="11">
        <f t="shared" si="59"/>
        <v>2011.9166666666667</v>
      </c>
      <c r="AE133" s="11">
        <f t="shared" si="60"/>
        <v>2018</v>
      </c>
      <c r="AF133" s="11">
        <f t="shared" si="61"/>
        <v>2021.9166666666667</v>
      </c>
      <c r="AG133" s="11">
        <f t="shared" si="62"/>
        <v>2017</v>
      </c>
      <c r="AH133" s="11">
        <f t="shared" si="63"/>
        <v>-8.3333333333333329E-2</v>
      </c>
    </row>
    <row r="134" spans="3:34" s="7" customFormat="1">
      <c r="C134" s="7">
        <v>4</v>
      </c>
      <c r="D134" s="32" t="s">
        <v>206</v>
      </c>
      <c r="E134" s="15">
        <v>2011</v>
      </c>
      <c r="F134" s="7">
        <v>12</v>
      </c>
      <c r="G134" s="56">
        <v>0</v>
      </c>
      <c r="H134" s="56"/>
      <c r="I134" s="15" t="s">
        <v>103</v>
      </c>
      <c r="J134" s="15">
        <v>10</v>
      </c>
      <c r="K134" s="9">
        <f t="shared" si="48"/>
        <v>2021</v>
      </c>
      <c r="L134" s="57"/>
      <c r="N134" s="34">
        <v>3060.43</v>
      </c>
      <c r="O134" s="44"/>
      <c r="P134" s="35">
        <f t="shared" si="49"/>
        <v>3060.43</v>
      </c>
      <c r="Q134" s="35">
        <f t="shared" si="50"/>
        <v>25.503583333333335</v>
      </c>
      <c r="R134" s="35">
        <f t="shared" si="51"/>
        <v>306.04300000000001</v>
      </c>
      <c r="S134" s="35"/>
      <c r="T134" s="35">
        <f t="shared" si="52"/>
        <v>306.04300000000001</v>
      </c>
      <c r="U134" s="35">
        <v>1</v>
      </c>
      <c r="V134" s="35">
        <f t="shared" si="53"/>
        <v>306.04300000000001</v>
      </c>
      <c r="W134" s="35"/>
      <c r="X134" s="35">
        <f t="shared" si="54"/>
        <v>1555.7185833333103</v>
      </c>
      <c r="Y134" s="35">
        <f t="shared" si="55"/>
        <v>1555.7185833333103</v>
      </c>
      <c r="Z134" s="35">
        <v>1</v>
      </c>
      <c r="AA134" s="35">
        <f t="shared" si="56"/>
        <v>1555.7185833333103</v>
      </c>
      <c r="AB134" s="35">
        <f t="shared" si="57"/>
        <v>1861.7615833333102</v>
      </c>
      <c r="AC134" s="35">
        <f t="shared" si="58"/>
        <v>1351.6899166666894</v>
      </c>
      <c r="AD134" s="11">
        <f t="shared" si="59"/>
        <v>2011.9166666666667</v>
      </c>
      <c r="AE134" s="11">
        <f t="shared" si="60"/>
        <v>2018</v>
      </c>
      <c r="AF134" s="11">
        <f t="shared" si="61"/>
        <v>2021.9166666666667</v>
      </c>
      <c r="AG134" s="11">
        <f t="shared" si="62"/>
        <v>2017</v>
      </c>
      <c r="AH134" s="11">
        <f t="shared" si="63"/>
        <v>-8.3333333333333329E-2</v>
      </c>
    </row>
    <row r="135" spans="3:34" s="7" customFormat="1">
      <c r="C135" s="7">
        <v>3</v>
      </c>
      <c r="D135" s="32" t="s">
        <v>207</v>
      </c>
      <c r="E135" s="15">
        <v>2011</v>
      </c>
      <c r="F135" s="7">
        <v>12</v>
      </c>
      <c r="G135" s="56">
        <v>0</v>
      </c>
      <c r="H135" s="56"/>
      <c r="I135" s="15" t="s">
        <v>103</v>
      </c>
      <c r="J135" s="15">
        <v>10</v>
      </c>
      <c r="K135" s="9">
        <f t="shared" si="48"/>
        <v>2021</v>
      </c>
      <c r="L135" s="57"/>
      <c r="N135" s="34">
        <v>2347.9499999999998</v>
      </c>
      <c r="O135" s="44"/>
      <c r="P135" s="35">
        <f t="shared" si="49"/>
        <v>2347.9499999999998</v>
      </c>
      <c r="Q135" s="35">
        <f t="shared" si="50"/>
        <v>19.56625</v>
      </c>
      <c r="R135" s="35">
        <f t="shared" si="51"/>
        <v>234.79500000000002</v>
      </c>
      <c r="S135" s="35"/>
      <c r="T135" s="35">
        <f t="shared" si="52"/>
        <v>234.79500000000002</v>
      </c>
      <c r="U135" s="35">
        <v>1</v>
      </c>
      <c r="V135" s="35">
        <f t="shared" si="53"/>
        <v>234.79500000000002</v>
      </c>
      <c r="W135" s="35"/>
      <c r="X135" s="35">
        <f t="shared" si="54"/>
        <v>1193.5412499999823</v>
      </c>
      <c r="Y135" s="35">
        <f t="shared" si="55"/>
        <v>1193.5412499999823</v>
      </c>
      <c r="Z135" s="35">
        <v>1</v>
      </c>
      <c r="AA135" s="35">
        <f t="shared" si="56"/>
        <v>1193.5412499999823</v>
      </c>
      <c r="AB135" s="35">
        <f t="shared" si="57"/>
        <v>1428.3362499999823</v>
      </c>
      <c r="AC135" s="35">
        <f t="shared" si="58"/>
        <v>1037.0112500000175</v>
      </c>
      <c r="AD135" s="11">
        <f t="shared" si="59"/>
        <v>2011.9166666666667</v>
      </c>
      <c r="AE135" s="11">
        <f t="shared" si="60"/>
        <v>2018</v>
      </c>
      <c r="AF135" s="11">
        <f t="shared" si="61"/>
        <v>2021.9166666666667</v>
      </c>
      <c r="AG135" s="11">
        <f t="shared" si="62"/>
        <v>2017</v>
      </c>
      <c r="AH135" s="11">
        <f t="shared" si="63"/>
        <v>-8.3333333333333329E-2</v>
      </c>
    </row>
    <row r="136" spans="3:34" s="7" customFormat="1">
      <c r="C136" s="7">
        <v>3</v>
      </c>
      <c r="D136" s="32" t="s">
        <v>209</v>
      </c>
      <c r="E136" s="15">
        <v>2012</v>
      </c>
      <c r="F136" s="7">
        <v>11</v>
      </c>
      <c r="G136" s="56">
        <v>0</v>
      </c>
      <c r="H136" s="56"/>
      <c r="I136" s="15" t="s">
        <v>103</v>
      </c>
      <c r="J136" s="15">
        <v>10</v>
      </c>
      <c r="K136" s="9">
        <f t="shared" si="48"/>
        <v>2022</v>
      </c>
      <c r="L136" s="57"/>
      <c r="N136" s="34">
        <v>1342</v>
      </c>
      <c r="O136" s="44"/>
      <c r="P136" s="35">
        <f t="shared" si="49"/>
        <v>1342</v>
      </c>
      <c r="Q136" s="35">
        <f t="shared" si="50"/>
        <v>11.183333333333332</v>
      </c>
      <c r="R136" s="35">
        <f t="shared" si="51"/>
        <v>134.19999999999999</v>
      </c>
      <c r="S136" s="35"/>
      <c r="T136" s="35">
        <f t="shared" si="52"/>
        <v>134.19999999999999</v>
      </c>
      <c r="U136" s="35">
        <v>1</v>
      </c>
      <c r="V136" s="35">
        <f t="shared" si="53"/>
        <v>134.19999999999999</v>
      </c>
      <c r="W136" s="35"/>
      <c r="X136" s="35">
        <f t="shared" si="54"/>
        <v>559.16666666667675</v>
      </c>
      <c r="Y136" s="35">
        <f t="shared" si="55"/>
        <v>559.16666666667675</v>
      </c>
      <c r="Z136" s="35">
        <v>1</v>
      </c>
      <c r="AA136" s="35">
        <f t="shared" si="56"/>
        <v>559.16666666667675</v>
      </c>
      <c r="AB136" s="35">
        <f t="shared" si="57"/>
        <v>693.36666666667679</v>
      </c>
      <c r="AC136" s="35">
        <f t="shared" si="58"/>
        <v>715.73333333332323</v>
      </c>
      <c r="AD136" s="11">
        <f t="shared" si="59"/>
        <v>2012.8333333333333</v>
      </c>
      <c r="AE136" s="11">
        <f t="shared" si="60"/>
        <v>2018</v>
      </c>
      <c r="AF136" s="11">
        <f t="shared" si="61"/>
        <v>2022.8333333333333</v>
      </c>
      <c r="AG136" s="11">
        <f t="shared" si="62"/>
        <v>2017</v>
      </c>
      <c r="AH136" s="11">
        <f t="shared" si="63"/>
        <v>-8.3333333333333329E-2</v>
      </c>
    </row>
    <row r="137" spans="3:34" s="7" customFormat="1">
      <c r="C137" s="7">
        <v>5</v>
      </c>
      <c r="D137" s="32" t="s">
        <v>208</v>
      </c>
      <c r="E137" s="15">
        <v>2012</v>
      </c>
      <c r="F137" s="7">
        <v>11</v>
      </c>
      <c r="G137" s="56">
        <v>0</v>
      </c>
      <c r="H137" s="56"/>
      <c r="I137" s="15" t="s">
        <v>103</v>
      </c>
      <c r="J137" s="15">
        <v>10</v>
      </c>
      <c r="K137" s="9">
        <f t="shared" si="48"/>
        <v>2022</v>
      </c>
      <c r="L137" s="57"/>
      <c r="N137" s="34">
        <v>2485</v>
      </c>
      <c r="O137" s="44"/>
      <c r="P137" s="35">
        <f t="shared" si="49"/>
        <v>2485</v>
      </c>
      <c r="Q137" s="35">
        <f t="shared" si="50"/>
        <v>20.708333333333332</v>
      </c>
      <c r="R137" s="35">
        <f t="shared" si="51"/>
        <v>248.5</v>
      </c>
      <c r="S137" s="35"/>
      <c r="T137" s="35">
        <f t="shared" si="52"/>
        <v>248.5</v>
      </c>
      <c r="U137" s="35">
        <v>1</v>
      </c>
      <c r="V137" s="35">
        <f t="shared" si="53"/>
        <v>248.5</v>
      </c>
      <c r="W137" s="35"/>
      <c r="X137" s="35">
        <f t="shared" si="54"/>
        <v>1035.4166666666854</v>
      </c>
      <c r="Y137" s="35">
        <f t="shared" si="55"/>
        <v>1035.4166666666854</v>
      </c>
      <c r="Z137" s="35">
        <v>1</v>
      </c>
      <c r="AA137" s="35">
        <f t="shared" si="56"/>
        <v>1035.4166666666854</v>
      </c>
      <c r="AB137" s="35">
        <f t="shared" si="57"/>
        <v>1283.9166666666854</v>
      </c>
      <c r="AC137" s="35">
        <f t="shared" si="58"/>
        <v>1325.3333333333146</v>
      </c>
      <c r="AD137" s="11">
        <f t="shared" si="59"/>
        <v>2012.8333333333333</v>
      </c>
      <c r="AE137" s="11">
        <f t="shared" si="60"/>
        <v>2018</v>
      </c>
      <c r="AF137" s="11">
        <f t="shared" si="61"/>
        <v>2022.8333333333333</v>
      </c>
      <c r="AG137" s="11">
        <f t="shared" si="62"/>
        <v>2017</v>
      </c>
      <c r="AH137" s="11">
        <f t="shared" si="63"/>
        <v>-8.3333333333333329E-2</v>
      </c>
    </row>
    <row r="138" spans="3:34" s="7" customFormat="1">
      <c r="C138" s="7">
        <v>8</v>
      </c>
      <c r="D138" s="32" t="s">
        <v>209</v>
      </c>
      <c r="E138" s="15">
        <v>2014</v>
      </c>
      <c r="F138" s="7">
        <v>12</v>
      </c>
      <c r="G138" s="56">
        <v>0</v>
      </c>
      <c r="H138" s="56"/>
      <c r="I138" s="15" t="s">
        <v>103</v>
      </c>
      <c r="J138" s="15">
        <v>10</v>
      </c>
      <c r="K138" s="9">
        <f t="shared" si="48"/>
        <v>2024</v>
      </c>
      <c r="L138" s="57"/>
      <c r="N138" s="34">
        <v>4064.06</v>
      </c>
      <c r="O138" s="44"/>
      <c r="P138" s="35">
        <f t="shared" si="49"/>
        <v>4064.06</v>
      </c>
      <c r="Q138" s="35">
        <f t="shared" si="50"/>
        <v>33.86716666666667</v>
      </c>
      <c r="R138" s="35">
        <f t="shared" si="51"/>
        <v>406.40600000000006</v>
      </c>
      <c r="S138" s="35"/>
      <c r="T138" s="35">
        <f t="shared" si="52"/>
        <v>406.40600000000006</v>
      </c>
      <c r="U138" s="35">
        <v>1</v>
      </c>
      <c r="V138" s="35">
        <f t="shared" si="53"/>
        <v>406.40600000000006</v>
      </c>
      <c r="W138" s="35"/>
      <c r="X138" s="35">
        <f t="shared" si="54"/>
        <v>846.67916666663598</v>
      </c>
      <c r="Y138" s="35">
        <f t="shared" si="55"/>
        <v>846.67916666663598</v>
      </c>
      <c r="Z138" s="35">
        <v>1</v>
      </c>
      <c r="AA138" s="35">
        <f t="shared" si="56"/>
        <v>846.67916666663598</v>
      </c>
      <c r="AB138" s="35">
        <f t="shared" si="57"/>
        <v>1253.085166666636</v>
      </c>
      <c r="AC138" s="35">
        <f t="shared" si="58"/>
        <v>3014.1778333333641</v>
      </c>
      <c r="AD138" s="11">
        <f t="shared" si="59"/>
        <v>2014.9166666666667</v>
      </c>
      <c r="AE138" s="11">
        <f t="shared" si="60"/>
        <v>2018</v>
      </c>
      <c r="AF138" s="11">
        <f t="shared" si="61"/>
        <v>2024.9166666666667</v>
      </c>
      <c r="AG138" s="11">
        <f t="shared" si="62"/>
        <v>2017</v>
      </c>
      <c r="AH138" s="11">
        <f t="shared" si="63"/>
        <v>-8.3333333333333329E-2</v>
      </c>
    </row>
    <row r="139" spans="3:34" s="7" customFormat="1">
      <c r="C139" s="7">
        <v>3</v>
      </c>
      <c r="D139" s="32" t="s">
        <v>210</v>
      </c>
      <c r="E139" s="15">
        <v>2014</v>
      </c>
      <c r="F139" s="7">
        <v>12</v>
      </c>
      <c r="G139" s="56">
        <v>0</v>
      </c>
      <c r="H139" s="56"/>
      <c r="I139" s="15" t="s">
        <v>103</v>
      </c>
      <c r="J139" s="15">
        <v>10</v>
      </c>
      <c r="K139" s="9">
        <f t="shared" si="48"/>
        <v>2024</v>
      </c>
      <c r="L139" s="57"/>
      <c r="N139" s="34">
        <v>1656.89</v>
      </c>
      <c r="O139" s="44"/>
      <c r="P139" s="35">
        <f t="shared" si="49"/>
        <v>1656.89</v>
      </c>
      <c r="Q139" s="35">
        <f t="shared" si="50"/>
        <v>13.807416666666668</v>
      </c>
      <c r="R139" s="35">
        <f t="shared" si="51"/>
        <v>165.68900000000002</v>
      </c>
      <c r="S139" s="35"/>
      <c r="T139" s="35">
        <f t="shared" si="52"/>
        <v>165.68900000000002</v>
      </c>
      <c r="U139" s="35">
        <v>1</v>
      </c>
      <c r="V139" s="35">
        <f t="shared" si="53"/>
        <v>165.68900000000002</v>
      </c>
      <c r="W139" s="35"/>
      <c r="X139" s="35">
        <f t="shared" si="54"/>
        <v>345.18541666665413</v>
      </c>
      <c r="Y139" s="35">
        <f t="shared" si="55"/>
        <v>345.18541666665413</v>
      </c>
      <c r="Z139" s="35">
        <v>1</v>
      </c>
      <c r="AA139" s="35">
        <f t="shared" si="56"/>
        <v>345.18541666665413</v>
      </c>
      <c r="AB139" s="35">
        <f t="shared" si="57"/>
        <v>510.87441666665416</v>
      </c>
      <c r="AC139" s="35">
        <f t="shared" si="58"/>
        <v>1228.860083333346</v>
      </c>
      <c r="AD139" s="11">
        <f t="shared" si="59"/>
        <v>2014.9166666666667</v>
      </c>
      <c r="AE139" s="11">
        <f t="shared" si="60"/>
        <v>2018</v>
      </c>
      <c r="AF139" s="11">
        <f t="shared" si="61"/>
        <v>2024.9166666666667</v>
      </c>
      <c r="AG139" s="11">
        <f t="shared" si="62"/>
        <v>2017</v>
      </c>
      <c r="AH139" s="11">
        <f t="shared" si="63"/>
        <v>-8.3333333333333329E-2</v>
      </c>
    </row>
    <row r="140" spans="3:34" s="7" customFormat="1">
      <c r="C140" s="7">
        <v>2</v>
      </c>
      <c r="D140" s="32" t="s">
        <v>206</v>
      </c>
      <c r="E140" s="15">
        <v>2014</v>
      </c>
      <c r="F140" s="7">
        <v>12</v>
      </c>
      <c r="G140" s="56">
        <v>0</v>
      </c>
      <c r="H140" s="56"/>
      <c r="I140" s="15" t="s">
        <v>103</v>
      </c>
      <c r="J140" s="15">
        <v>10</v>
      </c>
      <c r="K140" s="9">
        <f t="shared" si="48"/>
        <v>2024</v>
      </c>
      <c r="L140" s="57"/>
      <c r="N140" s="34">
        <v>1621.31</v>
      </c>
      <c r="O140" s="44"/>
      <c r="P140" s="35">
        <f t="shared" si="49"/>
        <v>1621.31</v>
      </c>
      <c r="Q140" s="35">
        <f t="shared" si="50"/>
        <v>13.510916666666667</v>
      </c>
      <c r="R140" s="35">
        <f t="shared" si="51"/>
        <v>162.131</v>
      </c>
      <c r="S140" s="35"/>
      <c r="T140" s="35">
        <f t="shared" si="52"/>
        <v>162.131</v>
      </c>
      <c r="U140" s="35">
        <v>1</v>
      </c>
      <c r="V140" s="35">
        <f t="shared" si="53"/>
        <v>162.131</v>
      </c>
      <c r="W140" s="35"/>
      <c r="X140" s="35">
        <f t="shared" si="54"/>
        <v>337.7729166666544</v>
      </c>
      <c r="Y140" s="35">
        <f t="shared" si="55"/>
        <v>337.7729166666544</v>
      </c>
      <c r="Z140" s="35">
        <v>1</v>
      </c>
      <c r="AA140" s="35">
        <f t="shared" si="56"/>
        <v>337.7729166666544</v>
      </c>
      <c r="AB140" s="35">
        <f t="shared" si="57"/>
        <v>499.90391666665437</v>
      </c>
      <c r="AC140" s="35">
        <f t="shared" si="58"/>
        <v>1202.4715833333455</v>
      </c>
      <c r="AD140" s="11">
        <f t="shared" si="59"/>
        <v>2014.9166666666667</v>
      </c>
      <c r="AE140" s="11">
        <f t="shared" si="60"/>
        <v>2018</v>
      </c>
      <c r="AF140" s="11">
        <f t="shared" si="61"/>
        <v>2024.9166666666667</v>
      </c>
      <c r="AG140" s="11">
        <f t="shared" si="62"/>
        <v>2017</v>
      </c>
      <c r="AH140" s="11">
        <f t="shared" si="63"/>
        <v>-8.3333333333333329E-2</v>
      </c>
    </row>
    <row r="141" spans="3:34" s="7" customFormat="1">
      <c r="C141" s="7">
        <v>2</v>
      </c>
      <c r="D141" s="32" t="s">
        <v>207</v>
      </c>
      <c r="E141" s="15">
        <v>2014</v>
      </c>
      <c r="F141" s="7">
        <v>12</v>
      </c>
      <c r="G141" s="56">
        <v>0</v>
      </c>
      <c r="H141" s="56"/>
      <c r="I141" s="15" t="s">
        <v>103</v>
      </c>
      <c r="J141" s="15">
        <v>10</v>
      </c>
      <c r="K141" s="9">
        <f t="shared" ref="K141:K154" si="64">E141+J141</f>
        <v>2024</v>
      </c>
      <c r="L141" s="57"/>
      <c r="N141" s="34">
        <v>1892.97</v>
      </c>
      <c r="O141" s="44"/>
      <c r="P141" s="35">
        <f t="shared" ref="P141:P154" si="65">N141-N141*G141</f>
        <v>1892.97</v>
      </c>
      <c r="Q141" s="35">
        <f t="shared" ref="Q141:Q154" si="66">P141/J141/12</f>
        <v>15.774749999999999</v>
      </c>
      <c r="R141" s="35">
        <f t="shared" ref="R141:R154" si="67">IF(O141&gt;0,0,IF(OR(AD141&gt;AE141,AF141&lt;AG141),0,IF(AND(AF141&gt;=AG141,AF141&lt;=AE141),Q141*((AF141-AG141)*12),IF(AND(AG141&lt;=AD141,AE141&gt;=AD141),((AE141-AD141)*12)*Q141,IF(AF141&gt;AE141,12*Q141,0)))))</f>
        <v>189.297</v>
      </c>
      <c r="S141" s="35"/>
      <c r="T141" s="35">
        <f t="shared" ref="T141:T154" si="68">IF(S141&gt;0,S141,R141)</f>
        <v>189.297</v>
      </c>
      <c r="U141" s="35">
        <v>1</v>
      </c>
      <c r="V141" s="35">
        <f t="shared" ref="V141:V154" si="69">U141*SUM(R141:S141)</f>
        <v>189.297</v>
      </c>
      <c r="W141" s="35"/>
      <c r="X141" s="35">
        <f t="shared" ref="X141:X154" si="70">IF(AD141&gt;AE141,0,IF(AF141&lt;AG141,P141,IF(AND(AF141&gt;=AG141,AF141&lt;=AE141),(P141-T141),IF(AND(AG141&lt;=AD141,AE141&gt;=AD141),0,IF(AF141&gt;AE141,((AG141-AD141)*12)*Q141,0)))))</f>
        <v>394.36874999998565</v>
      </c>
      <c r="Y141" s="35">
        <f t="shared" ref="Y141:Y154" si="71">X141*U141</f>
        <v>394.36874999998565</v>
      </c>
      <c r="Z141" s="35">
        <v>1</v>
      </c>
      <c r="AA141" s="35">
        <f t="shared" ref="AA141:AA154" si="72">Y141*Z141</f>
        <v>394.36874999998565</v>
      </c>
      <c r="AB141" s="35">
        <f t="shared" ref="AB141:AB154" si="73">IF(O141&gt;0,0,AA141+V141*Z141)*Z141</f>
        <v>583.66574999998568</v>
      </c>
      <c r="AC141" s="35">
        <f t="shared" ref="AC141:AC154" si="74">IF(O141&gt;0,(N141-AA141)/2,IF(AD141&gt;=AG141,(((N141*U141)*Z141)-AB141)/2,((((N141*U141)*Z141)-AA141)+(((N141*U141)*Z141)-AB141))/2))</f>
        <v>1403.9527500000142</v>
      </c>
      <c r="AD141" s="11">
        <f t="shared" ref="AD141:AD154" si="75">$E141+(($F141-1)/12)</f>
        <v>2014.9166666666667</v>
      </c>
      <c r="AE141" s="11">
        <f t="shared" ref="AE141:AE154" si="76">($P$5+1)-($P$2/12)</f>
        <v>2018</v>
      </c>
      <c r="AF141" s="11">
        <f t="shared" ref="AF141:AF154" si="77">$K141+(($F141-1)/12)</f>
        <v>2024.9166666666667</v>
      </c>
      <c r="AG141" s="11">
        <f t="shared" ref="AG141:AG154" si="78">$P$4+($P$3/12)</f>
        <v>2017</v>
      </c>
      <c r="AH141" s="11">
        <f t="shared" ref="AH141:AH154" si="79">$L141+(($M141-1)/12)</f>
        <v>-8.3333333333333329E-2</v>
      </c>
    </row>
    <row r="142" spans="3:34" s="7" customFormat="1">
      <c r="C142" s="7">
        <v>6</v>
      </c>
      <c r="D142" s="32" t="s">
        <v>218</v>
      </c>
      <c r="E142" s="15">
        <v>2015</v>
      </c>
      <c r="F142" s="7">
        <v>10</v>
      </c>
      <c r="G142" s="56">
        <v>0</v>
      </c>
      <c r="H142" s="56"/>
      <c r="I142" s="15" t="s">
        <v>103</v>
      </c>
      <c r="J142" s="15">
        <v>10</v>
      </c>
      <c r="K142" s="9">
        <f t="shared" si="64"/>
        <v>2025</v>
      </c>
      <c r="L142" s="57"/>
      <c r="N142" s="34">
        <v>2781.24</v>
      </c>
      <c r="O142" s="44"/>
      <c r="P142" s="35">
        <f t="shared" si="65"/>
        <v>2781.24</v>
      </c>
      <c r="Q142" s="35">
        <f t="shared" si="66"/>
        <v>23.176999999999996</v>
      </c>
      <c r="R142" s="35">
        <f t="shared" si="67"/>
        <v>278.12399999999997</v>
      </c>
      <c r="S142" s="35"/>
      <c r="T142" s="35">
        <f t="shared" si="68"/>
        <v>278.12399999999997</v>
      </c>
      <c r="U142" s="35">
        <v>1</v>
      </c>
      <c r="V142" s="35">
        <f t="shared" si="69"/>
        <v>278.12399999999997</v>
      </c>
      <c r="W142" s="35"/>
      <c r="X142" s="35">
        <f t="shared" si="70"/>
        <v>347.65499999999992</v>
      </c>
      <c r="Y142" s="35">
        <f t="shared" si="71"/>
        <v>347.65499999999992</v>
      </c>
      <c r="Z142" s="35">
        <v>1</v>
      </c>
      <c r="AA142" s="35">
        <f t="shared" si="72"/>
        <v>347.65499999999992</v>
      </c>
      <c r="AB142" s="35">
        <f t="shared" si="73"/>
        <v>625.77899999999988</v>
      </c>
      <c r="AC142" s="35">
        <f t="shared" si="74"/>
        <v>2294.5230000000001</v>
      </c>
      <c r="AD142" s="11">
        <f t="shared" si="75"/>
        <v>2015.75</v>
      </c>
      <c r="AE142" s="11">
        <f t="shared" si="76"/>
        <v>2018</v>
      </c>
      <c r="AF142" s="11">
        <f t="shared" si="77"/>
        <v>2025.75</v>
      </c>
      <c r="AG142" s="11">
        <f t="shared" si="78"/>
        <v>2017</v>
      </c>
      <c r="AH142" s="11">
        <f t="shared" si="79"/>
        <v>-8.3333333333333329E-2</v>
      </c>
    </row>
    <row r="143" spans="3:34" s="7" customFormat="1">
      <c r="C143" s="7">
        <v>6</v>
      </c>
      <c r="D143" s="32" t="s">
        <v>215</v>
      </c>
      <c r="E143" s="15">
        <v>2015</v>
      </c>
      <c r="F143" s="7">
        <v>10</v>
      </c>
      <c r="G143" s="56">
        <v>0</v>
      </c>
      <c r="H143" s="56"/>
      <c r="I143" s="15" t="s">
        <v>103</v>
      </c>
      <c r="J143" s="15">
        <v>10</v>
      </c>
      <c r="K143" s="9">
        <f t="shared" si="64"/>
        <v>2025</v>
      </c>
      <c r="L143" s="57"/>
      <c r="N143" s="34">
        <v>3148.08</v>
      </c>
      <c r="O143" s="44"/>
      <c r="P143" s="35">
        <f t="shared" si="65"/>
        <v>3148.08</v>
      </c>
      <c r="Q143" s="35">
        <f t="shared" si="66"/>
        <v>26.233999999999998</v>
      </c>
      <c r="R143" s="35">
        <f t="shared" si="67"/>
        <v>314.80799999999999</v>
      </c>
      <c r="S143" s="35"/>
      <c r="T143" s="35">
        <f t="shared" si="68"/>
        <v>314.80799999999999</v>
      </c>
      <c r="U143" s="35">
        <v>1</v>
      </c>
      <c r="V143" s="35">
        <f t="shared" si="69"/>
        <v>314.80799999999999</v>
      </c>
      <c r="W143" s="35"/>
      <c r="X143" s="35">
        <f t="shared" si="70"/>
        <v>393.51</v>
      </c>
      <c r="Y143" s="35">
        <f t="shared" si="71"/>
        <v>393.51</v>
      </c>
      <c r="Z143" s="35">
        <v>1</v>
      </c>
      <c r="AA143" s="35">
        <f t="shared" si="72"/>
        <v>393.51</v>
      </c>
      <c r="AB143" s="35">
        <f t="shared" si="73"/>
        <v>708.31799999999998</v>
      </c>
      <c r="AC143" s="35">
        <f t="shared" si="74"/>
        <v>2597.1659999999997</v>
      </c>
      <c r="AD143" s="11">
        <f t="shared" si="75"/>
        <v>2015.75</v>
      </c>
      <c r="AE143" s="11">
        <f t="shared" si="76"/>
        <v>2018</v>
      </c>
      <c r="AF143" s="11">
        <f t="shared" si="77"/>
        <v>2025.75</v>
      </c>
      <c r="AG143" s="11">
        <f t="shared" si="78"/>
        <v>2017</v>
      </c>
      <c r="AH143" s="11">
        <f t="shared" si="79"/>
        <v>-8.3333333333333329E-2</v>
      </c>
    </row>
    <row r="144" spans="3:34" s="7" customFormat="1">
      <c r="C144" s="7">
        <v>6</v>
      </c>
      <c r="D144" s="32" t="s">
        <v>216</v>
      </c>
      <c r="E144" s="15">
        <v>2015</v>
      </c>
      <c r="F144" s="7">
        <v>10</v>
      </c>
      <c r="G144" s="56">
        <v>0</v>
      </c>
      <c r="H144" s="56"/>
      <c r="I144" s="15" t="s">
        <v>103</v>
      </c>
      <c r="J144" s="15">
        <v>10</v>
      </c>
      <c r="K144" s="9">
        <f t="shared" si="64"/>
        <v>2025</v>
      </c>
      <c r="L144" s="57"/>
      <c r="N144" s="34">
        <v>4592.3999999999996</v>
      </c>
      <c r="O144" s="44"/>
      <c r="P144" s="35">
        <f t="shared" si="65"/>
        <v>4592.3999999999996</v>
      </c>
      <c r="Q144" s="35">
        <f t="shared" si="66"/>
        <v>38.269999999999996</v>
      </c>
      <c r="R144" s="35">
        <f t="shared" si="67"/>
        <v>459.23999999999995</v>
      </c>
      <c r="S144" s="35"/>
      <c r="T144" s="35">
        <f t="shared" si="68"/>
        <v>459.23999999999995</v>
      </c>
      <c r="U144" s="35">
        <v>1</v>
      </c>
      <c r="V144" s="35">
        <f t="shared" si="69"/>
        <v>459.23999999999995</v>
      </c>
      <c r="W144" s="35"/>
      <c r="X144" s="35">
        <f t="shared" si="70"/>
        <v>574.04999999999995</v>
      </c>
      <c r="Y144" s="35">
        <f t="shared" si="71"/>
        <v>574.04999999999995</v>
      </c>
      <c r="Z144" s="35">
        <v>1</v>
      </c>
      <c r="AA144" s="35">
        <f t="shared" si="72"/>
        <v>574.04999999999995</v>
      </c>
      <c r="AB144" s="35">
        <f t="shared" si="73"/>
        <v>1033.29</v>
      </c>
      <c r="AC144" s="35">
        <f t="shared" si="74"/>
        <v>3788.7299999999996</v>
      </c>
      <c r="AD144" s="11">
        <f t="shared" si="75"/>
        <v>2015.75</v>
      </c>
      <c r="AE144" s="11">
        <f t="shared" si="76"/>
        <v>2018</v>
      </c>
      <c r="AF144" s="11">
        <f t="shared" si="77"/>
        <v>2025.75</v>
      </c>
      <c r="AG144" s="11">
        <f t="shared" si="78"/>
        <v>2017</v>
      </c>
      <c r="AH144" s="11">
        <f t="shared" si="79"/>
        <v>-8.3333333333333329E-2</v>
      </c>
    </row>
    <row r="145" spans="2:34" s="7" customFormat="1">
      <c r="C145" s="7">
        <v>4</v>
      </c>
      <c r="D145" s="32" t="s">
        <v>217</v>
      </c>
      <c r="E145" s="15">
        <v>2015</v>
      </c>
      <c r="F145" s="7">
        <v>10</v>
      </c>
      <c r="G145" s="56">
        <v>0</v>
      </c>
      <c r="H145" s="56"/>
      <c r="I145" s="15" t="s">
        <v>103</v>
      </c>
      <c r="J145" s="15">
        <v>10</v>
      </c>
      <c r="K145" s="9">
        <f t="shared" si="64"/>
        <v>2025</v>
      </c>
      <c r="L145" s="57"/>
      <c r="N145" s="34">
        <v>3647.51</v>
      </c>
      <c r="O145" s="44"/>
      <c r="P145" s="35">
        <f t="shared" si="65"/>
        <v>3647.51</v>
      </c>
      <c r="Q145" s="35">
        <f t="shared" si="66"/>
        <v>30.395916666666668</v>
      </c>
      <c r="R145" s="35">
        <f t="shared" si="67"/>
        <v>364.75100000000003</v>
      </c>
      <c r="S145" s="35"/>
      <c r="T145" s="35">
        <f t="shared" si="68"/>
        <v>364.75100000000003</v>
      </c>
      <c r="U145" s="35">
        <v>1</v>
      </c>
      <c r="V145" s="35">
        <f t="shared" si="69"/>
        <v>364.75100000000003</v>
      </c>
      <c r="W145" s="35"/>
      <c r="X145" s="35">
        <f t="shared" si="70"/>
        <v>455.93875000000003</v>
      </c>
      <c r="Y145" s="35">
        <f t="shared" si="71"/>
        <v>455.93875000000003</v>
      </c>
      <c r="Z145" s="35">
        <v>1</v>
      </c>
      <c r="AA145" s="35">
        <f t="shared" si="72"/>
        <v>455.93875000000003</v>
      </c>
      <c r="AB145" s="35">
        <f t="shared" si="73"/>
        <v>820.68975</v>
      </c>
      <c r="AC145" s="35">
        <f t="shared" si="74"/>
        <v>3009.1957499999999</v>
      </c>
      <c r="AD145" s="11">
        <f t="shared" si="75"/>
        <v>2015.75</v>
      </c>
      <c r="AE145" s="11">
        <f t="shared" si="76"/>
        <v>2018</v>
      </c>
      <c r="AF145" s="11">
        <f t="shared" si="77"/>
        <v>2025.75</v>
      </c>
      <c r="AG145" s="11">
        <f t="shared" si="78"/>
        <v>2017</v>
      </c>
      <c r="AH145" s="11">
        <f t="shared" si="79"/>
        <v>-8.3333333333333329E-2</v>
      </c>
    </row>
    <row r="146" spans="2:34" s="7" customFormat="1">
      <c r="C146" s="7">
        <v>10</v>
      </c>
      <c r="D146" s="32" t="s">
        <v>220</v>
      </c>
      <c r="E146" s="15">
        <v>2015</v>
      </c>
      <c r="F146" s="7">
        <v>10</v>
      </c>
      <c r="G146" s="56">
        <v>0</v>
      </c>
      <c r="H146" s="56"/>
      <c r="I146" s="15" t="s">
        <v>103</v>
      </c>
      <c r="J146" s="15">
        <v>10</v>
      </c>
      <c r="K146" s="9">
        <f t="shared" si="64"/>
        <v>2025</v>
      </c>
      <c r="L146" s="57"/>
      <c r="N146" s="34">
        <v>14261.94</v>
      </c>
      <c r="O146" s="44"/>
      <c r="P146" s="35">
        <f t="shared" si="65"/>
        <v>14261.94</v>
      </c>
      <c r="Q146" s="35">
        <f t="shared" si="66"/>
        <v>118.84949999999999</v>
      </c>
      <c r="R146" s="35">
        <f t="shared" si="67"/>
        <v>1426.194</v>
      </c>
      <c r="S146" s="35"/>
      <c r="T146" s="35">
        <f t="shared" si="68"/>
        <v>1426.194</v>
      </c>
      <c r="U146" s="35">
        <v>1</v>
      </c>
      <c r="V146" s="35">
        <f t="shared" si="69"/>
        <v>1426.194</v>
      </c>
      <c r="W146" s="35"/>
      <c r="X146" s="35">
        <f t="shared" si="70"/>
        <v>1782.7424999999998</v>
      </c>
      <c r="Y146" s="35">
        <f t="shared" si="71"/>
        <v>1782.7424999999998</v>
      </c>
      <c r="Z146" s="35">
        <v>1</v>
      </c>
      <c r="AA146" s="35">
        <f t="shared" si="72"/>
        <v>1782.7424999999998</v>
      </c>
      <c r="AB146" s="35">
        <f t="shared" si="73"/>
        <v>3208.9364999999998</v>
      </c>
      <c r="AC146" s="35">
        <f t="shared" si="74"/>
        <v>11766.1005</v>
      </c>
      <c r="AD146" s="11">
        <f t="shared" si="75"/>
        <v>2015.75</v>
      </c>
      <c r="AE146" s="11">
        <f t="shared" si="76"/>
        <v>2018</v>
      </c>
      <c r="AF146" s="11">
        <f t="shared" si="77"/>
        <v>2025.75</v>
      </c>
      <c r="AG146" s="11">
        <f t="shared" si="78"/>
        <v>2017</v>
      </c>
      <c r="AH146" s="11">
        <f t="shared" si="79"/>
        <v>-8.3333333333333329E-2</v>
      </c>
    </row>
    <row r="147" spans="2:34" s="7" customFormat="1">
      <c r="C147" s="7">
        <v>1</v>
      </c>
      <c r="D147" s="32" t="s">
        <v>219</v>
      </c>
      <c r="E147" s="15">
        <v>2015</v>
      </c>
      <c r="F147" s="7">
        <v>10</v>
      </c>
      <c r="G147" s="56">
        <v>0</v>
      </c>
      <c r="H147" s="56"/>
      <c r="I147" s="15" t="s">
        <v>103</v>
      </c>
      <c r="J147" s="15">
        <v>10</v>
      </c>
      <c r="K147" s="9">
        <f t="shared" si="64"/>
        <v>2025</v>
      </c>
      <c r="L147" s="57"/>
      <c r="N147" s="34">
        <v>1588.97</v>
      </c>
      <c r="O147" s="44"/>
      <c r="P147" s="35">
        <f t="shared" si="65"/>
        <v>1588.97</v>
      </c>
      <c r="Q147" s="35">
        <f t="shared" si="66"/>
        <v>13.241416666666666</v>
      </c>
      <c r="R147" s="35">
        <f t="shared" si="67"/>
        <v>158.89699999999999</v>
      </c>
      <c r="S147" s="35"/>
      <c r="T147" s="35">
        <f t="shared" si="68"/>
        <v>158.89699999999999</v>
      </c>
      <c r="U147" s="35">
        <v>1</v>
      </c>
      <c r="V147" s="35">
        <f t="shared" si="69"/>
        <v>158.89699999999999</v>
      </c>
      <c r="W147" s="35"/>
      <c r="X147" s="35">
        <f t="shared" si="70"/>
        <v>198.62124999999997</v>
      </c>
      <c r="Y147" s="35">
        <f t="shared" si="71"/>
        <v>198.62124999999997</v>
      </c>
      <c r="Z147" s="35">
        <v>1</v>
      </c>
      <c r="AA147" s="35">
        <f t="shared" si="72"/>
        <v>198.62124999999997</v>
      </c>
      <c r="AB147" s="35">
        <f t="shared" si="73"/>
        <v>357.51824999999997</v>
      </c>
      <c r="AC147" s="35">
        <f t="shared" si="74"/>
        <v>1310.9002500000001</v>
      </c>
      <c r="AD147" s="11">
        <f t="shared" si="75"/>
        <v>2015.75</v>
      </c>
      <c r="AE147" s="11">
        <f t="shared" si="76"/>
        <v>2018</v>
      </c>
      <c r="AF147" s="11">
        <f t="shared" si="77"/>
        <v>2025.75</v>
      </c>
      <c r="AG147" s="11">
        <f t="shared" si="78"/>
        <v>2017</v>
      </c>
      <c r="AH147" s="11">
        <f t="shared" si="79"/>
        <v>-8.3333333333333329E-2</v>
      </c>
    </row>
    <row r="148" spans="2:34" s="7" customFormat="1">
      <c r="C148" s="7">
        <v>6</v>
      </c>
      <c r="D148" s="32" t="s">
        <v>292</v>
      </c>
      <c r="E148" s="15">
        <v>2016</v>
      </c>
      <c r="F148" s="7">
        <v>9</v>
      </c>
      <c r="G148" s="56">
        <v>0</v>
      </c>
      <c r="H148" s="56"/>
      <c r="I148" s="15" t="s">
        <v>103</v>
      </c>
      <c r="J148" s="15">
        <v>12</v>
      </c>
      <c r="K148" s="9">
        <f t="shared" si="64"/>
        <v>2028</v>
      </c>
      <c r="L148" s="57"/>
      <c r="N148" s="34">
        <v>3945.48</v>
      </c>
      <c r="O148" s="44"/>
      <c r="P148" s="35">
        <f t="shared" si="65"/>
        <v>3945.48</v>
      </c>
      <c r="Q148" s="35">
        <f t="shared" si="66"/>
        <v>27.39916666666667</v>
      </c>
      <c r="R148" s="35">
        <f t="shared" si="67"/>
        <v>328.79</v>
      </c>
      <c r="S148" s="35"/>
      <c r="T148" s="35">
        <f t="shared" si="68"/>
        <v>328.79</v>
      </c>
      <c r="U148" s="35">
        <v>1</v>
      </c>
      <c r="V148" s="35">
        <f t="shared" si="69"/>
        <v>328.79</v>
      </c>
      <c r="W148" s="35"/>
      <c r="X148" s="35">
        <f t="shared" si="70"/>
        <v>109.59666666664175</v>
      </c>
      <c r="Y148" s="35">
        <f t="shared" si="71"/>
        <v>109.59666666664175</v>
      </c>
      <c r="Z148" s="35">
        <v>1</v>
      </c>
      <c r="AA148" s="35">
        <f t="shared" si="72"/>
        <v>109.59666666664175</v>
      </c>
      <c r="AB148" s="35">
        <f t="shared" si="73"/>
        <v>438.38666666664176</v>
      </c>
      <c r="AC148" s="35">
        <f t="shared" si="74"/>
        <v>3671.4883333333582</v>
      </c>
      <c r="AD148" s="11">
        <f t="shared" si="75"/>
        <v>2016.6666666666667</v>
      </c>
      <c r="AE148" s="11">
        <f t="shared" si="76"/>
        <v>2018</v>
      </c>
      <c r="AF148" s="11">
        <f t="shared" si="77"/>
        <v>2028.6666666666667</v>
      </c>
      <c r="AG148" s="11">
        <f t="shared" si="78"/>
        <v>2017</v>
      </c>
      <c r="AH148" s="11">
        <f t="shared" si="79"/>
        <v>-8.3333333333333329E-2</v>
      </c>
    </row>
    <row r="149" spans="2:34" s="7" customFormat="1">
      <c r="C149" s="7">
        <v>25</v>
      </c>
      <c r="D149" s="32" t="s">
        <v>295</v>
      </c>
      <c r="E149" s="15">
        <v>2016</v>
      </c>
      <c r="F149" s="7">
        <v>10</v>
      </c>
      <c r="G149" s="56">
        <v>0</v>
      </c>
      <c r="H149" s="56"/>
      <c r="I149" s="15" t="s">
        <v>103</v>
      </c>
      <c r="J149" s="15">
        <v>12</v>
      </c>
      <c r="K149" s="9">
        <f t="shared" si="64"/>
        <v>2028</v>
      </c>
      <c r="L149" s="57"/>
      <c r="N149" s="34">
        <v>13420.74</v>
      </c>
      <c r="O149" s="44"/>
      <c r="P149" s="35">
        <f t="shared" si="65"/>
        <v>13420.74</v>
      </c>
      <c r="Q149" s="35">
        <f t="shared" si="66"/>
        <v>93.199583333333337</v>
      </c>
      <c r="R149" s="35">
        <f t="shared" si="67"/>
        <v>1118.395</v>
      </c>
      <c r="S149" s="35"/>
      <c r="T149" s="35">
        <f t="shared" si="68"/>
        <v>1118.395</v>
      </c>
      <c r="U149" s="35">
        <v>1</v>
      </c>
      <c r="V149" s="35">
        <f t="shared" si="69"/>
        <v>1118.395</v>
      </c>
      <c r="W149" s="35"/>
      <c r="X149" s="35">
        <f t="shared" si="70"/>
        <v>279.59875</v>
      </c>
      <c r="Y149" s="35">
        <f t="shared" si="71"/>
        <v>279.59875</v>
      </c>
      <c r="Z149" s="35">
        <v>1</v>
      </c>
      <c r="AA149" s="35">
        <f t="shared" si="72"/>
        <v>279.59875</v>
      </c>
      <c r="AB149" s="35">
        <f t="shared" si="73"/>
        <v>1397.9937500000001</v>
      </c>
      <c r="AC149" s="35">
        <f t="shared" si="74"/>
        <v>12581.94375</v>
      </c>
      <c r="AD149" s="11">
        <f t="shared" si="75"/>
        <v>2016.75</v>
      </c>
      <c r="AE149" s="11">
        <f t="shared" si="76"/>
        <v>2018</v>
      </c>
      <c r="AF149" s="11">
        <f t="shared" si="77"/>
        <v>2028.75</v>
      </c>
      <c r="AG149" s="11">
        <f t="shared" si="78"/>
        <v>2017</v>
      </c>
      <c r="AH149" s="11">
        <f t="shared" si="79"/>
        <v>-8.3333333333333329E-2</v>
      </c>
    </row>
    <row r="150" spans="2:34" s="7" customFormat="1">
      <c r="C150" s="7">
        <v>15</v>
      </c>
      <c r="D150" s="32" t="s">
        <v>215</v>
      </c>
      <c r="E150" s="15">
        <v>2016</v>
      </c>
      <c r="F150" s="7">
        <v>10</v>
      </c>
      <c r="G150" s="56">
        <v>0</v>
      </c>
      <c r="H150" s="56"/>
      <c r="I150" s="15" t="s">
        <v>103</v>
      </c>
      <c r="J150" s="15">
        <v>12</v>
      </c>
      <c r="K150" s="9">
        <f t="shared" si="64"/>
        <v>2028</v>
      </c>
      <c r="L150" s="57"/>
      <c r="N150" s="34">
        <v>8418.82</v>
      </c>
      <c r="O150" s="44"/>
      <c r="P150" s="35">
        <f t="shared" si="65"/>
        <v>8418.82</v>
      </c>
      <c r="Q150" s="35">
        <f t="shared" si="66"/>
        <v>58.464027777777773</v>
      </c>
      <c r="R150" s="35">
        <f t="shared" si="67"/>
        <v>701.56833333333327</v>
      </c>
      <c r="S150" s="35"/>
      <c r="T150" s="35">
        <f t="shared" si="68"/>
        <v>701.56833333333327</v>
      </c>
      <c r="U150" s="35">
        <v>1</v>
      </c>
      <c r="V150" s="35">
        <f t="shared" si="69"/>
        <v>701.56833333333327</v>
      </c>
      <c r="W150" s="35"/>
      <c r="X150" s="35">
        <f t="shared" si="70"/>
        <v>175.39208333333332</v>
      </c>
      <c r="Y150" s="35">
        <f t="shared" si="71"/>
        <v>175.39208333333332</v>
      </c>
      <c r="Z150" s="35">
        <v>1</v>
      </c>
      <c r="AA150" s="35">
        <f t="shared" si="72"/>
        <v>175.39208333333332</v>
      </c>
      <c r="AB150" s="35">
        <f t="shared" si="73"/>
        <v>876.96041666666656</v>
      </c>
      <c r="AC150" s="35">
        <f t="shared" si="74"/>
        <v>7892.6437499999993</v>
      </c>
      <c r="AD150" s="11">
        <f t="shared" si="75"/>
        <v>2016.75</v>
      </c>
      <c r="AE150" s="11">
        <f t="shared" si="76"/>
        <v>2018</v>
      </c>
      <c r="AF150" s="11">
        <f t="shared" si="77"/>
        <v>2028.75</v>
      </c>
      <c r="AG150" s="11">
        <f t="shared" si="78"/>
        <v>2017</v>
      </c>
      <c r="AH150" s="11">
        <f t="shared" si="79"/>
        <v>-8.3333333333333329E-2</v>
      </c>
    </row>
    <row r="151" spans="2:34" s="7" customFormat="1">
      <c r="C151" s="7">
        <v>6</v>
      </c>
      <c r="D151" s="32" t="s">
        <v>216</v>
      </c>
      <c r="E151" s="15">
        <v>2016</v>
      </c>
      <c r="F151" s="7">
        <v>10</v>
      </c>
      <c r="G151" s="56">
        <v>0</v>
      </c>
      <c r="H151" s="56"/>
      <c r="I151" s="15" t="s">
        <v>103</v>
      </c>
      <c r="J151" s="15">
        <v>12</v>
      </c>
      <c r="K151" s="9">
        <f t="shared" si="64"/>
        <v>2028</v>
      </c>
      <c r="L151" s="57"/>
      <c r="N151" s="34">
        <v>5116.91</v>
      </c>
      <c r="O151" s="44"/>
      <c r="P151" s="35">
        <f t="shared" si="65"/>
        <v>5116.91</v>
      </c>
      <c r="Q151" s="35">
        <f t="shared" si="66"/>
        <v>35.534097222222222</v>
      </c>
      <c r="R151" s="35">
        <f t="shared" si="67"/>
        <v>426.40916666666669</v>
      </c>
      <c r="S151" s="35"/>
      <c r="T151" s="35">
        <f t="shared" si="68"/>
        <v>426.40916666666669</v>
      </c>
      <c r="U151" s="35">
        <v>1</v>
      </c>
      <c r="V151" s="35">
        <f t="shared" si="69"/>
        <v>426.40916666666669</v>
      </c>
      <c r="W151" s="35"/>
      <c r="X151" s="35">
        <f t="shared" si="70"/>
        <v>106.60229166666667</v>
      </c>
      <c r="Y151" s="35">
        <f t="shared" si="71"/>
        <v>106.60229166666667</v>
      </c>
      <c r="Z151" s="35">
        <v>1</v>
      </c>
      <c r="AA151" s="35">
        <f t="shared" si="72"/>
        <v>106.60229166666667</v>
      </c>
      <c r="AB151" s="35">
        <f t="shared" si="73"/>
        <v>533.01145833333339</v>
      </c>
      <c r="AC151" s="35">
        <f t="shared" si="74"/>
        <v>4797.1031249999996</v>
      </c>
      <c r="AD151" s="11">
        <f t="shared" si="75"/>
        <v>2016.75</v>
      </c>
      <c r="AE151" s="11">
        <f t="shared" si="76"/>
        <v>2018</v>
      </c>
      <c r="AF151" s="11">
        <f t="shared" si="77"/>
        <v>2028.75</v>
      </c>
      <c r="AG151" s="11">
        <f t="shared" si="78"/>
        <v>2017</v>
      </c>
      <c r="AH151" s="11">
        <f t="shared" si="79"/>
        <v>-8.3333333333333329E-2</v>
      </c>
    </row>
    <row r="152" spans="2:34" s="7" customFormat="1">
      <c r="C152" s="7">
        <v>8</v>
      </c>
      <c r="D152" s="32" t="s">
        <v>316</v>
      </c>
      <c r="E152" s="15">
        <v>2017</v>
      </c>
      <c r="F152" s="7">
        <v>11</v>
      </c>
      <c r="G152" s="56">
        <v>0</v>
      </c>
      <c r="H152" s="56"/>
      <c r="I152" s="15" t="s">
        <v>103</v>
      </c>
      <c r="J152" s="15">
        <v>12</v>
      </c>
      <c r="K152" s="9">
        <f t="shared" si="64"/>
        <v>2029</v>
      </c>
      <c r="L152" s="57"/>
      <c r="N152" s="34">
        <v>10857.62</v>
      </c>
      <c r="O152" s="44"/>
      <c r="P152" s="35">
        <f t="shared" si="65"/>
        <v>10857.62</v>
      </c>
      <c r="Q152" s="35">
        <f t="shared" si="66"/>
        <v>75.40013888888889</v>
      </c>
      <c r="R152" s="35">
        <f t="shared" si="67"/>
        <v>150.80027777784636</v>
      </c>
      <c r="S152" s="35"/>
      <c r="T152" s="35">
        <f t="shared" si="68"/>
        <v>150.80027777784636</v>
      </c>
      <c r="U152" s="35">
        <v>2</v>
      </c>
      <c r="V152" s="35">
        <f t="shared" si="69"/>
        <v>301.60055555569272</v>
      </c>
      <c r="W152" s="35"/>
      <c r="X152" s="35">
        <f t="shared" si="70"/>
        <v>0</v>
      </c>
      <c r="Y152" s="35">
        <f t="shared" si="71"/>
        <v>0</v>
      </c>
      <c r="Z152" s="35">
        <v>2</v>
      </c>
      <c r="AA152" s="35">
        <f t="shared" si="72"/>
        <v>0</v>
      </c>
      <c r="AB152" s="35">
        <f t="shared" si="73"/>
        <v>1206.4022222227709</v>
      </c>
      <c r="AC152" s="35">
        <f t="shared" si="74"/>
        <v>21112.038888888615</v>
      </c>
      <c r="AD152" s="11">
        <f t="shared" si="75"/>
        <v>2017.8333333333333</v>
      </c>
      <c r="AE152" s="11">
        <f t="shared" si="76"/>
        <v>2018</v>
      </c>
      <c r="AF152" s="11">
        <f t="shared" si="77"/>
        <v>2029.8333333333333</v>
      </c>
      <c r="AG152" s="11">
        <f t="shared" si="78"/>
        <v>2017</v>
      </c>
      <c r="AH152" s="11">
        <f t="shared" si="79"/>
        <v>-8.3333333333333329E-2</v>
      </c>
    </row>
    <row r="153" spans="2:34" s="7" customFormat="1">
      <c r="C153" s="7">
        <v>2</v>
      </c>
      <c r="D153" s="32" t="s">
        <v>318</v>
      </c>
      <c r="E153" s="15">
        <v>2017</v>
      </c>
      <c r="F153" s="7">
        <v>11</v>
      </c>
      <c r="G153" s="56">
        <v>0</v>
      </c>
      <c r="H153" s="56"/>
      <c r="I153" s="15" t="s">
        <v>103</v>
      </c>
      <c r="J153" s="15">
        <v>12</v>
      </c>
      <c r="K153" s="9">
        <f t="shared" si="64"/>
        <v>2029</v>
      </c>
      <c r="L153" s="57"/>
      <c r="N153" s="34">
        <v>4012.32</v>
      </c>
      <c r="O153" s="44"/>
      <c r="P153" s="35">
        <f t="shared" si="65"/>
        <v>4012.32</v>
      </c>
      <c r="Q153" s="35">
        <f t="shared" si="66"/>
        <v>27.863333333333333</v>
      </c>
      <c r="R153" s="35">
        <f t="shared" si="67"/>
        <v>55.726666666692012</v>
      </c>
      <c r="S153" s="35"/>
      <c r="T153" s="35">
        <f t="shared" si="68"/>
        <v>55.726666666692012</v>
      </c>
      <c r="U153" s="35">
        <v>3</v>
      </c>
      <c r="V153" s="35">
        <f t="shared" si="69"/>
        <v>167.18000000007603</v>
      </c>
      <c r="W153" s="35"/>
      <c r="X153" s="35">
        <f t="shared" si="70"/>
        <v>0</v>
      </c>
      <c r="Y153" s="35">
        <f t="shared" si="71"/>
        <v>0</v>
      </c>
      <c r="Z153" s="35">
        <v>3</v>
      </c>
      <c r="AA153" s="35">
        <f t="shared" si="72"/>
        <v>0</v>
      </c>
      <c r="AB153" s="35">
        <f t="shared" si="73"/>
        <v>1504.6200000006843</v>
      </c>
      <c r="AC153" s="35">
        <f t="shared" si="74"/>
        <v>17303.129999999659</v>
      </c>
      <c r="AD153" s="11">
        <f t="shared" si="75"/>
        <v>2017.8333333333333</v>
      </c>
      <c r="AE153" s="11">
        <f t="shared" si="76"/>
        <v>2018</v>
      </c>
      <c r="AF153" s="11">
        <f t="shared" si="77"/>
        <v>2029.8333333333333</v>
      </c>
      <c r="AG153" s="11">
        <f t="shared" si="78"/>
        <v>2017</v>
      </c>
      <c r="AH153" s="11">
        <f t="shared" si="79"/>
        <v>-8.3333333333333329E-2</v>
      </c>
    </row>
    <row r="154" spans="2:34" s="7" customFormat="1">
      <c r="C154" s="7">
        <v>1</v>
      </c>
      <c r="D154" s="32" t="s">
        <v>317</v>
      </c>
      <c r="E154" s="15">
        <v>2017</v>
      </c>
      <c r="F154" s="7">
        <v>11</v>
      </c>
      <c r="G154" s="56">
        <v>0</v>
      </c>
      <c r="H154" s="56"/>
      <c r="I154" s="15" t="s">
        <v>103</v>
      </c>
      <c r="J154" s="15">
        <v>12</v>
      </c>
      <c r="K154" s="9">
        <f t="shared" si="64"/>
        <v>2029</v>
      </c>
      <c r="L154" s="57"/>
      <c r="N154" s="34">
        <v>2696.08</v>
      </c>
      <c r="O154" s="44"/>
      <c r="P154" s="35">
        <f t="shared" si="65"/>
        <v>2696.08</v>
      </c>
      <c r="Q154" s="35">
        <f t="shared" si="66"/>
        <v>18.722777777777775</v>
      </c>
      <c r="R154" s="35">
        <f t="shared" si="67"/>
        <v>37.445555555572582</v>
      </c>
      <c r="S154" s="35"/>
      <c r="T154" s="35">
        <f t="shared" si="68"/>
        <v>37.445555555572582</v>
      </c>
      <c r="U154" s="35">
        <v>3</v>
      </c>
      <c r="V154" s="35">
        <f t="shared" si="69"/>
        <v>112.33666666671775</v>
      </c>
      <c r="W154" s="35"/>
      <c r="X154" s="35">
        <f t="shared" si="70"/>
        <v>0</v>
      </c>
      <c r="Y154" s="35">
        <f t="shared" si="71"/>
        <v>0</v>
      </c>
      <c r="Z154" s="35">
        <v>3</v>
      </c>
      <c r="AA154" s="35">
        <f t="shared" si="72"/>
        <v>0</v>
      </c>
      <c r="AB154" s="35">
        <f t="shared" si="73"/>
        <v>1011.0300000004597</v>
      </c>
      <c r="AC154" s="35">
        <f t="shared" si="74"/>
        <v>11626.84499999977</v>
      </c>
      <c r="AD154" s="11">
        <f t="shared" si="75"/>
        <v>2017.8333333333333</v>
      </c>
      <c r="AE154" s="11">
        <f t="shared" si="76"/>
        <v>2018</v>
      </c>
      <c r="AF154" s="11">
        <f t="shared" si="77"/>
        <v>2029.8333333333333</v>
      </c>
      <c r="AG154" s="11">
        <f t="shared" si="78"/>
        <v>2017</v>
      </c>
      <c r="AH154" s="11">
        <f t="shared" si="79"/>
        <v>-8.3333333333333329E-2</v>
      </c>
    </row>
    <row r="155" spans="2:34">
      <c r="C155" s="161"/>
      <c r="D155" s="162"/>
      <c r="E155" s="163"/>
      <c r="F155" s="162"/>
      <c r="G155" s="159"/>
      <c r="H155" s="159"/>
      <c r="I155" s="164"/>
      <c r="J155" s="162"/>
      <c r="L155" s="160"/>
      <c r="N155" s="138"/>
      <c r="O155" s="147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15"/>
      <c r="AE155" s="115"/>
      <c r="AF155" s="115"/>
      <c r="AG155" s="115"/>
      <c r="AH155" s="115"/>
    </row>
    <row r="156" spans="2:34">
      <c r="C156" s="161"/>
      <c r="D156" s="150" t="s">
        <v>221</v>
      </c>
      <c r="E156" s="165"/>
      <c r="F156" s="166"/>
      <c r="G156" s="152"/>
      <c r="H156" s="152"/>
      <c r="I156" s="152"/>
      <c r="J156" s="151"/>
      <c r="K156" s="167"/>
      <c r="L156" s="168"/>
      <c r="M156" s="152"/>
      <c r="N156" s="169">
        <f>SUM(N13:N155)</f>
        <v>405680.15500000003</v>
      </c>
      <c r="O156" s="170"/>
      <c r="P156" s="169">
        <f>SUM(P13:P155)</f>
        <v>405680.15500000003</v>
      </c>
      <c r="Q156" s="169">
        <f>SUM(Q13:Q155)</f>
        <v>3748.667678571429</v>
      </c>
      <c r="R156" s="169">
        <f>SUM(R13:R155)</f>
        <v>9457.0309166667266</v>
      </c>
      <c r="S156" s="169"/>
      <c r="T156" s="169">
        <f>SUM(T13:T155)</f>
        <v>9457.0309166667266</v>
      </c>
      <c r="U156" s="169"/>
      <c r="V156" s="169">
        <f>SUM(V13:V155)</f>
        <v>9794.1756388891026</v>
      </c>
      <c r="W156" s="169"/>
      <c r="X156" s="169">
        <f t="shared" ref="X156:AB156" si="80">SUM(X13:X155)</f>
        <v>314844.85145833349</v>
      </c>
      <c r="Y156" s="169">
        <f t="shared" si="80"/>
        <v>314844.85145833349</v>
      </c>
      <c r="Z156" s="169"/>
      <c r="AA156" s="169">
        <f t="shared" si="80"/>
        <v>314844.85145833349</v>
      </c>
      <c r="AB156" s="169">
        <f t="shared" si="80"/>
        <v>327779.96209722385</v>
      </c>
      <c r="AC156" s="169">
        <f>SUM(AC13:AC155)</f>
        <v>118704.76822222144</v>
      </c>
    </row>
    <row r="157" spans="2:34">
      <c r="C157" s="161"/>
      <c r="D157" s="124"/>
      <c r="E157" s="171"/>
      <c r="F157" s="161"/>
      <c r="G157" s="110"/>
      <c r="J157" s="119"/>
      <c r="L157" s="172"/>
      <c r="N157" s="173"/>
      <c r="O157" s="147"/>
      <c r="P157" s="173"/>
      <c r="Q157" s="173"/>
      <c r="R157" s="173"/>
      <c r="S157" s="173"/>
      <c r="T157" s="173"/>
      <c r="U157" s="173"/>
      <c r="V157" s="173"/>
      <c r="W157" s="173"/>
      <c r="X157" s="173"/>
      <c r="Y157" s="173"/>
      <c r="Z157" s="173"/>
      <c r="AA157" s="173"/>
      <c r="AB157" s="173"/>
      <c r="AC157" s="173"/>
    </row>
    <row r="158" spans="2:34"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</row>
    <row r="159" spans="2:34">
      <c r="B159" s="140"/>
      <c r="D159" s="124" t="s">
        <v>222</v>
      </c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  <c r="AA159" s="147"/>
      <c r="AB159" s="147"/>
      <c r="AC159" s="147"/>
    </row>
    <row r="160" spans="2:34">
      <c r="C160" s="7">
        <v>150</v>
      </c>
      <c r="D160" s="136" t="s">
        <v>224</v>
      </c>
      <c r="E160" s="119">
        <v>2005</v>
      </c>
      <c r="F160" s="110">
        <v>12</v>
      </c>
      <c r="G160" s="159">
        <v>0</v>
      </c>
      <c r="H160" s="159"/>
      <c r="I160" s="119" t="s">
        <v>103</v>
      </c>
      <c r="J160" s="119">
        <v>10</v>
      </c>
      <c r="K160" s="113">
        <f t="shared" ref="K160:K172" si="81">E160+J160</f>
        <v>2015</v>
      </c>
      <c r="L160" s="160"/>
      <c r="N160" s="138">
        <v>10022.94</v>
      </c>
      <c r="O160" s="147"/>
      <c r="P160" s="139">
        <f t="shared" ref="P160:P172" si="82">N160-N160*G160</f>
        <v>10022.94</v>
      </c>
      <c r="Q160" s="139">
        <f t="shared" ref="Q160:Q172" si="83">P160/J160/12</f>
        <v>83.524500000000003</v>
      </c>
      <c r="R160" s="139">
        <f t="shared" ref="R160:R171" si="84">IF(O160&gt;0,0,IF(OR(AD160&gt;AE160,AF160&lt;AG160),0,IF(AND(AF160&gt;=AG160,AF160&lt;=AE160),Q160*((AF160-AG160)*12),IF(AND(AG160&lt;=AD160,AE160&gt;=AD160),((AE160-AD160)*12)*Q160,IF(AF160&gt;AE160,12*Q160,0)))))</f>
        <v>0</v>
      </c>
      <c r="S160" s="139"/>
      <c r="T160" s="139">
        <f t="shared" ref="T160:T171" si="85">IF(S160&gt;0,S160,R160)</f>
        <v>0</v>
      </c>
      <c r="U160" s="139">
        <v>1</v>
      </c>
      <c r="V160" s="139">
        <f t="shared" ref="V160:V171" si="86">U160*SUM(R160:S160)</f>
        <v>0</v>
      </c>
      <c r="W160" s="139"/>
      <c r="X160" s="139">
        <f t="shared" ref="X160:X171" si="87">IF(AD160&gt;AE160,0,IF(AF160&lt;AG160,P160,IF(AND(AF160&gt;=AG160,AF160&lt;=AE160),(P160-T160),IF(AND(AG160&lt;=AD160,AE160&gt;=AD160),0,IF(AF160&gt;AE160,((AG160-AD160)*12)*Q160,0)))))</f>
        <v>10022.94</v>
      </c>
      <c r="Y160" s="139">
        <f t="shared" ref="Y160:Y171" si="88">X160*U160</f>
        <v>10022.94</v>
      </c>
      <c r="Z160" s="139">
        <v>1</v>
      </c>
      <c r="AA160" s="139">
        <f t="shared" ref="AA160:AA171" si="89">Y160*Z160</f>
        <v>10022.94</v>
      </c>
      <c r="AB160" s="139">
        <f t="shared" ref="AB160:AB171" si="90">IF(O160&gt;0,0,AA160+V160*Z160)*Z160</f>
        <v>10022.94</v>
      </c>
      <c r="AC160" s="139">
        <f t="shared" ref="AC160:AC171" si="91">IF(O160&gt;0,(N160-AA160)/2,IF(AD160&gt;=AG160,(((N160*U160)*Z160)-AB160)/2,((((N160*U160)*Z160)-AA160)+(((N160*U160)*Z160)-AB160))/2))</f>
        <v>0</v>
      </c>
      <c r="AD160" s="115">
        <f t="shared" ref="AD160:AD172" si="92">$E160+(($F160-1)/12)</f>
        <v>2005.9166666666667</v>
      </c>
      <c r="AE160" s="115">
        <f t="shared" ref="AE160:AE283" si="93">($P$5+1)-($P$2/12)</f>
        <v>2018</v>
      </c>
      <c r="AF160" s="115">
        <f t="shared" ref="AF160:AF172" si="94">$K160+(($F160-1)/12)</f>
        <v>2015.9166666666667</v>
      </c>
      <c r="AG160" s="115">
        <f t="shared" ref="AG160:AG283" si="95">$P$4+($P$3/12)</f>
        <v>2017</v>
      </c>
      <c r="AH160" s="115">
        <f t="shared" ref="AH160:AH172" si="96">$L160+(($M160-1)/12)</f>
        <v>-8.3333333333333329E-2</v>
      </c>
    </row>
    <row r="161" spans="1:34">
      <c r="C161" s="7">
        <v>325</v>
      </c>
      <c r="D161" s="136" t="s">
        <v>224</v>
      </c>
      <c r="E161" s="119">
        <v>2006</v>
      </c>
      <c r="F161" s="110">
        <v>2</v>
      </c>
      <c r="G161" s="159">
        <v>0</v>
      </c>
      <c r="H161" s="159"/>
      <c r="I161" s="119" t="s">
        <v>103</v>
      </c>
      <c r="J161" s="119">
        <v>10</v>
      </c>
      <c r="K161" s="113">
        <f t="shared" si="81"/>
        <v>2016</v>
      </c>
      <c r="L161" s="160"/>
      <c r="N161" s="138">
        <v>17320.62</v>
      </c>
      <c r="O161" s="147"/>
      <c r="P161" s="139">
        <f t="shared" si="82"/>
        <v>17320.62</v>
      </c>
      <c r="Q161" s="139">
        <f t="shared" si="83"/>
        <v>144.33849999999998</v>
      </c>
      <c r="R161" s="139">
        <f t="shared" si="84"/>
        <v>0</v>
      </c>
      <c r="S161" s="139"/>
      <c r="T161" s="139">
        <f t="shared" si="85"/>
        <v>0</v>
      </c>
      <c r="U161" s="139">
        <v>1</v>
      </c>
      <c r="V161" s="139">
        <f t="shared" si="86"/>
        <v>0</v>
      </c>
      <c r="W161" s="139"/>
      <c r="X161" s="139">
        <f t="shared" si="87"/>
        <v>17320.62</v>
      </c>
      <c r="Y161" s="139">
        <f t="shared" si="88"/>
        <v>17320.62</v>
      </c>
      <c r="Z161" s="139">
        <v>1</v>
      </c>
      <c r="AA161" s="139">
        <f t="shared" si="89"/>
        <v>17320.62</v>
      </c>
      <c r="AB161" s="139">
        <f t="shared" si="90"/>
        <v>17320.62</v>
      </c>
      <c r="AC161" s="139">
        <f t="shared" si="91"/>
        <v>0</v>
      </c>
      <c r="AD161" s="115">
        <f t="shared" si="92"/>
        <v>2006.0833333333333</v>
      </c>
      <c r="AE161" s="115">
        <f t="shared" si="93"/>
        <v>2018</v>
      </c>
      <c r="AF161" s="115">
        <f t="shared" si="94"/>
        <v>2016.0833333333333</v>
      </c>
      <c r="AG161" s="115">
        <f t="shared" si="95"/>
        <v>2017</v>
      </c>
      <c r="AH161" s="115">
        <f t="shared" si="96"/>
        <v>-8.3333333333333329E-2</v>
      </c>
    </row>
    <row r="162" spans="1:34">
      <c r="C162" s="7">
        <v>427</v>
      </c>
      <c r="D162" s="136" t="s">
        <v>224</v>
      </c>
      <c r="E162" s="119">
        <v>2006</v>
      </c>
      <c r="F162" s="110">
        <v>4</v>
      </c>
      <c r="G162" s="159">
        <v>0</v>
      </c>
      <c r="H162" s="159"/>
      <c r="I162" s="119" t="s">
        <v>103</v>
      </c>
      <c r="J162" s="119">
        <v>10</v>
      </c>
      <c r="K162" s="113">
        <f t="shared" si="81"/>
        <v>2016</v>
      </c>
      <c r="L162" s="160"/>
      <c r="N162" s="138">
        <v>24016.26</v>
      </c>
      <c r="O162" s="147"/>
      <c r="P162" s="139">
        <f t="shared" si="82"/>
        <v>24016.26</v>
      </c>
      <c r="Q162" s="139">
        <f t="shared" si="83"/>
        <v>200.13549999999998</v>
      </c>
      <c r="R162" s="139">
        <f t="shared" si="84"/>
        <v>0</v>
      </c>
      <c r="S162" s="139"/>
      <c r="T162" s="139">
        <f t="shared" si="85"/>
        <v>0</v>
      </c>
      <c r="U162" s="139">
        <v>1</v>
      </c>
      <c r="V162" s="139">
        <f t="shared" si="86"/>
        <v>0</v>
      </c>
      <c r="W162" s="139"/>
      <c r="X162" s="139">
        <f t="shared" si="87"/>
        <v>24016.26</v>
      </c>
      <c r="Y162" s="139">
        <f t="shared" si="88"/>
        <v>24016.26</v>
      </c>
      <c r="Z162" s="139">
        <v>1</v>
      </c>
      <c r="AA162" s="139">
        <f t="shared" si="89"/>
        <v>24016.26</v>
      </c>
      <c r="AB162" s="139">
        <f t="shared" si="90"/>
        <v>24016.26</v>
      </c>
      <c r="AC162" s="139">
        <f t="shared" si="91"/>
        <v>0</v>
      </c>
      <c r="AD162" s="115">
        <f t="shared" si="92"/>
        <v>2006.25</v>
      </c>
      <c r="AE162" s="115">
        <f t="shared" si="93"/>
        <v>2018</v>
      </c>
      <c r="AF162" s="115">
        <f t="shared" si="94"/>
        <v>2016.25</v>
      </c>
      <c r="AG162" s="115">
        <f t="shared" si="95"/>
        <v>2017</v>
      </c>
      <c r="AH162" s="115">
        <f t="shared" si="96"/>
        <v>-8.3333333333333329E-2</v>
      </c>
    </row>
    <row r="163" spans="1:34">
      <c r="C163" s="110">
        <v>300</v>
      </c>
      <c r="D163" s="136" t="s">
        <v>224</v>
      </c>
      <c r="E163" s="119">
        <v>2007</v>
      </c>
      <c r="F163" s="110">
        <v>12</v>
      </c>
      <c r="G163" s="159">
        <v>0</v>
      </c>
      <c r="H163" s="159"/>
      <c r="I163" s="119" t="s">
        <v>103</v>
      </c>
      <c r="J163" s="119">
        <v>10</v>
      </c>
      <c r="K163" s="113">
        <f t="shared" si="81"/>
        <v>2017</v>
      </c>
      <c r="L163" s="160"/>
      <c r="N163" s="138">
        <f>17653.66</f>
        <v>17653.66</v>
      </c>
      <c r="O163" s="147"/>
      <c r="P163" s="139">
        <f t="shared" si="82"/>
        <v>17653.66</v>
      </c>
      <c r="Q163" s="139">
        <f t="shared" si="83"/>
        <v>147.11383333333333</v>
      </c>
      <c r="R163" s="139">
        <f t="shared" si="84"/>
        <v>1618.2521666668003</v>
      </c>
      <c r="S163" s="139"/>
      <c r="T163" s="139">
        <f t="shared" si="85"/>
        <v>1618.2521666668003</v>
      </c>
      <c r="U163" s="139">
        <v>1</v>
      </c>
      <c r="V163" s="139">
        <f t="shared" si="86"/>
        <v>1618.2521666668003</v>
      </c>
      <c r="W163" s="139"/>
      <c r="X163" s="139">
        <f t="shared" si="87"/>
        <v>16035.4078333332</v>
      </c>
      <c r="Y163" s="139">
        <f t="shared" si="88"/>
        <v>16035.4078333332</v>
      </c>
      <c r="Z163" s="139">
        <v>1</v>
      </c>
      <c r="AA163" s="139">
        <f t="shared" si="89"/>
        <v>16035.4078333332</v>
      </c>
      <c r="AB163" s="139">
        <f t="shared" si="90"/>
        <v>17653.66</v>
      </c>
      <c r="AC163" s="139">
        <f t="shared" si="91"/>
        <v>809.12608333339995</v>
      </c>
      <c r="AD163" s="115">
        <f t="shared" si="92"/>
        <v>2007.9166666666667</v>
      </c>
      <c r="AE163" s="115">
        <f t="shared" si="93"/>
        <v>2018</v>
      </c>
      <c r="AF163" s="115">
        <f t="shared" si="94"/>
        <v>2017.9166666666667</v>
      </c>
      <c r="AG163" s="115">
        <f t="shared" si="95"/>
        <v>2017</v>
      </c>
      <c r="AH163" s="115">
        <f t="shared" si="96"/>
        <v>-8.3333333333333329E-2</v>
      </c>
    </row>
    <row r="164" spans="1:34">
      <c r="C164" s="110">
        <v>289</v>
      </c>
      <c r="D164" s="136" t="s">
        <v>225</v>
      </c>
      <c r="E164" s="119">
        <v>2009</v>
      </c>
      <c r="F164" s="110">
        <v>6</v>
      </c>
      <c r="G164" s="159">
        <v>0</v>
      </c>
      <c r="H164" s="159"/>
      <c r="I164" s="119" t="s">
        <v>103</v>
      </c>
      <c r="J164" s="119">
        <v>10</v>
      </c>
      <c r="K164" s="113">
        <f t="shared" si="81"/>
        <v>2019</v>
      </c>
      <c r="L164" s="160"/>
      <c r="N164" s="138">
        <f>289*51.76</f>
        <v>14958.64</v>
      </c>
      <c r="O164" s="147"/>
      <c r="P164" s="139">
        <f t="shared" si="82"/>
        <v>14958.64</v>
      </c>
      <c r="Q164" s="139">
        <f t="shared" si="83"/>
        <v>124.65533333333333</v>
      </c>
      <c r="R164" s="139">
        <f t="shared" si="84"/>
        <v>1495.864</v>
      </c>
      <c r="S164" s="139"/>
      <c r="T164" s="139">
        <f t="shared" si="85"/>
        <v>1495.864</v>
      </c>
      <c r="U164" s="139">
        <v>1</v>
      </c>
      <c r="V164" s="139">
        <f t="shared" si="86"/>
        <v>1495.864</v>
      </c>
      <c r="W164" s="139"/>
      <c r="X164" s="139">
        <f t="shared" si="87"/>
        <v>11343.635333333219</v>
      </c>
      <c r="Y164" s="139">
        <f t="shared" si="88"/>
        <v>11343.635333333219</v>
      </c>
      <c r="Z164" s="139">
        <v>1</v>
      </c>
      <c r="AA164" s="139">
        <f t="shared" si="89"/>
        <v>11343.635333333219</v>
      </c>
      <c r="AB164" s="139">
        <f t="shared" si="90"/>
        <v>12839.499333333219</v>
      </c>
      <c r="AC164" s="139">
        <f t="shared" si="91"/>
        <v>2867.0726666667806</v>
      </c>
      <c r="AD164" s="115">
        <f t="shared" si="92"/>
        <v>2009.4166666666667</v>
      </c>
      <c r="AE164" s="115">
        <f t="shared" si="93"/>
        <v>2018</v>
      </c>
      <c r="AF164" s="115">
        <f t="shared" si="94"/>
        <v>2019.4166666666667</v>
      </c>
      <c r="AG164" s="115">
        <f t="shared" si="95"/>
        <v>2017</v>
      </c>
      <c r="AH164" s="115">
        <f t="shared" si="96"/>
        <v>-8.3333333333333329E-2</v>
      </c>
    </row>
    <row r="165" spans="1:34">
      <c r="C165" s="110">
        <v>238</v>
      </c>
      <c r="D165" s="136" t="s">
        <v>224</v>
      </c>
      <c r="E165" s="119">
        <v>2011</v>
      </c>
      <c r="F165" s="110">
        <v>11</v>
      </c>
      <c r="G165" s="159">
        <v>0</v>
      </c>
      <c r="H165" s="159"/>
      <c r="I165" s="119" t="s">
        <v>103</v>
      </c>
      <c r="J165" s="119">
        <v>10</v>
      </c>
      <c r="K165" s="113">
        <f t="shared" si="81"/>
        <v>2021</v>
      </c>
      <c r="L165" s="160"/>
      <c r="N165" s="138">
        <f>11941.29+4.62*238</f>
        <v>13040.85</v>
      </c>
      <c r="O165" s="147"/>
      <c r="P165" s="139">
        <f t="shared" si="82"/>
        <v>13040.85</v>
      </c>
      <c r="Q165" s="139">
        <f t="shared" si="83"/>
        <v>108.67375</v>
      </c>
      <c r="R165" s="139">
        <f t="shared" si="84"/>
        <v>1304.085</v>
      </c>
      <c r="S165" s="139"/>
      <c r="T165" s="139">
        <f t="shared" si="85"/>
        <v>1304.085</v>
      </c>
      <c r="U165" s="139">
        <v>1</v>
      </c>
      <c r="V165" s="139">
        <f t="shared" si="86"/>
        <v>1304.085</v>
      </c>
      <c r="W165" s="139"/>
      <c r="X165" s="139">
        <f t="shared" si="87"/>
        <v>6737.7725000000992</v>
      </c>
      <c r="Y165" s="139">
        <f t="shared" si="88"/>
        <v>6737.7725000000992</v>
      </c>
      <c r="Z165" s="139">
        <v>1</v>
      </c>
      <c r="AA165" s="139">
        <f t="shared" si="89"/>
        <v>6737.7725000000992</v>
      </c>
      <c r="AB165" s="139">
        <f t="shared" si="90"/>
        <v>8041.8575000000992</v>
      </c>
      <c r="AC165" s="139">
        <f t="shared" si="91"/>
        <v>5651.0349999999016</v>
      </c>
      <c r="AD165" s="115">
        <f t="shared" si="92"/>
        <v>2011.8333333333333</v>
      </c>
      <c r="AE165" s="115">
        <f t="shared" si="93"/>
        <v>2018</v>
      </c>
      <c r="AF165" s="115">
        <f t="shared" si="94"/>
        <v>2021.8333333333333</v>
      </c>
      <c r="AG165" s="115">
        <f t="shared" si="95"/>
        <v>2017</v>
      </c>
      <c r="AH165" s="115">
        <f t="shared" si="96"/>
        <v>-8.3333333333333329E-2</v>
      </c>
    </row>
    <row r="166" spans="1:34">
      <c r="A166" s="110">
        <v>105993</v>
      </c>
      <c r="C166" s="110">
        <v>90</v>
      </c>
      <c r="D166" s="136" t="s">
        <v>226</v>
      </c>
      <c r="E166" s="119">
        <v>2013</v>
      </c>
      <c r="F166" s="110">
        <v>7</v>
      </c>
      <c r="G166" s="159">
        <v>0</v>
      </c>
      <c r="H166" s="159"/>
      <c r="I166" s="119" t="s">
        <v>103</v>
      </c>
      <c r="J166" s="119">
        <v>10</v>
      </c>
      <c r="K166" s="113">
        <f t="shared" si="81"/>
        <v>2023</v>
      </c>
      <c r="L166" s="160"/>
      <c r="N166" s="138">
        <v>13689.69</v>
      </c>
      <c r="O166" s="147"/>
      <c r="P166" s="139">
        <f t="shared" si="82"/>
        <v>13689.69</v>
      </c>
      <c r="Q166" s="139">
        <f t="shared" si="83"/>
        <v>114.08075000000001</v>
      </c>
      <c r="R166" s="139">
        <f t="shared" si="84"/>
        <v>1368.9690000000001</v>
      </c>
      <c r="S166" s="139"/>
      <c r="T166" s="139">
        <f t="shared" si="85"/>
        <v>1368.9690000000001</v>
      </c>
      <c r="U166" s="139">
        <v>1</v>
      </c>
      <c r="V166" s="139">
        <f t="shared" si="86"/>
        <v>1368.9690000000001</v>
      </c>
      <c r="W166" s="139"/>
      <c r="X166" s="139">
        <f t="shared" si="87"/>
        <v>4791.3915000000006</v>
      </c>
      <c r="Y166" s="139">
        <f t="shared" si="88"/>
        <v>4791.3915000000006</v>
      </c>
      <c r="Z166" s="139">
        <v>1</v>
      </c>
      <c r="AA166" s="139">
        <f t="shared" si="89"/>
        <v>4791.3915000000006</v>
      </c>
      <c r="AB166" s="139">
        <f t="shared" si="90"/>
        <v>6160.3605000000007</v>
      </c>
      <c r="AC166" s="139">
        <f t="shared" si="91"/>
        <v>8213.8140000000003</v>
      </c>
      <c r="AD166" s="115">
        <f t="shared" si="92"/>
        <v>2013.5</v>
      </c>
      <c r="AE166" s="115">
        <f t="shared" si="93"/>
        <v>2018</v>
      </c>
      <c r="AF166" s="115">
        <f t="shared" si="94"/>
        <v>2023.5</v>
      </c>
      <c r="AG166" s="115">
        <f t="shared" si="95"/>
        <v>2017</v>
      </c>
      <c r="AH166" s="115">
        <f t="shared" si="96"/>
        <v>-8.3333333333333329E-2</v>
      </c>
    </row>
    <row r="167" spans="1:34">
      <c r="A167" s="110">
        <v>115098</v>
      </c>
      <c r="C167" s="110">
        <v>350</v>
      </c>
      <c r="D167" s="136" t="s">
        <v>226</v>
      </c>
      <c r="E167" s="119">
        <v>2014</v>
      </c>
      <c r="F167" s="110">
        <v>7</v>
      </c>
      <c r="G167" s="159">
        <v>0</v>
      </c>
      <c r="H167" s="159"/>
      <c r="I167" s="119" t="s">
        <v>103</v>
      </c>
      <c r="J167" s="119">
        <v>10</v>
      </c>
      <c r="K167" s="113">
        <f t="shared" si="81"/>
        <v>2024</v>
      </c>
      <c r="L167" s="160"/>
      <c r="N167" s="138">
        <v>19892.87</v>
      </c>
      <c r="O167" s="147"/>
      <c r="P167" s="139">
        <f t="shared" si="82"/>
        <v>19892.87</v>
      </c>
      <c r="Q167" s="139">
        <f t="shared" si="83"/>
        <v>165.77391666666665</v>
      </c>
      <c r="R167" s="139">
        <f t="shared" si="84"/>
        <v>1989.2869999999998</v>
      </c>
      <c r="S167" s="139"/>
      <c r="T167" s="139">
        <f t="shared" si="85"/>
        <v>1989.2869999999998</v>
      </c>
      <c r="U167" s="139">
        <v>1</v>
      </c>
      <c r="V167" s="139">
        <f t="shared" si="86"/>
        <v>1989.2869999999998</v>
      </c>
      <c r="W167" s="139"/>
      <c r="X167" s="139">
        <f t="shared" si="87"/>
        <v>4973.2174999999997</v>
      </c>
      <c r="Y167" s="139">
        <f t="shared" si="88"/>
        <v>4973.2174999999997</v>
      </c>
      <c r="Z167" s="139">
        <v>1</v>
      </c>
      <c r="AA167" s="139">
        <f t="shared" si="89"/>
        <v>4973.2174999999997</v>
      </c>
      <c r="AB167" s="139">
        <f t="shared" si="90"/>
        <v>6962.5044999999991</v>
      </c>
      <c r="AC167" s="139">
        <f t="shared" si="91"/>
        <v>13925.009</v>
      </c>
      <c r="AD167" s="115">
        <f t="shared" si="92"/>
        <v>2014.5</v>
      </c>
      <c r="AE167" s="115">
        <f t="shared" si="93"/>
        <v>2018</v>
      </c>
      <c r="AF167" s="115">
        <f t="shared" si="94"/>
        <v>2024.5</v>
      </c>
      <c r="AG167" s="115">
        <f t="shared" si="95"/>
        <v>2017</v>
      </c>
      <c r="AH167" s="115">
        <f t="shared" si="96"/>
        <v>-8.3333333333333329E-2</v>
      </c>
    </row>
    <row r="168" spans="1:34">
      <c r="A168" s="110">
        <v>126735</v>
      </c>
      <c r="C168" s="110">
        <v>100</v>
      </c>
      <c r="D168" s="136" t="s">
        <v>227</v>
      </c>
      <c r="E168" s="119">
        <v>2015</v>
      </c>
      <c r="F168" s="110">
        <v>11</v>
      </c>
      <c r="G168" s="159">
        <v>0</v>
      </c>
      <c r="H168" s="159"/>
      <c r="I168" s="119" t="s">
        <v>103</v>
      </c>
      <c r="J168" s="119">
        <v>10</v>
      </c>
      <c r="K168" s="113">
        <f t="shared" si="81"/>
        <v>2025</v>
      </c>
      <c r="L168" s="160"/>
      <c r="N168" s="138">
        <v>5641.04</v>
      </c>
      <c r="O168" s="147"/>
      <c r="P168" s="139">
        <f t="shared" si="82"/>
        <v>5641.04</v>
      </c>
      <c r="Q168" s="139">
        <f t="shared" si="83"/>
        <v>47.00866666666667</v>
      </c>
      <c r="R168" s="139">
        <f t="shared" si="84"/>
        <v>564.10400000000004</v>
      </c>
      <c r="S168" s="139"/>
      <c r="T168" s="139">
        <f t="shared" si="85"/>
        <v>564.10400000000004</v>
      </c>
      <c r="U168" s="139">
        <v>1</v>
      </c>
      <c r="V168" s="139">
        <f t="shared" si="86"/>
        <v>564.10400000000004</v>
      </c>
      <c r="W168" s="139"/>
      <c r="X168" s="139">
        <f t="shared" si="87"/>
        <v>658.12133333337613</v>
      </c>
      <c r="Y168" s="139">
        <f t="shared" si="88"/>
        <v>658.12133333337613</v>
      </c>
      <c r="Z168" s="139">
        <v>1</v>
      </c>
      <c r="AA168" s="139">
        <f t="shared" si="89"/>
        <v>658.12133333337613</v>
      </c>
      <c r="AB168" s="139">
        <f t="shared" si="90"/>
        <v>1222.2253333333761</v>
      </c>
      <c r="AC168" s="139">
        <f t="shared" si="91"/>
        <v>4700.8666666666231</v>
      </c>
      <c r="AD168" s="115">
        <f t="shared" si="92"/>
        <v>2015.8333333333333</v>
      </c>
      <c r="AE168" s="115">
        <f t="shared" si="93"/>
        <v>2018</v>
      </c>
      <c r="AF168" s="115">
        <f t="shared" si="94"/>
        <v>2025.8333333333333</v>
      </c>
      <c r="AG168" s="115">
        <f t="shared" si="95"/>
        <v>2017</v>
      </c>
      <c r="AH168" s="115">
        <f t="shared" si="96"/>
        <v>-8.3333333333333329E-2</v>
      </c>
    </row>
    <row r="169" spans="1:34">
      <c r="A169" s="110">
        <v>168949</v>
      </c>
      <c r="C169" s="110">
        <v>100</v>
      </c>
      <c r="D169" s="136" t="s">
        <v>296</v>
      </c>
      <c r="E169" s="119">
        <v>2016</v>
      </c>
      <c r="F169" s="110">
        <v>10</v>
      </c>
      <c r="G169" s="159">
        <v>0</v>
      </c>
      <c r="H169" s="159"/>
      <c r="I169" s="119" t="s">
        <v>103</v>
      </c>
      <c r="J169" s="119">
        <v>7</v>
      </c>
      <c r="K169" s="113">
        <f t="shared" si="81"/>
        <v>2023</v>
      </c>
      <c r="L169" s="160"/>
      <c r="N169" s="138">
        <v>6085.16</v>
      </c>
      <c r="O169" s="147"/>
      <c r="P169" s="139">
        <f t="shared" si="82"/>
        <v>6085.16</v>
      </c>
      <c r="Q169" s="139">
        <f t="shared" si="83"/>
        <v>72.442380952380958</v>
      </c>
      <c r="R169" s="139">
        <f t="shared" si="84"/>
        <v>869.30857142857144</v>
      </c>
      <c r="S169" s="139"/>
      <c r="T169" s="139">
        <f t="shared" si="85"/>
        <v>869.30857142857144</v>
      </c>
      <c r="U169" s="139">
        <v>1</v>
      </c>
      <c r="V169" s="139">
        <f t="shared" si="86"/>
        <v>869.30857142857144</v>
      </c>
      <c r="W169" s="139"/>
      <c r="X169" s="139">
        <f t="shared" si="87"/>
        <v>217.32714285714286</v>
      </c>
      <c r="Y169" s="139">
        <f t="shared" si="88"/>
        <v>217.32714285714286</v>
      </c>
      <c r="Z169" s="139">
        <v>1</v>
      </c>
      <c r="AA169" s="139">
        <f t="shared" si="89"/>
        <v>217.32714285714286</v>
      </c>
      <c r="AB169" s="139">
        <f t="shared" si="90"/>
        <v>1086.6357142857144</v>
      </c>
      <c r="AC169" s="139">
        <f t="shared" si="91"/>
        <v>5433.1785714285716</v>
      </c>
      <c r="AD169" s="115">
        <f t="shared" si="92"/>
        <v>2016.75</v>
      </c>
      <c r="AE169" s="115">
        <f t="shared" si="93"/>
        <v>2018</v>
      </c>
      <c r="AF169" s="115">
        <f t="shared" si="94"/>
        <v>2023.75</v>
      </c>
      <c r="AG169" s="115">
        <f t="shared" si="95"/>
        <v>2017</v>
      </c>
      <c r="AH169" s="115">
        <f t="shared" si="96"/>
        <v>-8.3333333333333329E-2</v>
      </c>
    </row>
    <row r="170" spans="1:34">
      <c r="A170" s="110">
        <v>179935</v>
      </c>
      <c r="C170" s="110">
        <v>100</v>
      </c>
      <c r="D170" s="136" t="s">
        <v>307</v>
      </c>
      <c r="E170" s="119">
        <v>2017</v>
      </c>
      <c r="F170" s="110">
        <v>4</v>
      </c>
      <c r="G170" s="159">
        <v>0</v>
      </c>
      <c r="H170" s="159"/>
      <c r="I170" s="119" t="s">
        <v>103</v>
      </c>
      <c r="J170" s="119">
        <v>7</v>
      </c>
      <c r="K170" s="113">
        <f t="shared" si="81"/>
        <v>2024</v>
      </c>
      <c r="L170" s="160"/>
      <c r="N170" s="138">
        <v>5398.28</v>
      </c>
      <c r="O170" s="147"/>
      <c r="P170" s="139">
        <f t="shared" si="82"/>
        <v>5398.28</v>
      </c>
      <c r="Q170" s="139">
        <f t="shared" si="83"/>
        <v>64.265238095238089</v>
      </c>
      <c r="R170" s="139">
        <f t="shared" si="84"/>
        <v>578.38714285714286</v>
      </c>
      <c r="S170" s="139"/>
      <c r="T170" s="139">
        <f t="shared" si="85"/>
        <v>578.38714285714286</v>
      </c>
      <c r="U170" s="139">
        <v>1</v>
      </c>
      <c r="V170" s="139">
        <f t="shared" si="86"/>
        <v>578.38714285714286</v>
      </c>
      <c r="W170" s="139"/>
      <c r="X170" s="139">
        <f t="shared" si="87"/>
        <v>0</v>
      </c>
      <c r="Y170" s="139">
        <f t="shared" si="88"/>
        <v>0</v>
      </c>
      <c r="Z170" s="139">
        <v>1</v>
      </c>
      <c r="AA170" s="139">
        <f t="shared" si="89"/>
        <v>0</v>
      </c>
      <c r="AB170" s="139">
        <f t="shared" si="90"/>
        <v>578.38714285714286</v>
      </c>
      <c r="AC170" s="139">
        <f t="shared" si="91"/>
        <v>2409.9464285714284</v>
      </c>
      <c r="AD170" s="115">
        <f t="shared" si="92"/>
        <v>2017.25</v>
      </c>
      <c r="AE170" s="115">
        <f t="shared" si="93"/>
        <v>2018</v>
      </c>
      <c r="AF170" s="115">
        <f t="shared" si="94"/>
        <v>2024.25</v>
      </c>
      <c r="AG170" s="115">
        <f t="shared" si="95"/>
        <v>2017</v>
      </c>
      <c r="AH170" s="115">
        <f t="shared" si="96"/>
        <v>-8.3333333333333329E-2</v>
      </c>
    </row>
    <row r="171" spans="1:34">
      <c r="A171" s="110">
        <v>179934</v>
      </c>
      <c r="C171" s="110">
        <v>100</v>
      </c>
      <c r="D171" s="136" t="s">
        <v>308</v>
      </c>
      <c r="E171" s="119">
        <v>2017</v>
      </c>
      <c r="F171" s="110">
        <v>4</v>
      </c>
      <c r="G171" s="159">
        <v>0</v>
      </c>
      <c r="H171" s="159"/>
      <c r="I171" s="119" t="s">
        <v>103</v>
      </c>
      <c r="J171" s="119">
        <v>7</v>
      </c>
      <c r="K171" s="113">
        <f t="shared" si="81"/>
        <v>2024</v>
      </c>
      <c r="L171" s="160"/>
      <c r="N171" s="138">
        <v>5748.27</v>
      </c>
      <c r="O171" s="147"/>
      <c r="P171" s="139">
        <f t="shared" si="82"/>
        <v>5748.27</v>
      </c>
      <c r="Q171" s="139">
        <f t="shared" si="83"/>
        <v>68.431785714285724</v>
      </c>
      <c r="R171" s="139">
        <f t="shared" si="84"/>
        <v>615.88607142857154</v>
      </c>
      <c r="S171" s="139"/>
      <c r="T171" s="139">
        <f t="shared" si="85"/>
        <v>615.88607142857154</v>
      </c>
      <c r="U171" s="139">
        <v>1</v>
      </c>
      <c r="V171" s="139">
        <f t="shared" si="86"/>
        <v>615.88607142857154</v>
      </c>
      <c r="W171" s="139"/>
      <c r="X171" s="139">
        <f t="shared" si="87"/>
        <v>0</v>
      </c>
      <c r="Y171" s="139">
        <f t="shared" si="88"/>
        <v>0</v>
      </c>
      <c r="Z171" s="139">
        <v>1</v>
      </c>
      <c r="AA171" s="139">
        <f t="shared" si="89"/>
        <v>0</v>
      </c>
      <c r="AB171" s="139">
        <f t="shared" si="90"/>
        <v>615.88607142857154</v>
      </c>
      <c r="AC171" s="139">
        <f t="shared" si="91"/>
        <v>2566.1919642857147</v>
      </c>
      <c r="AD171" s="115">
        <f t="shared" si="92"/>
        <v>2017.25</v>
      </c>
      <c r="AE171" s="115">
        <f t="shared" si="93"/>
        <v>2018</v>
      </c>
      <c r="AF171" s="115">
        <f t="shared" si="94"/>
        <v>2024.25</v>
      </c>
      <c r="AG171" s="115">
        <f t="shared" si="95"/>
        <v>2017</v>
      </c>
      <c r="AH171" s="115">
        <f t="shared" si="96"/>
        <v>-8.3333333333333329E-2</v>
      </c>
    </row>
    <row r="172" spans="1:34" s="97" customFormat="1">
      <c r="A172" s="97">
        <v>185930</v>
      </c>
      <c r="C172" s="97">
        <v>100</v>
      </c>
      <c r="D172" s="98" t="s">
        <v>308</v>
      </c>
      <c r="E172" s="99">
        <v>2017</v>
      </c>
      <c r="F172" s="97">
        <v>7</v>
      </c>
      <c r="G172" s="100">
        <v>0</v>
      </c>
      <c r="H172" s="100"/>
      <c r="I172" s="99" t="s">
        <v>103</v>
      </c>
      <c r="J172" s="99">
        <v>7</v>
      </c>
      <c r="K172" s="101">
        <f t="shared" si="81"/>
        <v>2024</v>
      </c>
      <c r="L172" s="102"/>
      <c r="N172" s="103">
        <v>6159.59</v>
      </c>
      <c r="O172" s="104"/>
      <c r="P172" s="105">
        <f t="shared" si="82"/>
        <v>6159.59</v>
      </c>
      <c r="Q172" s="105">
        <f t="shared" si="83"/>
        <v>73.328452380952385</v>
      </c>
      <c r="R172" s="105">
        <f t="shared" ref="R172" si="97">IF(O172&gt;0,0,IF(OR(AD172&gt;AE172,AF172&lt;AG172),0,IF(AND(AF172&gt;=AG172,AF172&lt;=AE172),Q172*((AF172-AG172)*12),IF(AND(AG172&lt;=AD172,AE172&gt;=AD172),((AE172-AD172)*12)*Q172,IF(AF172&gt;AE172,12*Q172,0)))))</f>
        <v>439.97071428571428</v>
      </c>
      <c r="S172" s="105"/>
      <c r="T172" s="105">
        <f t="shared" ref="T172" si="98">IF(S172&gt;0,S172,R172)</f>
        <v>439.97071428571428</v>
      </c>
      <c r="U172" s="105">
        <v>1</v>
      </c>
      <c r="V172" s="105">
        <f t="shared" ref="V172" si="99">U172*SUM(R172:S172)</f>
        <v>439.97071428571428</v>
      </c>
      <c r="W172" s="105"/>
      <c r="X172" s="105">
        <f t="shared" ref="X172" si="100">IF(AD172&gt;AE172,0,IF(AF172&lt;AG172,P172,IF(AND(AF172&gt;=AG172,AF172&lt;=AE172),(P172-T172),IF(AND(AG172&lt;=AD172,AE172&gt;=AD172),0,IF(AF172&gt;AE172,((AG172-AD172)*12)*Q172,0)))))</f>
        <v>0</v>
      </c>
      <c r="Y172" s="105">
        <f t="shared" ref="Y172" si="101">X172*U172</f>
        <v>0</v>
      </c>
      <c r="Z172" s="105">
        <v>1</v>
      </c>
      <c r="AA172" s="105">
        <f t="shared" ref="AA172" si="102">Y172*Z172</f>
        <v>0</v>
      </c>
      <c r="AB172" s="105">
        <f t="shared" ref="AB172" si="103">IF(O172&gt;0,0,AA172+V172*Z172)*Z172</f>
        <v>439.97071428571428</v>
      </c>
      <c r="AC172" s="105">
        <f t="shared" ref="AC172" si="104">IF(O172&gt;0,(N172-AA172)/2,IF(AD172&gt;=AG172,(((N172*U172)*Z172)-AB172)/2,((((N172*U172)*Z172)-AA172)+(((N172*U172)*Z172)-AB172))/2))</f>
        <v>2859.809642857143</v>
      </c>
      <c r="AD172" s="106">
        <f t="shared" si="92"/>
        <v>2017.5</v>
      </c>
      <c r="AE172" s="106">
        <f t="shared" si="93"/>
        <v>2018</v>
      </c>
      <c r="AF172" s="106">
        <f t="shared" si="94"/>
        <v>2024.5</v>
      </c>
      <c r="AG172" s="106">
        <f t="shared" si="95"/>
        <v>2017</v>
      </c>
      <c r="AH172" s="106">
        <f t="shared" si="96"/>
        <v>-8.3333333333333329E-2</v>
      </c>
    </row>
    <row r="173" spans="1:34">
      <c r="D173" s="136"/>
      <c r="E173" s="119"/>
      <c r="G173" s="137"/>
      <c r="H173" s="119"/>
      <c r="I173" s="119"/>
      <c r="J173" s="119"/>
      <c r="K173" s="123"/>
      <c r="N173" s="138"/>
      <c r="O173" s="138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15"/>
      <c r="AE173" s="115"/>
      <c r="AF173" s="115"/>
      <c r="AG173" s="115"/>
      <c r="AH173" s="115"/>
    </row>
    <row r="174" spans="1:34">
      <c r="D174" s="150" t="s">
        <v>228</v>
      </c>
      <c r="E174" s="151"/>
      <c r="F174" s="152"/>
      <c r="G174" s="153"/>
      <c r="H174" s="151"/>
      <c r="I174" s="151"/>
      <c r="J174" s="151"/>
      <c r="K174" s="154"/>
      <c r="L174" s="152"/>
      <c r="M174" s="152"/>
      <c r="N174" s="144">
        <f>SUM(N160:N173)</f>
        <v>159627.87</v>
      </c>
      <c r="O174" s="144"/>
      <c r="P174" s="144">
        <f>SUM(P160:P173)</f>
        <v>159627.87</v>
      </c>
      <c r="Q174" s="144">
        <f>SUM(Q160:Q173)</f>
        <v>1413.7726071428569</v>
      </c>
      <c r="R174" s="144">
        <f>SUM(R160:R173)</f>
        <v>10844.113666666801</v>
      </c>
      <c r="S174" s="144"/>
      <c r="T174" s="144">
        <f>SUM(T160:T173)</f>
        <v>10844.113666666801</v>
      </c>
      <c r="U174" s="144"/>
      <c r="V174" s="144">
        <f>SUM(V160:V173)</f>
        <v>10844.113666666801</v>
      </c>
      <c r="W174" s="144"/>
      <c r="X174" s="144">
        <f t="shared" ref="X174:AC174" si="105">SUM(X160:X173)</f>
        <v>96116.693142857024</v>
      </c>
      <c r="Y174" s="144">
        <f t="shared" si="105"/>
        <v>96116.693142857024</v>
      </c>
      <c r="Z174" s="144">
        <f t="shared" si="105"/>
        <v>13</v>
      </c>
      <c r="AA174" s="144">
        <f t="shared" si="105"/>
        <v>96116.693142857024</v>
      </c>
      <c r="AB174" s="144">
        <f t="shared" si="105"/>
        <v>106960.80680952383</v>
      </c>
      <c r="AC174" s="144">
        <f t="shared" si="105"/>
        <v>49436.05002380957</v>
      </c>
      <c r="AD174" s="115"/>
      <c r="AE174" s="115"/>
      <c r="AF174" s="115"/>
      <c r="AG174" s="115"/>
      <c r="AH174" s="115"/>
    </row>
    <row r="175" spans="1:34"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</row>
    <row r="176" spans="1:34">
      <c r="B176" s="140"/>
      <c r="D176" s="124" t="s">
        <v>229</v>
      </c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</row>
    <row r="177" spans="1:34">
      <c r="C177" s="110">
        <v>350</v>
      </c>
      <c r="D177" s="136" t="s">
        <v>230</v>
      </c>
      <c r="E177" s="119">
        <v>2006</v>
      </c>
      <c r="F177" s="110">
        <v>2</v>
      </c>
      <c r="G177" s="159">
        <v>0</v>
      </c>
      <c r="H177" s="159"/>
      <c r="I177" s="119" t="s">
        <v>103</v>
      </c>
      <c r="J177" s="119">
        <v>10</v>
      </c>
      <c r="K177" s="113">
        <f t="shared" ref="K177:K184" si="106">E177+J177</f>
        <v>2016</v>
      </c>
      <c r="L177" s="160"/>
      <c r="N177" s="138">
        <v>17146.62</v>
      </c>
      <c r="O177" s="147"/>
      <c r="P177" s="139">
        <f t="shared" ref="P177:P184" si="107">N177-N177*G177</f>
        <v>17146.62</v>
      </c>
      <c r="Q177" s="139">
        <f t="shared" ref="Q177:Q184" si="108">P177/J177/12</f>
        <v>142.88849999999999</v>
      </c>
      <c r="R177" s="139">
        <f t="shared" ref="R177:R184" si="109">IF(O177&gt;0,0,IF(OR(AD177&gt;AE177,AF177&lt;AG177),0,IF(AND(AF177&gt;=AG177,AF177&lt;=AE177),Q177*((AF177-AG177)*12),IF(AND(AG177&lt;=AD177,AE177&gt;=AD177),((AE177-AD177)*12)*Q177,IF(AF177&gt;AE177,12*Q177,0)))))</f>
        <v>0</v>
      </c>
      <c r="S177" s="139"/>
      <c r="T177" s="139">
        <f t="shared" ref="T177:T184" si="110">IF(S177&gt;0,S177,R177)</f>
        <v>0</v>
      </c>
      <c r="U177" s="139">
        <v>1</v>
      </c>
      <c r="V177" s="139">
        <f t="shared" ref="V177:V184" si="111">U177*SUM(R177:S177)</f>
        <v>0</v>
      </c>
      <c r="W177" s="139"/>
      <c r="X177" s="139">
        <f t="shared" ref="X177:X184" si="112">IF(AD177&gt;AE177,0,IF(AF177&lt;AG177,P177,IF(AND(AF177&gt;=AG177,AF177&lt;=AE177),(P177-T177),IF(AND(AG177&lt;=AD177,AE177&gt;=AD177),0,IF(AF177&gt;AE177,((AG177-AD177)*12)*Q177,0)))))</f>
        <v>17146.62</v>
      </c>
      <c r="Y177" s="139">
        <f t="shared" ref="Y177:Y184" si="113">X177*U177</f>
        <v>17146.62</v>
      </c>
      <c r="Z177" s="139">
        <v>1</v>
      </c>
      <c r="AA177" s="139">
        <f t="shared" ref="AA177:AA184" si="114">Y177*Z177</f>
        <v>17146.62</v>
      </c>
      <c r="AB177" s="139">
        <f t="shared" ref="AB177:AB184" si="115">IF(O177&gt;0,0,AA177+V177*Z177)*Z177</f>
        <v>17146.62</v>
      </c>
      <c r="AC177" s="139">
        <f t="shared" ref="AC177:AC184" si="116">IF(O177&gt;0,(N177-AA177)/2,IF(AD177&gt;=AG177,(((N177*U177)*Z177)-AB177)/2,((((N177*U177)*Z177)-AA177)+(((N177*U177)*Z177)-AB177))/2))</f>
        <v>0</v>
      </c>
      <c r="AD177" s="115">
        <f t="shared" ref="AD177:AD184" si="117">$E177+(($F177-1)/12)</f>
        <v>2006.0833333333333</v>
      </c>
      <c r="AE177" s="115">
        <f t="shared" ref="AE177:AE184" si="118">($P$5+1)-($P$2/12)</f>
        <v>2018</v>
      </c>
      <c r="AF177" s="115">
        <f t="shared" ref="AF177:AF184" si="119">$K177+(($F177-1)/12)</f>
        <v>2016.0833333333333</v>
      </c>
      <c r="AG177" s="115">
        <f t="shared" ref="AG177:AG184" si="120">$P$4+($P$3/12)</f>
        <v>2017</v>
      </c>
      <c r="AH177" s="115">
        <f t="shared" ref="AH177:AH184" si="121">$L177+(($M177-1)/12)</f>
        <v>-8.3333333333333329E-2</v>
      </c>
    </row>
    <row r="178" spans="1:34">
      <c r="C178" s="110">
        <v>165</v>
      </c>
      <c r="D178" s="136" t="s">
        <v>230</v>
      </c>
      <c r="E178" s="119">
        <v>2007</v>
      </c>
      <c r="F178" s="110">
        <v>12</v>
      </c>
      <c r="G178" s="159">
        <v>0</v>
      </c>
      <c r="H178" s="159"/>
      <c r="I178" s="119" t="s">
        <v>103</v>
      </c>
      <c r="J178" s="119">
        <v>10</v>
      </c>
      <c r="K178" s="113">
        <f t="shared" si="106"/>
        <v>2017</v>
      </c>
      <c r="L178" s="160"/>
      <c r="N178" s="138">
        <v>8921.85</v>
      </c>
      <c r="O178" s="147"/>
      <c r="P178" s="139">
        <f t="shared" si="107"/>
        <v>8921.85</v>
      </c>
      <c r="Q178" s="139">
        <f t="shared" si="108"/>
        <v>74.34875000000001</v>
      </c>
      <c r="R178" s="139">
        <f t="shared" si="109"/>
        <v>817.83625000006771</v>
      </c>
      <c r="S178" s="139"/>
      <c r="T178" s="139">
        <f t="shared" si="110"/>
        <v>817.83625000006771</v>
      </c>
      <c r="U178" s="139">
        <v>1</v>
      </c>
      <c r="V178" s="139">
        <f t="shared" si="111"/>
        <v>817.83625000006771</v>
      </c>
      <c r="W178" s="139"/>
      <c r="X178" s="139">
        <f t="shared" si="112"/>
        <v>8104.0137499999328</v>
      </c>
      <c r="Y178" s="139">
        <f t="shared" si="113"/>
        <v>8104.0137499999328</v>
      </c>
      <c r="Z178" s="139">
        <v>1</v>
      </c>
      <c r="AA178" s="139">
        <f t="shared" si="114"/>
        <v>8104.0137499999328</v>
      </c>
      <c r="AB178" s="139">
        <f t="shared" si="115"/>
        <v>8921.85</v>
      </c>
      <c r="AC178" s="139">
        <f t="shared" si="116"/>
        <v>408.9181250000338</v>
      </c>
      <c r="AD178" s="115">
        <f t="shared" si="117"/>
        <v>2007.9166666666667</v>
      </c>
      <c r="AE178" s="115">
        <f t="shared" si="118"/>
        <v>2018</v>
      </c>
      <c r="AF178" s="115">
        <f t="shared" si="119"/>
        <v>2017.9166666666667</v>
      </c>
      <c r="AG178" s="115">
        <f t="shared" si="120"/>
        <v>2017</v>
      </c>
      <c r="AH178" s="115">
        <f t="shared" si="121"/>
        <v>-8.3333333333333329E-2</v>
      </c>
    </row>
    <row r="179" spans="1:34">
      <c r="C179" s="110">
        <v>165</v>
      </c>
      <c r="D179" s="136" t="s">
        <v>231</v>
      </c>
      <c r="E179" s="119">
        <v>2009</v>
      </c>
      <c r="F179" s="110">
        <v>6</v>
      </c>
      <c r="G179" s="159">
        <v>0</v>
      </c>
      <c r="H179" s="159"/>
      <c r="I179" s="119" t="s">
        <v>103</v>
      </c>
      <c r="J179" s="119">
        <v>10</v>
      </c>
      <c r="K179" s="113">
        <f t="shared" si="106"/>
        <v>2019</v>
      </c>
      <c r="L179" s="160"/>
      <c r="N179" s="138">
        <f>165*50.1-3</f>
        <v>8263.5</v>
      </c>
      <c r="O179" s="147"/>
      <c r="P179" s="139">
        <f t="shared" si="107"/>
        <v>8263.5</v>
      </c>
      <c r="Q179" s="139">
        <f t="shared" si="108"/>
        <v>68.862499999999997</v>
      </c>
      <c r="R179" s="139">
        <f t="shared" si="109"/>
        <v>826.34999999999991</v>
      </c>
      <c r="S179" s="139"/>
      <c r="T179" s="139">
        <f t="shared" si="110"/>
        <v>826.34999999999991</v>
      </c>
      <c r="U179" s="139">
        <v>1</v>
      </c>
      <c r="V179" s="139">
        <f t="shared" si="111"/>
        <v>826.34999999999991</v>
      </c>
      <c r="W179" s="139"/>
      <c r="X179" s="139">
        <f t="shared" si="112"/>
        <v>6266.4874999999374</v>
      </c>
      <c r="Y179" s="139">
        <f t="shared" si="113"/>
        <v>6266.4874999999374</v>
      </c>
      <c r="Z179" s="139">
        <v>1</v>
      </c>
      <c r="AA179" s="139">
        <f t="shared" si="114"/>
        <v>6266.4874999999374</v>
      </c>
      <c r="AB179" s="139">
        <f t="shared" si="115"/>
        <v>7092.8374999999378</v>
      </c>
      <c r="AC179" s="139">
        <f t="shared" si="116"/>
        <v>1583.8375000000624</v>
      </c>
      <c r="AD179" s="115">
        <f t="shared" si="117"/>
        <v>2009.4166666666667</v>
      </c>
      <c r="AE179" s="115">
        <f t="shared" si="118"/>
        <v>2018</v>
      </c>
      <c r="AF179" s="115">
        <f t="shared" si="119"/>
        <v>2019.4166666666667</v>
      </c>
      <c r="AG179" s="115">
        <f t="shared" si="120"/>
        <v>2017</v>
      </c>
      <c r="AH179" s="115">
        <f t="shared" si="121"/>
        <v>-8.3333333333333329E-2</v>
      </c>
    </row>
    <row r="180" spans="1:34">
      <c r="C180" s="110">
        <v>296</v>
      </c>
      <c r="D180" s="136" t="s">
        <v>230</v>
      </c>
      <c r="E180" s="119">
        <v>2011</v>
      </c>
      <c r="F180" s="110">
        <v>11</v>
      </c>
      <c r="G180" s="159">
        <v>0</v>
      </c>
      <c r="H180" s="159"/>
      <c r="I180" s="119" t="s">
        <v>103</v>
      </c>
      <c r="J180" s="119">
        <v>10</v>
      </c>
      <c r="K180" s="113">
        <f t="shared" si="106"/>
        <v>2021</v>
      </c>
      <c r="L180" s="160"/>
      <c r="N180" s="138">
        <f>13493.98+4.62*296-1</f>
        <v>14860.5</v>
      </c>
      <c r="O180" s="147"/>
      <c r="P180" s="139">
        <f t="shared" si="107"/>
        <v>14860.5</v>
      </c>
      <c r="Q180" s="139">
        <f t="shared" si="108"/>
        <v>123.83749999999999</v>
      </c>
      <c r="R180" s="139">
        <f t="shared" si="109"/>
        <v>1486.05</v>
      </c>
      <c r="S180" s="139"/>
      <c r="T180" s="139">
        <f t="shared" si="110"/>
        <v>1486.05</v>
      </c>
      <c r="U180" s="139">
        <v>1</v>
      </c>
      <c r="V180" s="139">
        <f t="shared" si="111"/>
        <v>1486.05</v>
      </c>
      <c r="W180" s="139"/>
      <c r="X180" s="139">
        <f t="shared" si="112"/>
        <v>7677.925000000112</v>
      </c>
      <c r="Y180" s="139">
        <f t="shared" si="113"/>
        <v>7677.925000000112</v>
      </c>
      <c r="Z180" s="139">
        <v>1</v>
      </c>
      <c r="AA180" s="139">
        <f t="shared" si="114"/>
        <v>7677.925000000112</v>
      </c>
      <c r="AB180" s="139">
        <f t="shared" si="115"/>
        <v>9163.9750000001113</v>
      </c>
      <c r="AC180" s="139">
        <f t="shared" si="116"/>
        <v>6439.5499999998883</v>
      </c>
      <c r="AD180" s="115">
        <f t="shared" si="117"/>
        <v>2011.8333333333333</v>
      </c>
      <c r="AE180" s="115">
        <f t="shared" si="118"/>
        <v>2018</v>
      </c>
      <c r="AF180" s="115">
        <f t="shared" si="119"/>
        <v>2021.8333333333333</v>
      </c>
      <c r="AG180" s="115">
        <f t="shared" si="120"/>
        <v>2017</v>
      </c>
      <c r="AH180" s="115">
        <f t="shared" si="121"/>
        <v>-8.3333333333333329E-2</v>
      </c>
    </row>
    <row r="181" spans="1:34">
      <c r="A181" s="110">
        <v>105994</v>
      </c>
      <c r="C181" s="110">
        <v>90</v>
      </c>
      <c r="D181" s="136" t="s">
        <v>232</v>
      </c>
      <c r="E181" s="119">
        <v>2013</v>
      </c>
      <c r="F181" s="110">
        <v>7</v>
      </c>
      <c r="G181" s="159">
        <v>0</v>
      </c>
      <c r="H181" s="159"/>
      <c r="I181" s="119" t="s">
        <v>103</v>
      </c>
      <c r="J181" s="119">
        <v>10</v>
      </c>
      <c r="K181" s="113">
        <f t="shared" si="106"/>
        <v>2023</v>
      </c>
      <c r="L181" s="160"/>
      <c r="N181" s="138">
        <v>5310</v>
      </c>
      <c r="O181" s="147"/>
      <c r="P181" s="139">
        <f t="shared" si="107"/>
        <v>5310</v>
      </c>
      <c r="Q181" s="139">
        <f t="shared" si="108"/>
        <v>44.25</v>
      </c>
      <c r="R181" s="139">
        <f t="shared" si="109"/>
        <v>531</v>
      </c>
      <c r="S181" s="139"/>
      <c r="T181" s="139">
        <f t="shared" si="110"/>
        <v>531</v>
      </c>
      <c r="U181" s="139">
        <v>1</v>
      </c>
      <c r="V181" s="139">
        <f t="shared" si="111"/>
        <v>531</v>
      </c>
      <c r="W181" s="139"/>
      <c r="X181" s="139">
        <f t="shared" si="112"/>
        <v>1858.5</v>
      </c>
      <c r="Y181" s="139">
        <f t="shared" si="113"/>
        <v>1858.5</v>
      </c>
      <c r="Z181" s="139">
        <v>1</v>
      </c>
      <c r="AA181" s="139">
        <f t="shared" si="114"/>
        <v>1858.5</v>
      </c>
      <c r="AB181" s="139">
        <f t="shared" si="115"/>
        <v>2389.5</v>
      </c>
      <c r="AC181" s="139">
        <f t="shared" si="116"/>
        <v>3186</v>
      </c>
      <c r="AD181" s="115">
        <f t="shared" si="117"/>
        <v>2013.5</v>
      </c>
      <c r="AE181" s="115">
        <f t="shared" si="118"/>
        <v>2018</v>
      </c>
      <c r="AF181" s="115">
        <f t="shared" si="119"/>
        <v>2023.5</v>
      </c>
      <c r="AG181" s="115">
        <f t="shared" si="120"/>
        <v>2017</v>
      </c>
      <c r="AH181" s="115">
        <f t="shared" si="121"/>
        <v>-8.3333333333333329E-2</v>
      </c>
    </row>
    <row r="182" spans="1:34">
      <c r="A182" s="110">
        <v>115099</v>
      </c>
      <c r="C182" s="110">
        <v>180</v>
      </c>
      <c r="D182" s="136" t="s">
        <v>232</v>
      </c>
      <c r="E182" s="119">
        <v>2014</v>
      </c>
      <c r="F182" s="110">
        <v>7</v>
      </c>
      <c r="G182" s="159">
        <v>0</v>
      </c>
      <c r="H182" s="159"/>
      <c r="I182" s="119" t="s">
        <v>103</v>
      </c>
      <c r="J182" s="119">
        <v>10</v>
      </c>
      <c r="K182" s="113">
        <f t="shared" si="106"/>
        <v>2024</v>
      </c>
      <c r="L182" s="160"/>
      <c r="N182" s="138">
        <v>9383</v>
      </c>
      <c r="O182" s="147"/>
      <c r="P182" s="139">
        <f t="shared" si="107"/>
        <v>9383</v>
      </c>
      <c r="Q182" s="139">
        <f t="shared" si="108"/>
        <v>78.191666666666663</v>
      </c>
      <c r="R182" s="139">
        <f t="shared" si="109"/>
        <v>938.3</v>
      </c>
      <c r="S182" s="139"/>
      <c r="T182" s="139">
        <f t="shared" si="110"/>
        <v>938.3</v>
      </c>
      <c r="U182" s="139">
        <v>1</v>
      </c>
      <c r="V182" s="139">
        <f t="shared" si="111"/>
        <v>938.3</v>
      </c>
      <c r="W182" s="139"/>
      <c r="X182" s="139">
        <f t="shared" si="112"/>
        <v>2345.75</v>
      </c>
      <c r="Y182" s="139">
        <f t="shared" si="113"/>
        <v>2345.75</v>
      </c>
      <c r="Z182" s="139">
        <v>1</v>
      </c>
      <c r="AA182" s="139">
        <f t="shared" si="114"/>
        <v>2345.75</v>
      </c>
      <c r="AB182" s="139">
        <f t="shared" si="115"/>
        <v>3284.05</v>
      </c>
      <c r="AC182" s="139">
        <f t="shared" si="116"/>
        <v>6568.1</v>
      </c>
      <c r="AD182" s="115">
        <f t="shared" si="117"/>
        <v>2014.5</v>
      </c>
      <c r="AE182" s="115">
        <f t="shared" si="118"/>
        <v>2018</v>
      </c>
      <c r="AF182" s="115">
        <f t="shared" si="119"/>
        <v>2024.5</v>
      </c>
      <c r="AG182" s="115">
        <f t="shared" si="120"/>
        <v>2017</v>
      </c>
      <c r="AH182" s="115">
        <f t="shared" si="121"/>
        <v>-8.3333333333333329E-2</v>
      </c>
    </row>
    <row r="183" spans="1:34">
      <c r="A183" s="110">
        <v>126734</v>
      </c>
      <c r="C183" s="110">
        <v>100</v>
      </c>
      <c r="D183" s="136" t="s">
        <v>233</v>
      </c>
      <c r="E183" s="119">
        <v>2015</v>
      </c>
      <c r="F183" s="110">
        <v>11</v>
      </c>
      <c r="G183" s="159">
        <v>0</v>
      </c>
      <c r="H183" s="159"/>
      <c r="I183" s="119" t="s">
        <v>103</v>
      </c>
      <c r="J183" s="119">
        <v>10</v>
      </c>
      <c r="K183" s="113">
        <f t="shared" si="106"/>
        <v>2025</v>
      </c>
      <c r="L183" s="160"/>
      <c r="N183" s="138">
        <v>5371.53</v>
      </c>
      <c r="O183" s="147"/>
      <c r="P183" s="139">
        <f t="shared" si="107"/>
        <v>5371.53</v>
      </c>
      <c r="Q183" s="139">
        <f t="shared" si="108"/>
        <v>44.762750000000004</v>
      </c>
      <c r="R183" s="139">
        <f t="shared" si="109"/>
        <v>537.15300000000002</v>
      </c>
      <c r="S183" s="139"/>
      <c r="T183" s="139">
        <f t="shared" si="110"/>
        <v>537.15300000000002</v>
      </c>
      <c r="U183" s="139">
        <v>1</v>
      </c>
      <c r="V183" s="139">
        <f t="shared" si="111"/>
        <v>537.15300000000002</v>
      </c>
      <c r="W183" s="139"/>
      <c r="X183" s="139">
        <f t="shared" si="112"/>
        <v>626.6785000000408</v>
      </c>
      <c r="Y183" s="139">
        <f t="shared" si="113"/>
        <v>626.6785000000408</v>
      </c>
      <c r="Z183" s="139">
        <v>1</v>
      </c>
      <c r="AA183" s="139">
        <f t="shared" si="114"/>
        <v>626.6785000000408</v>
      </c>
      <c r="AB183" s="139">
        <f t="shared" si="115"/>
        <v>1163.8315000000407</v>
      </c>
      <c r="AC183" s="139">
        <f t="shared" si="116"/>
        <v>4476.2749999999587</v>
      </c>
      <c r="AD183" s="115">
        <f t="shared" si="117"/>
        <v>2015.8333333333333</v>
      </c>
      <c r="AE183" s="115">
        <f t="shared" si="118"/>
        <v>2018</v>
      </c>
      <c r="AF183" s="115">
        <f t="shared" si="119"/>
        <v>2025.8333333333333</v>
      </c>
      <c r="AG183" s="115">
        <f t="shared" si="120"/>
        <v>2017</v>
      </c>
      <c r="AH183" s="115">
        <f t="shared" si="121"/>
        <v>-8.3333333333333329E-2</v>
      </c>
    </row>
    <row r="184" spans="1:34">
      <c r="A184" s="110">
        <v>168948</v>
      </c>
      <c r="C184" s="110">
        <v>100</v>
      </c>
      <c r="D184" s="136" t="s">
        <v>297</v>
      </c>
      <c r="E184" s="119">
        <v>2016</v>
      </c>
      <c r="F184" s="110">
        <v>10</v>
      </c>
      <c r="G184" s="159">
        <v>0</v>
      </c>
      <c r="H184" s="159"/>
      <c r="I184" s="119" t="s">
        <v>103</v>
      </c>
      <c r="J184" s="119">
        <v>7</v>
      </c>
      <c r="K184" s="113">
        <f t="shared" si="106"/>
        <v>2023</v>
      </c>
      <c r="L184" s="160"/>
      <c r="N184" s="138">
        <v>5818</v>
      </c>
      <c r="O184" s="147"/>
      <c r="P184" s="139">
        <f t="shared" si="107"/>
        <v>5818</v>
      </c>
      <c r="Q184" s="139">
        <f t="shared" si="108"/>
        <v>69.261904761904759</v>
      </c>
      <c r="R184" s="139">
        <f t="shared" si="109"/>
        <v>831.14285714285711</v>
      </c>
      <c r="S184" s="139"/>
      <c r="T184" s="139">
        <f t="shared" si="110"/>
        <v>831.14285714285711</v>
      </c>
      <c r="U184" s="139">
        <v>1</v>
      </c>
      <c r="V184" s="139">
        <f t="shared" si="111"/>
        <v>831.14285714285711</v>
      </c>
      <c r="W184" s="139"/>
      <c r="X184" s="139">
        <f t="shared" si="112"/>
        <v>207.78571428571428</v>
      </c>
      <c r="Y184" s="139">
        <f t="shared" si="113"/>
        <v>207.78571428571428</v>
      </c>
      <c r="Z184" s="139">
        <v>1</v>
      </c>
      <c r="AA184" s="139">
        <f t="shared" si="114"/>
        <v>207.78571428571428</v>
      </c>
      <c r="AB184" s="139">
        <f t="shared" si="115"/>
        <v>1038.9285714285713</v>
      </c>
      <c r="AC184" s="139">
        <f t="shared" si="116"/>
        <v>5194.6428571428569</v>
      </c>
      <c r="AD184" s="115">
        <f t="shared" si="117"/>
        <v>2016.75</v>
      </c>
      <c r="AE184" s="115">
        <f t="shared" si="118"/>
        <v>2018</v>
      </c>
      <c r="AF184" s="115">
        <f t="shared" si="119"/>
        <v>2023.75</v>
      </c>
      <c r="AG184" s="115">
        <f t="shared" si="120"/>
        <v>2017</v>
      </c>
      <c r="AH184" s="115">
        <f t="shared" si="121"/>
        <v>-8.3333333333333329E-2</v>
      </c>
    </row>
    <row r="185" spans="1:34">
      <c r="D185" s="136"/>
      <c r="E185" s="119"/>
      <c r="G185" s="137"/>
      <c r="H185" s="119"/>
      <c r="I185" s="119"/>
      <c r="J185" s="119"/>
      <c r="K185" s="123"/>
      <c r="N185" s="138"/>
      <c r="O185" s="138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  <c r="AC185" s="139"/>
      <c r="AD185" s="115"/>
      <c r="AE185" s="115"/>
      <c r="AF185" s="115"/>
      <c r="AG185" s="115"/>
      <c r="AH185" s="115"/>
    </row>
    <row r="186" spans="1:34">
      <c r="D186" s="150" t="s">
        <v>234</v>
      </c>
      <c r="E186" s="151"/>
      <c r="F186" s="152"/>
      <c r="G186" s="153"/>
      <c r="H186" s="151"/>
      <c r="I186" s="151"/>
      <c r="J186" s="151"/>
      <c r="K186" s="154"/>
      <c r="L186" s="152"/>
      <c r="M186" s="152"/>
      <c r="N186" s="144">
        <f>SUM(N177:N185)</f>
        <v>75075</v>
      </c>
      <c r="O186" s="144"/>
      <c r="P186" s="144">
        <f>SUM(P177:P185)</f>
        <v>75075</v>
      </c>
      <c r="Q186" s="144">
        <f>SUM(Q177:Q185)</f>
        <v>646.40357142857147</v>
      </c>
      <c r="R186" s="144">
        <f>SUM(R177:R185)</f>
        <v>5967.8321071429245</v>
      </c>
      <c r="S186" s="144"/>
      <c r="T186" s="144">
        <f>SUM(T177:T185)</f>
        <v>5967.8321071429245</v>
      </c>
      <c r="U186" s="144"/>
      <c r="V186" s="144">
        <f>SUM(V177:V185)</f>
        <v>5967.8321071429245</v>
      </c>
      <c r="W186" s="144"/>
      <c r="X186" s="144">
        <f t="shared" ref="X186:AC186" si="122">SUM(X177:X185)</f>
        <v>44233.76046428574</v>
      </c>
      <c r="Y186" s="144">
        <f t="shared" si="122"/>
        <v>44233.76046428574</v>
      </c>
      <c r="Z186" s="144">
        <f t="shared" si="122"/>
        <v>8</v>
      </c>
      <c r="AA186" s="144">
        <f t="shared" si="122"/>
        <v>44233.76046428574</v>
      </c>
      <c r="AB186" s="144">
        <f t="shared" si="122"/>
        <v>50201.592571428664</v>
      </c>
      <c r="AC186" s="144">
        <f t="shared" si="122"/>
        <v>27857.323482142798</v>
      </c>
      <c r="AD186" s="115"/>
      <c r="AE186" s="115"/>
      <c r="AF186" s="115"/>
      <c r="AG186" s="115"/>
      <c r="AH186" s="115"/>
    </row>
    <row r="187" spans="1:34"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</row>
    <row r="188" spans="1:34">
      <c r="G188" s="110"/>
      <c r="I188" s="159"/>
      <c r="J188" s="119"/>
      <c r="K188" s="174"/>
      <c r="L188" s="175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</row>
    <row r="189" spans="1:34">
      <c r="D189" s="140" t="s">
        <v>129</v>
      </c>
      <c r="E189" s="119"/>
      <c r="G189" s="110"/>
      <c r="J189" s="119"/>
      <c r="L189" s="160"/>
      <c r="N189" s="138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</row>
    <row r="190" spans="1:34">
      <c r="C190" s="110">
        <v>1</v>
      </c>
      <c r="D190" s="136" t="s">
        <v>235</v>
      </c>
      <c r="E190" s="119">
        <v>1996</v>
      </c>
      <c r="F190" s="110">
        <v>7</v>
      </c>
      <c r="G190" s="159">
        <v>0</v>
      </c>
      <c r="H190" s="159"/>
      <c r="I190" s="119" t="s">
        <v>103</v>
      </c>
      <c r="J190" s="119">
        <v>10</v>
      </c>
      <c r="K190" s="113">
        <f t="shared" ref="K190:K206" si="123">E190+J190</f>
        <v>2006</v>
      </c>
      <c r="L190" s="175"/>
      <c r="N190" s="147">
        <v>6298</v>
      </c>
      <c r="O190" s="147"/>
      <c r="P190" s="139">
        <f t="shared" ref="P190:P206" si="124">N190-N190*G190</f>
        <v>6298</v>
      </c>
      <c r="Q190" s="139">
        <f t="shared" ref="Q190:Q206" si="125">P190/J190/12</f>
        <v>52.483333333333327</v>
      </c>
      <c r="R190" s="139">
        <f t="shared" ref="R190:R206" si="126">IF(O190&gt;0,0,IF(OR(AD190&gt;AE190,AF190&lt;AG190),0,IF(AND(AF190&gt;=AG190,AF190&lt;=AE190),Q190*((AF190-AG190)*12),IF(AND(AG190&lt;=AD190,AE190&gt;=AD190),((AE190-AD190)*12)*Q190,IF(AF190&gt;AE190,12*Q190,0)))))</f>
        <v>0</v>
      </c>
      <c r="S190" s="139"/>
      <c r="T190" s="139">
        <f t="shared" ref="T190:T206" si="127">IF(S190&gt;0,S190,R190)</f>
        <v>0</v>
      </c>
      <c r="U190" s="139">
        <v>1</v>
      </c>
      <c r="V190" s="139">
        <f t="shared" ref="V190:V206" si="128">U190*SUM(R190:S190)</f>
        <v>0</v>
      </c>
      <c r="W190" s="139"/>
      <c r="X190" s="139">
        <f t="shared" ref="X190:X206" si="129">IF(AD190&gt;AE190,0,IF(AF190&lt;AG190,P190,IF(AND(AF190&gt;=AG190,AF190&lt;=AE190),(P190-T190),IF(AND(AG190&lt;=AD190,AE190&gt;=AD190),0,IF(AF190&gt;AE190,((AG190-AD190)*12)*Q190,0)))))</f>
        <v>6298</v>
      </c>
      <c r="Y190" s="139">
        <f t="shared" ref="Y190:Y206" si="130">X190*U190</f>
        <v>6298</v>
      </c>
      <c r="Z190" s="139">
        <v>1</v>
      </c>
      <c r="AA190" s="139">
        <f t="shared" ref="AA190:AA206" si="131">Y190*Z190</f>
        <v>6298</v>
      </c>
      <c r="AB190" s="139">
        <f t="shared" ref="AB190:AB206" si="132">IF(O190&gt;0,0,AA190+V190*Z190)*Z190</f>
        <v>6298</v>
      </c>
      <c r="AC190" s="139">
        <f t="shared" ref="AC190:AC206" si="133">IF(O190&gt;0,(N190-AA190)/2,IF(AD190&gt;=AG190,(((N190*U190)*Z190)-AB190)/2,((((N190*U190)*Z190)-AA190)+(((N190*U190)*Z190)-AB190))/2))</f>
        <v>0</v>
      </c>
      <c r="AD190" s="115">
        <f t="shared" ref="AD190:AD206" si="134">$E190+(($F190-1)/12)</f>
        <v>1996.5</v>
      </c>
      <c r="AE190" s="115">
        <f t="shared" ref="AE190:AE206" si="135">($P$5+1)-($P$2/12)</f>
        <v>2018</v>
      </c>
      <c r="AF190" s="115">
        <f t="shared" ref="AF190:AF206" si="136">$K190+(($F190-1)/12)</f>
        <v>2006.5</v>
      </c>
      <c r="AG190" s="115">
        <f t="shared" ref="AG190:AG206" si="137">$P$4+($P$3/12)</f>
        <v>2017</v>
      </c>
      <c r="AH190" s="115">
        <f t="shared" ref="AH190:AH206" si="138">$L190+(($M190-1)/12)</f>
        <v>-8.3333333333333329E-2</v>
      </c>
    </row>
    <row r="191" spans="1:34">
      <c r="C191" s="110">
        <v>1</v>
      </c>
      <c r="D191" s="136" t="str">
        <f>+D190</f>
        <v>1-25 Yd Rolloff</v>
      </c>
      <c r="E191" s="119">
        <v>1999</v>
      </c>
      <c r="F191" s="110">
        <v>3</v>
      </c>
      <c r="G191" s="159">
        <v>0</v>
      </c>
      <c r="H191" s="159"/>
      <c r="I191" s="119" t="s">
        <v>103</v>
      </c>
      <c r="J191" s="119">
        <v>10</v>
      </c>
      <c r="K191" s="113">
        <f t="shared" si="123"/>
        <v>2009</v>
      </c>
      <c r="L191" s="175"/>
      <c r="N191" s="147">
        <v>5823.93</v>
      </c>
      <c r="O191" s="147"/>
      <c r="P191" s="139">
        <f t="shared" si="124"/>
        <v>5823.93</v>
      </c>
      <c r="Q191" s="139">
        <f t="shared" si="125"/>
        <v>48.53275</v>
      </c>
      <c r="R191" s="139">
        <f t="shared" si="126"/>
        <v>0</v>
      </c>
      <c r="S191" s="139"/>
      <c r="T191" s="139">
        <f t="shared" si="127"/>
        <v>0</v>
      </c>
      <c r="U191" s="139">
        <v>1</v>
      </c>
      <c r="V191" s="139">
        <f t="shared" si="128"/>
        <v>0</v>
      </c>
      <c r="W191" s="139"/>
      <c r="X191" s="139">
        <f t="shared" si="129"/>
        <v>5823.93</v>
      </c>
      <c r="Y191" s="139">
        <f t="shared" si="130"/>
        <v>5823.93</v>
      </c>
      <c r="Z191" s="139">
        <v>1</v>
      </c>
      <c r="AA191" s="139">
        <f t="shared" si="131"/>
        <v>5823.93</v>
      </c>
      <c r="AB191" s="139">
        <f t="shared" si="132"/>
        <v>5823.93</v>
      </c>
      <c r="AC191" s="139">
        <f t="shared" si="133"/>
        <v>0</v>
      </c>
      <c r="AD191" s="115">
        <f t="shared" si="134"/>
        <v>1999.1666666666667</v>
      </c>
      <c r="AE191" s="115">
        <f t="shared" si="135"/>
        <v>2018</v>
      </c>
      <c r="AF191" s="115">
        <f t="shared" si="136"/>
        <v>2009.1666666666667</v>
      </c>
      <c r="AG191" s="115">
        <f t="shared" si="137"/>
        <v>2017</v>
      </c>
      <c r="AH191" s="115">
        <f t="shared" si="138"/>
        <v>-8.3333333333333329E-2</v>
      </c>
    </row>
    <row r="192" spans="1:34">
      <c r="C192" s="110">
        <v>1</v>
      </c>
      <c r="D192" s="136" t="str">
        <f>+D191</f>
        <v>1-25 Yd Rolloff</v>
      </c>
      <c r="E192" s="119">
        <v>1999</v>
      </c>
      <c r="F192" s="110">
        <v>4</v>
      </c>
      <c r="G192" s="159">
        <v>0</v>
      </c>
      <c r="H192" s="159"/>
      <c r="I192" s="119" t="s">
        <v>103</v>
      </c>
      <c r="J192" s="119">
        <v>10</v>
      </c>
      <c r="K192" s="113">
        <f t="shared" si="123"/>
        <v>2009</v>
      </c>
      <c r="L192" s="175"/>
      <c r="N192" s="147">
        <v>5323.93</v>
      </c>
      <c r="O192" s="147"/>
      <c r="P192" s="139">
        <f t="shared" si="124"/>
        <v>5323.93</v>
      </c>
      <c r="Q192" s="139">
        <f t="shared" si="125"/>
        <v>44.366083333333336</v>
      </c>
      <c r="R192" s="139">
        <f t="shared" si="126"/>
        <v>0</v>
      </c>
      <c r="S192" s="139"/>
      <c r="T192" s="139">
        <f t="shared" si="127"/>
        <v>0</v>
      </c>
      <c r="U192" s="139">
        <v>1</v>
      </c>
      <c r="V192" s="139">
        <f t="shared" si="128"/>
        <v>0</v>
      </c>
      <c r="W192" s="139"/>
      <c r="X192" s="139">
        <f t="shared" si="129"/>
        <v>5323.93</v>
      </c>
      <c r="Y192" s="139">
        <f t="shared" si="130"/>
        <v>5323.93</v>
      </c>
      <c r="Z192" s="139">
        <v>1</v>
      </c>
      <c r="AA192" s="139">
        <f t="shared" si="131"/>
        <v>5323.93</v>
      </c>
      <c r="AB192" s="139">
        <f t="shared" si="132"/>
        <v>5323.93</v>
      </c>
      <c r="AC192" s="139">
        <f t="shared" si="133"/>
        <v>0</v>
      </c>
      <c r="AD192" s="115">
        <f t="shared" si="134"/>
        <v>1999.25</v>
      </c>
      <c r="AE192" s="115">
        <f t="shared" si="135"/>
        <v>2018</v>
      </c>
      <c r="AF192" s="115">
        <f t="shared" si="136"/>
        <v>2009.25</v>
      </c>
      <c r="AG192" s="115">
        <f t="shared" si="137"/>
        <v>2017</v>
      </c>
      <c r="AH192" s="115">
        <f t="shared" si="138"/>
        <v>-8.3333333333333329E-2</v>
      </c>
    </row>
    <row r="193" spans="1:34">
      <c r="C193" s="110">
        <v>1</v>
      </c>
      <c r="D193" s="136" t="s">
        <v>236</v>
      </c>
      <c r="E193" s="119">
        <v>1999</v>
      </c>
      <c r="F193" s="110">
        <v>11</v>
      </c>
      <c r="G193" s="159">
        <v>0</v>
      </c>
      <c r="H193" s="159"/>
      <c r="I193" s="119" t="s">
        <v>103</v>
      </c>
      <c r="J193" s="119">
        <v>10</v>
      </c>
      <c r="K193" s="113">
        <f t="shared" si="123"/>
        <v>2009</v>
      </c>
      <c r="L193" s="175"/>
      <c r="N193" s="147">
        <v>6957</v>
      </c>
      <c r="O193" s="147"/>
      <c r="P193" s="139">
        <f t="shared" si="124"/>
        <v>6957</v>
      </c>
      <c r="Q193" s="139">
        <f t="shared" si="125"/>
        <v>57.975000000000001</v>
      </c>
      <c r="R193" s="139">
        <f t="shared" si="126"/>
        <v>0</v>
      </c>
      <c r="S193" s="139"/>
      <c r="T193" s="139">
        <f t="shared" si="127"/>
        <v>0</v>
      </c>
      <c r="U193" s="139">
        <v>1</v>
      </c>
      <c r="V193" s="139">
        <f t="shared" si="128"/>
        <v>0</v>
      </c>
      <c r="W193" s="139"/>
      <c r="X193" s="139">
        <f t="shared" si="129"/>
        <v>6957</v>
      </c>
      <c r="Y193" s="139">
        <f t="shared" si="130"/>
        <v>6957</v>
      </c>
      <c r="Z193" s="139">
        <v>1</v>
      </c>
      <c r="AA193" s="139">
        <f t="shared" si="131"/>
        <v>6957</v>
      </c>
      <c r="AB193" s="139">
        <f t="shared" si="132"/>
        <v>6957</v>
      </c>
      <c r="AC193" s="139">
        <f t="shared" si="133"/>
        <v>0</v>
      </c>
      <c r="AD193" s="115">
        <f t="shared" si="134"/>
        <v>1999.8333333333333</v>
      </c>
      <c r="AE193" s="115">
        <f t="shared" si="135"/>
        <v>2018</v>
      </c>
      <c r="AF193" s="115">
        <f t="shared" si="136"/>
        <v>2009.8333333333333</v>
      </c>
      <c r="AG193" s="115">
        <f t="shared" si="137"/>
        <v>2017</v>
      </c>
      <c r="AH193" s="115">
        <f t="shared" si="138"/>
        <v>-8.3333333333333329E-2</v>
      </c>
    </row>
    <row r="194" spans="1:34">
      <c r="C194" s="110">
        <v>1</v>
      </c>
      <c r="D194" s="136" t="str">
        <f>+D191</f>
        <v>1-25 Yd Rolloff</v>
      </c>
      <c r="E194" s="119">
        <v>2000</v>
      </c>
      <c r="F194" s="110">
        <v>4</v>
      </c>
      <c r="G194" s="159">
        <v>0</v>
      </c>
      <c r="H194" s="159"/>
      <c r="I194" s="119" t="s">
        <v>103</v>
      </c>
      <c r="J194" s="119">
        <v>10</v>
      </c>
      <c r="K194" s="113">
        <f t="shared" si="123"/>
        <v>2010</v>
      </c>
      <c r="L194" s="175"/>
      <c r="N194" s="147">
        <v>5642.82</v>
      </c>
      <c r="O194" s="147"/>
      <c r="P194" s="139">
        <f t="shared" si="124"/>
        <v>5642.82</v>
      </c>
      <c r="Q194" s="139">
        <f t="shared" si="125"/>
        <v>47.023499999999991</v>
      </c>
      <c r="R194" s="139">
        <f t="shared" si="126"/>
        <v>0</v>
      </c>
      <c r="S194" s="139"/>
      <c r="T194" s="139">
        <f t="shared" si="127"/>
        <v>0</v>
      </c>
      <c r="U194" s="139">
        <v>1</v>
      </c>
      <c r="V194" s="139">
        <f t="shared" si="128"/>
        <v>0</v>
      </c>
      <c r="W194" s="139"/>
      <c r="X194" s="139">
        <f t="shared" si="129"/>
        <v>5642.82</v>
      </c>
      <c r="Y194" s="139">
        <f t="shared" si="130"/>
        <v>5642.82</v>
      </c>
      <c r="Z194" s="139">
        <v>1</v>
      </c>
      <c r="AA194" s="139">
        <f t="shared" si="131"/>
        <v>5642.82</v>
      </c>
      <c r="AB194" s="139">
        <f t="shared" si="132"/>
        <v>5642.82</v>
      </c>
      <c r="AC194" s="139">
        <f t="shared" si="133"/>
        <v>0</v>
      </c>
      <c r="AD194" s="115">
        <f t="shared" si="134"/>
        <v>2000.25</v>
      </c>
      <c r="AE194" s="115">
        <f t="shared" si="135"/>
        <v>2018</v>
      </c>
      <c r="AF194" s="115">
        <f t="shared" si="136"/>
        <v>2010.25</v>
      </c>
      <c r="AG194" s="115">
        <f t="shared" si="137"/>
        <v>2017</v>
      </c>
      <c r="AH194" s="115">
        <f t="shared" si="138"/>
        <v>-8.3333333333333329E-2</v>
      </c>
    </row>
    <row r="195" spans="1:34">
      <c r="C195" s="110">
        <v>1</v>
      </c>
      <c r="D195" s="136" t="s">
        <v>237</v>
      </c>
      <c r="E195" s="119">
        <v>2003</v>
      </c>
      <c r="F195" s="110">
        <v>1</v>
      </c>
      <c r="G195" s="159">
        <v>0</v>
      </c>
      <c r="H195" s="159"/>
      <c r="I195" s="119" t="s">
        <v>103</v>
      </c>
      <c r="J195" s="119">
        <v>10</v>
      </c>
      <c r="K195" s="113">
        <f t="shared" si="123"/>
        <v>2013</v>
      </c>
      <c r="L195" s="175"/>
      <c r="N195" s="147">
        <v>5200</v>
      </c>
      <c r="O195" s="147"/>
      <c r="P195" s="139">
        <f t="shared" si="124"/>
        <v>5200</v>
      </c>
      <c r="Q195" s="139">
        <f t="shared" si="125"/>
        <v>43.333333333333336</v>
      </c>
      <c r="R195" s="139">
        <f t="shared" si="126"/>
        <v>0</v>
      </c>
      <c r="S195" s="139"/>
      <c r="T195" s="139">
        <f t="shared" si="127"/>
        <v>0</v>
      </c>
      <c r="U195" s="139">
        <v>1</v>
      </c>
      <c r="V195" s="139">
        <f t="shared" si="128"/>
        <v>0</v>
      </c>
      <c r="W195" s="139"/>
      <c r="X195" s="139">
        <f t="shared" si="129"/>
        <v>5200</v>
      </c>
      <c r="Y195" s="139">
        <f t="shared" si="130"/>
        <v>5200</v>
      </c>
      <c r="Z195" s="139">
        <v>1</v>
      </c>
      <c r="AA195" s="139">
        <f t="shared" si="131"/>
        <v>5200</v>
      </c>
      <c r="AB195" s="139">
        <f t="shared" si="132"/>
        <v>5200</v>
      </c>
      <c r="AC195" s="139">
        <f t="shared" si="133"/>
        <v>0</v>
      </c>
      <c r="AD195" s="115">
        <f t="shared" si="134"/>
        <v>2003</v>
      </c>
      <c r="AE195" s="115">
        <f t="shared" si="135"/>
        <v>2018</v>
      </c>
      <c r="AF195" s="115">
        <f t="shared" si="136"/>
        <v>2013</v>
      </c>
      <c r="AG195" s="115">
        <f t="shared" si="137"/>
        <v>2017</v>
      </c>
      <c r="AH195" s="115">
        <f t="shared" si="138"/>
        <v>-8.3333333333333329E-2</v>
      </c>
    </row>
    <row r="196" spans="1:34">
      <c r="C196" s="110">
        <v>3</v>
      </c>
      <c r="D196" s="136" t="s">
        <v>238</v>
      </c>
      <c r="E196" s="119">
        <v>2003</v>
      </c>
      <c r="F196" s="110">
        <v>1</v>
      </c>
      <c r="G196" s="159">
        <v>0</v>
      </c>
      <c r="H196" s="159"/>
      <c r="I196" s="119" t="s">
        <v>103</v>
      </c>
      <c r="J196" s="119">
        <v>10</v>
      </c>
      <c r="K196" s="113">
        <f t="shared" si="123"/>
        <v>2013</v>
      </c>
      <c r="L196" s="175"/>
      <c r="N196" s="147">
        <f>5400+5400+5400</f>
        <v>16200</v>
      </c>
      <c r="O196" s="147"/>
      <c r="P196" s="139">
        <f t="shared" si="124"/>
        <v>16200</v>
      </c>
      <c r="Q196" s="139">
        <f t="shared" si="125"/>
        <v>135</v>
      </c>
      <c r="R196" s="139">
        <f t="shared" si="126"/>
        <v>0</v>
      </c>
      <c r="S196" s="139"/>
      <c r="T196" s="139">
        <f t="shared" si="127"/>
        <v>0</v>
      </c>
      <c r="U196" s="139">
        <v>1</v>
      </c>
      <c r="V196" s="139">
        <f t="shared" si="128"/>
        <v>0</v>
      </c>
      <c r="W196" s="139"/>
      <c r="X196" s="139">
        <f t="shared" si="129"/>
        <v>16200</v>
      </c>
      <c r="Y196" s="139">
        <f t="shared" si="130"/>
        <v>16200</v>
      </c>
      <c r="Z196" s="139">
        <v>1</v>
      </c>
      <c r="AA196" s="139">
        <f t="shared" si="131"/>
        <v>16200</v>
      </c>
      <c r="AB196" s="139">
        <f t="shared" si="132"/>
        <v>16200</v>
      </c>
      <c r="AC196" s="139">
        <f t="shared" si="133"/>
        <v>0</v>
      </c>
      <c r="AD196" s="115">
        <f t="shared" si="134"/>
        <v>2003</v>
      </c>
      <c r="AE196" s="115">
        <f t="shared" si="135"/>
        <v>2018</v>
      </c>
      <c r="AF196" s="115">
        <f t="shared" si="136"/>
        <v>2013</v>
      </c>
      <c r="AG196" s="115">
        <f t="shared" si="137"/>
        <v>2017</v>
      </c>
      <c r="AH196" s="115">
        <f t="shared" si="138"/>
        <v>-8.3333333333333329E-2</v>
      </c>
    </row>
    <row r="197" spans="1:34">
      <c r="C197" s="110">
        <v>1</v>
      </c>
      <c r="D197" s="136" t="s">
        <v>239</v>
      </c>
      <c r="E197" s="119">
        <v>2003</v>
      </c>
      <c r="F197" s="110">
        <v>7</v>
      </c>
      <c r="G197" s="159">
        <v>0</v>
      </c>
      <c r="H197" s="159"/>
      <c r="I197" s="119" t="s">
        <v>103</v>
      </c>
      <c r="J197" s="119">
        <v>10</v>
      </c>
      <c r="K197" s="113">
        <f t="shared" si="123"/>
        <v>2013</v>
      </c>
      <c r="L197" s="175"/>
      <c r="N197" s="147">
        <v>1096.42</v>
      </c>
      <c r="O197" s="147"/>
      <c r="P197" s="139">
        <f t="shared" si="124"/>
        <v>1096.42</v>
      </c>
      <c r="Q197" s="139">
        <f t="shared" si="125"/>
        <v>9.1368333333333336</v>
      </c>
      <c r="R197" s="139">
        <f t="shared" si="126"/>
        <v>0</v>
      </c>
      <c r="S197" s="139"/>
      <c r="T197" s="139">
        <f t="shared" si="127"/>
        <v>0</v>
      </c>
      <c r="U197" s="139">
        <v>1</v>
      </c>
      <c r="V197" s="139">
        <f t="shared" si="128"/>
        <v>0</v>
      </c>
      <c r="W197" s="139"/>
      <c r="X197" s="139">
        <f t="shared" si="129"/>
        <v>1096.42</v>
      </c>
      <c r="Y197" s="139">
        <f t="shared" si="130"/>
        <v>1096.42</v>
      </c>
      <c r="Z197" s="139">
        <v>1</v>
      </c>
      <c r="AA197" s="139">
        <f t="shared" si="131"/>
        <v>1096.42</v>
      </c>
      <c r="AB197" s="139">
        <f t="shared" si="132"/>
        <v>1096.42</v>
      </c>
      <c r="AC197" s="139">
        <f t="shared" si="133"/>
        <v>0</v>
      </c>
      <c r="AD197" s="115">
        <f t="shared" si="134"/>
        <v>2003.5</v>
      </c>
      <c r="AE197" s="115">
        <f t="shared" si="135"/>
        <v>2018</v>
      </c>
      <c r="AF197" s="115">
        <f t="shared" si="136"/>
        <v>2013.5</v>
      </c>
      <c r="AG197" s="115">
        <f t="shared" si="137"/>
        <v>2017</v>
      </c>
      <c r="AH197" s="115">
        <f t="shared" si="138"/>
        <v>-8.3333333333333329E-2</v>
      </c>
    </row>
    <row r="198" spans="1:34" ht="12" customHeight="1">
      <c r="C198" s="110">
        <v>1</v>
      </c>
      <c r="D198" s="136" t="s">
        <v>240</v>
      </c>
      <c r="E198" s="119">
        <v>2004</v>
      </c>
      <c r="F198" s="110">
        <v>7</v>
      </c>
      <c r="G198" s="159">
        <v>0</v>
      </c>
      <c r="H198" s="159"/>
      <c r="I198" s="119" t="s">
        <v>103</v>
      </c>
      <c r="J198" s="119">
        <v>10</v>
      </c>
      <c r="K198" s="113">
        <f t="shared" si="123"/>
        <v>2014</v>
      </c>
      <c r="L198" s="175"/>
      <c r="N198" s="147">
        <v>6750</v>
      </c>
      <c r="O198" s="147"/>
      <c r="P198" s="139">
        <f t="shared" si="124"/>
        <v>6750</v>
      </c>
      <c r="Q198" s="139">
        <f t="shared" si="125"/>
        <v>56.25</v>
      </c>
      <c r="R198" s="139">
        <f t="shared" si="126"/>
        <v>0</v>
      </c>
      <c r="S198" s="139"/>
      <c r="T198" s="139">
        <f t="shared" si="127"/>
        <v>0</v>
      </c>
      <c r="U198" s="139">
        <v>1</v>
      </c>
      <c r="V198" s="139">
        <f t="shared" si="128"/>
        <v>0</v>
      </c>
      <c r="W198" s="139"/>
      <c r="X198" s="139">
        <f t="shared" si="129"/>
        <v>6750</v>
      </c>
      <c r="Y198" s="139">
        <f t="shared" si="130"/>
        <v>6750</v>
      </c>
      <c r="Z198" s="139">
        <v>1</v>
      </c>
      <c r="AA198" s="139">
        <f t="shared" si="131"/>
        <v>6750</v>
      </c>
      <c r="AB198" s="139">
        <f t="shared" si="132"/>
        <v>6750</v>
      </c>
      <c r="AC198" s="139">
        <f t="shared" si="133"/>
        <v>0</v>
      </c>
      <c r="AD198" s="115">
        <f t="shared" si="134"/>
        <v>2004.5</v>
      </c>
      <c r="AE198" s="115">
        <f t="shared" si="135"/>
        <v>2018</v>
      </c>
      <c r="AF198" s="115">
        <f t="shared" si="136"/>
        <v>2014.5</v>
      </c>
      <c r="AG198" s="115">
        <f t="shared" si="137"/>
        <v>2017</v>
      </c>
      <c r="AH198" s="115">
        <f t="shared" si="138"/>
        <v>-8.3333333333333329E-2</v>
      </c>
    </row>
    <row r="199" spans="1:34">
      <c r="C199" s="110">
        <v>1</v>
      </c>
      <c r="D199" s="136" t="s">
        <v>241</v>
      </c>
      <c r="E199" s="119">
        <v>2004</v>
      </c>
      <c r="F199" s="110">
        <v>8</v>
      </c>
      <c r="G199" s="159">
        <v>0</v>
      </c>
      <c r="H199" s="159"/>
      <c r="I199" s="119" t="s">
        <v>103</v>
      </c>
      <c r="J199" s="119">
        <v>10</v>
      </c>
      <c r="K199" s="113">
        <f t="shared" si="123"/>
        <v>2014</v>
      </c>
      <c r="L199" s="175"/>
      <c r="N199" s="147">
        <v>5500</v>
      </c>
      <c r="O199" s="147"/>
      <c r="P199" s="139">
        <f t="shared" si="124"/>
        <v>5500</v>
      </c>
      <c r="Q199" s="139">
        <f t="shared" si="125"/>
        <v>45.833333333333336</v>
      </c>
      <c r="R199" s="139">
        <f t="shared" si="126"/>
        <v>0</v>
      </c>
      <c r="S199" s="139"/>
      <c r="T199" s="139">
        <f t="shared" si="127"/>
        <v>0</v>
      </c>
      <c r="U199" s="139">
        <v>1</v>
      </c>
      <c r="V199" s="139">
        <f t="shared" si="128"/>
        <v>0</v>
      </c>
      <c r="W199" s="139"/>
      <c r="X199" s="139">
        <f t="shared" si="129"/>
        <v>5500</v>
      </c>
      <c r="Y199" s="139">
        <f t="shared" si="130"/>
        <v>5500</v>
      </c>
      <c r="Z199" s="139">
        <v>1</v>
      </c>
      <c r="AA199" s="139">
        <f t="shared" si="131"/>
        <v>5500</v>
      </c>
      <c r="AB199" s="139">
        <f t="shared" si="132"/>
        <v>5500</v>
      </c>
      <c r="AC199" s="139">
        <f t="shared" si="133"/>
        <v>0</v>
      </c>
      <c r="AD199" s="115">
        <f t="shared" si="134"/>
        <v>2004.5833333333333</v>
      </c>
      <c r="AE199" s="115">
        <f t="shared" si="135"/>
        <v>2018</v>
      </c>
      <c r="AF199" s="115">
        <f t="shared" si="136"/>
        <v>2014.5833333333333</v>
      </c>
      <c r="AG199" s="115">
        <f t="shared" si="137"/>
        <v>2017</v>
      </c>
      <c r="AH199" s="115">
        <f t="shared" si="138"/>
        <v>-8.3333333333333329E-2</v>
      </c>
    </row>
    <row r="200" spans="1:34">
      <c r="C200" s="110">
        <v>1</v>
      </c>
      <c r="D200" s="136" t="s">
        <v>242</v>
      </c>
      <c r="E200" s="119">
        <v>2004</v>
      </c>
      <c r="F200" s="110">
        <v>8</v>
      </c>
      <c r="G200" s="159">
        <v>0</v>
      </c>
      <c r="H200" s="159"/>
      <c r="I200" s="119" t="s">
        <v>103</v>
      </c>
      <c r="J200" s="119">
        <v>10</v>
      </c>
      <c r="K200" s="113">
        <f t="shared" si="123"/>
        <v>2014</v>
      </c>
      <c r="L200" s="175"/>
      <c r="N200" s="147">
        <v>1055</v>
      </c>
      <c r="O200" s="147"/>
      <c r="P200" s="139">
        <f t="shared" si="124"/>
        <v>1055</v>
      </c>
      <c r="Q200" s="139">
        <f t="shared" si="125"/>
        <v>8.7916666666666661</v>
      </c>
      <c r="R200" s="139">
        <f t="shared" si="126"/>
        <v>0</v>
      </c>
      <c r="S200" s="139"/>
      <c r="T200" s="139">
        <f t="shared" si="127"/>
        <v>0</v>
      </c>
      <c r="U200" s="139">
        <v>1</v>
      </c>
      <c r="V200" s="139">
        <f t="shared" si="128"/>
        <v>0</v>
      </c>
      <c r="W200" s="139"/>
      <c r="X200" s="139">
        <f t="shared" si="129"/>
        <v>1055</v>
      </c>
      <c r="Y200" s="139">
        <f t="shared" si="130"/>
        <v>1055</v>
      </c>
      <c r="Z200" s="139">
        <v>1</v>
      </c>
      <c r="AA200" s="139">
        <f t="shared" si="131"/>
        <v>1055</v>
      </c>
      <c r="AB200" s="139">
        <f t="shared" si="132"/>
        <v>1055</v>
      </c>
      <c r="AC200" s="139">
        <f t="shared" si="133"/>
        <v>0</v>
      </c>
      <c r="AD200" s="115">
        <f t="shared" si="134"/>
        <v>2004.5833333333333</v>
      </c>
      <c r="AE200" s="115">
        <f t="shared" si="135"/>
        <v>2018</v>
      </c>
      <c r="AF200" s="115">
        <f t="shared" si="136"/>
        <v>2014.5833333333333</v>
      </c>
      <c r="AG200" s="115">
        <f t="shared" si="137"/>
        <v>2017</v>
      </c>
      <c r="AH200" s="115">
        <f t="shared" si="138"/>
        <v>-8.3333333333333329E-2</v>
      </c>
    </row>
    <row r="201" spans="1:34">
      <c r="C201" s="110">
        <v>2</v>
      </c>
      <c r="D201" s="136" t="s">
        <v>241</v>
      </c>
      <c r="E201" s="119">
        <v>2007</v>
      </c>
      <c r="F201" s="110">
        <v>6</v>
      </c>
      <c r="G201" s="159">
        <v>0</v>
      </c>
      <c r="H201" s="159"/>
      <c r="I201" s="119" t="s">
        <v>103</v>
      </c>
      <c r="J201" s="119">
        <v>10</v>
      </c>
      <c r="K201" s="113">
        <f t="shared" si="123"/>
        <v>2017</v>
      </c>
      <c r="L201" s="175"/>
      <c r="N201" s="147">
        <v>13490</v>
      </c>
      <c r="O201" s="147"/>
      <c r="P201" s="139">
        <f t="shared" si="124"/>
        <v>13490</v>
      </c>
      <c r="Q201" s="139">
        <f t="shared" si="125"/>
        <v>112.41666666666667</v>
      </c>
      <c r="R201" s="139">
        <f t="shared" si="126"/>
        <v>562.08333333343558</v>
      </c>
      <c r="S201" s="139"/>
      <c r="T201" s="139">
        <f t="shared" si="127"/>
        <v>562.08333333343558</v>
      </c>
      <c r="U201" s="139">
        <v>1</v>
      </c>
      <c r="V201" s="139">
        <f t="shared" si="128"/>
        <v>562.08333333343558</v>
      </c>
      <c r="W201" s="139"/>
      <c r="X201" s="139">
        <f t="shared" si="129"/>
        <v>12927.916666666564</v>
      </c>
      <c r="Y201" s="139">
        <f t="shared" si="130"/>
        <v>12927.916666666564</v>
      </c>
      <c r="Z201" s="139">
        <v>1</v>
      </c>
      <c r="AA201" s="139">
        <f t="shared" si="131"/>
        <v>12927.916666666564</v>
      </c>
      <c r="AB201" s="139">
        <f t="shared" si="132"/>
        <v>13490</v>
      </c>
      <c r="AC201" s="139">
        <f t="shared" si="133"/>
        <v>281.0416666667179</v>
      </c>
      <c r="AD201" s="115">
        <f t="shared" si="134"/>
        <v>2007.4166666666667</v>
      </c>
      <c r="AE201" s="115">
        <f t="shared" si="135"/>
        <v>2018</v>
      </c>
      <c r="AF201" s="115">
        <f t="shared" si="136"/>
        <v>2017.4166666666667</v>
      </c>
      <c r="AG201" s="115">
        <f t="shared" si="137"/>
        <v>2017</v>
      </c>
      <c r="AH201" s="115">
        <f t="shared" si="138"/>
        <v>-8.3333333333333329E-2</v>
      </c>
    </row>
    <row r="202" spans="1:34">
      <c r="C202" s="110">
        <v>1</v>
      </c>
      <c r="D202" s="136" t="s">
        <v>243</v>
      </c>
      <c r="E202" s="119">
        <v>2007</v>
      </c>
      <c r="F202" s="110">
        <v>6</v>
      </c>
      <c r="G202" s="159">
        <v>0</v>
      </c>
      <c r="H202" s="159"/>
      <c r="I202" s="119" t="s">
        <v>103</v>
      </c>
      <c r="J202" s="119">
        <v>10</v>
      </c>
      <c r="K202" s="113">
        <f t="shared" si="123"/>
        <v>2017</v>
      </c>
      <c r="L202" s="175"/>
      <c r="N202" s="147">
        <v>7750</v>
      </c>
      <c r="O202" s="147"/>
      <c r="P202" s="139">
        <f t="shared" si="124"/>
        <v>7750</v>
      </c>
      <c r="Q202" s="139">
        <f t="shared" si="125"/>
        <v>64.583333333333329</v>
      </c>
      <c r="R202" s="139">
        <f t="shared" si="126"/>
        <v>322.9166666667254</v>
      </c>
      <c r="S202" s="139"/>
      <c r="T202" s="139">
        <f t="shared" si="127"/>
        <v>322.9166666667254</v>
      </c>
      <c r="U202" s="139">
        <v>1</v>
      </c>
      <c r="V202" s="139">
        <f t="shared" si="128"/>
        <v>322.9166666667254</v>
      </c>
      <c r="W202" s="139"/>
      <c r="X202" s="139">
        <f t="shared" si="129"/>
        <v>7427.0833333332748</v>
      </c>
      <c r="Y202" s="139">
        <f t="shared" si="130"/>
        <v>7427.0833333332748</v>
      </c>
      <c r="Z202" s="139">
        <v>1</v>
      </c>
      <c r="AA202" s="139">
        <f t="shared" si="131"/>
        <v>7427.0833333332748</v>
      </c>
      <c r="AB202" s="139">
        <f t="shared" si="132"/>
        <v>7750</v>
      </c>
      <c r="AC202" s="139">
        <f t="shared" si="133"/>
        <v>161.45833333336259</v>
      </c>
      <c r="AD202" s="115">
        <f t="shared" si="134"/>
        <v>2007.4166666666667</v>
      </c>
      <c r="AE202" s="115">
        <f t="shared" si="135"/>
        <v>2018</v>
      </c>
      <c r="AF202" s="115">
        <f t="shared" si="136"/>
        <v>2017.4166666666667</v>
      </c>
      <c r="AG202" s="115">
        <f t="shared" si="137"/>
        <v>2017</v>
      </c>
      <c r="AH202" s="115">
        <f t="shared" si="138"/>
        <v>-8.3333333333333329E-2</v>
      </c>
    </row>
    <row r="203" spans="1:34">
      <c r="A203" s="110">
        <v>118265</v>
      </c>
      <c r="C203" s="110">
        <v>2</v>
      </c>
      <c r="D203" s="136" t="s">
        <v>244</v>
      </c>
      <c r="E203" s="119">
        <v>2014</v>
      </c>
      <c r="F203" s="110">
        <v>12</v>
      </c>
      <c r="G203" s="159">
        <v>0</v>
      </c>
      <c r="H203" s="159"/>
      <c r="I203" s="119" t="s">
        <v>103</v>
      </c>
      <c r="J203" s="119">
        <v>10</v>
      </c>
      <c r="K203" s="113">
        <f t="shared" si="123"/>
        <v>2024</v>
      </c>
      <c r="L203" s="175"/>
      <c r="N203" s="147">
        <v>16536.52</v>
      </c>
      <c r="O203" s="147"/>
      <c r="P203" s="139">
        <f t="shared" si="124"/>
        <v>16536.52</v>
      </c>
      <c r="Q203" s="139">
        <f t="shared" si="125"/>
        <v>137.80433333333335</v>
      </c>
      <c r="R203" s="139">
        <f t="shared" si="126"/>
        <v>1653.652</v>
      </c>
      <c r="S203" s="139"/>
      <c r="T203" s="139">
        <f t="shared" si="127"/>
        <v>1653.652</v>
      </c>
      <c r="U203" s="139">
        <v>1</v>
      </c>
      <c r="V203" s="139">
        <f t="shared" si="128"/>
        <v>1653.652</v>
      </c>
      <c r="W203" s="139"/>
      <c r="X203" s="139">
        <f t="shared" si="129"/>
        <v>3445.1083333332085</v>
      </c>
      <c r="Y203" s="139">
        <f t="shared" si="130"/>
        <v>3445.1083333332085</v>
      </c>
      <c r="Z203" s="139">
        <v>1</v>
      </c>
      <c r="AA203" s="139">
        <f t="shared" si="131"/>
        <v>3445.1083333332085</v>
      </c>
      <c r="AB203" s="139">
        <f t="shared" si="132"/>
        <v>5098.7603333332081</v>
      </c>
      <c r="AC203" s="139">
        <f t="shared" si="133"/>
        <v>12264.585666666793</v>
      </c>
      <c r="AD203" s="115">
        <f t="shared" si="134"/>
        <v>2014.9166666666667</v>
      </c>
      <c r="AE203" s="115">
        <f t="shared" si="135"/>
        <v>2018</v>
      </c>
      <c r="AF203" s="115">
        <f t="shared" si="136"/>
        <v>2024.9166666666667</v>
      </c>
      <c r="AG203" s="115">
        <f t="shared" si="137"/>
        <v>2017</v>
      </c>
      <c r="AH203" s="115">
        <f t="shared" si="138"/>
        <v>-8.3333333333333329E-2</v>
      </c>
    </row>
    <row r="204" spans="1:34">
      <c r="A204" s="110">
        <v>167243</v>
      </c>
      <c r="C204" s="110">
        <v>2</v>
      </c>
      <c r="D204" s="136" t="s">
        <v>293</v>
      </c>
      <c r="E204" s="119">
        <v>2016</v>
      </c>
      <c r="F204" s="110">
        <v>8</v>
      </c>
      <c r="G204" s="159">
        <v>0</v>
      </c>
      <c r="H204" s="159"/>
      <c r="I204" s="119" t="s">
        <v>103</v>
      </c>
      <c r="J204" s="119">
        <v>12</v>
      </c>
      <c r="K204" s="113">
        <f t="shared" si="123"/>
        <v>2028</v>
      </c>
      <c r="L204" s="175"/>
      <c r="N204" s="147">
        <v>16326.32</v>
      </c>
      <c r="O204" s="147"/>
      <c r="P204" s="139">
        <f t="shared" si="124"/>
        <v>16326.32</v>
      </c>
      <c r="Q204" s="139">
        <f t="shared" si="125"/>
        <v>113.37722222222222</v>
      </c>
      <c r="R204" s="139">
        <f t="shared" si="126"/>
        <v>1360.5266666666666</v>
      </c>
      <c r="S204" s="139"/>
      <c r="T204" s="139">
        <f t="shared" si="127"/>
        <v>1360.5266666666666</v>
      </c>
      <c r="U204" s="139">
        <v>1</v>
      </c>
      <c r="V204" s="139">
        <f t="shared" si="128"/>
        <v>1360.5266666666666</v>
      </c>
      <c r="W204" s="139"/>
      <c r="X204" s="139">
        <f t="shared" si="129"/>
        <v>566.88611111121418</v>
      </c>
      <c r="Y204" s="139">
        <f t="shared" si="130"/>
        <v>566.88611111121418</v>
      </c>
      <c r="Z204" s="139">
        <v>1</v>
      </c>
      <c r="AA204" s="139">
        <f t="shared" si="131"/>
        <v>566.88611111121418</v>
      </c>
      <c r="AB204" s="139">
        <f t="shared" si="132"/>
        <v>1927.4127777778808</v>
      </c>
      <c r="AC204" s="139">
        <f t="shared" si="133"/>
        <v>15079.170555555451</v>
      </c>
      <c r="AD204" s="115">
        <f t="shared" si="134"/>
        <v>2016.5833333333333</v>
      </c>
      <c r="AE204" s="115">
        <f t="shared" si="135"/>
        <v>2018</v>
      </c>
      <c r="AF204" s="115">
        <f t="shared" si="136"/>
        <v>2028.5833333333333</v>
      </c>
      <c r="AG204" s="115">
        <f t="shared" si="137"/>
        <v>2017</v>
      </c>
      <c r="AH204" s="115">
        <f t="shared" si="138"/>
        <v>-8.3333333333333329E-2</v>
      </c>
    </row>
    <row r="205" spans="1:34">
      <c r="A205" s="110">
        <v>167672</v>
      </c>
      <c r="C205" s="110">
        <v>2</v>
      </c>
      <c r="D205" s="136" t="s">
        <v>294</v>
      </c>
      <c r="E205" s="119">
        <v>2016</v>
      </c>
      <c r="F205" s="110">
        <v>9</v>
      </c>
      <c r="G205" s="159">
        <v>0</v>
      </c>
      <c r="H205" s="159"/>
      <c r="I205" s="119" t="s">
        <v>103</v>
      </c>
      <c r="J205" s="119">
        <v>12</v>
      </c>
      <c r="K205" s="113">
        <f t="shared" si="123"/>
        <v>2028</v>
      </c>
      <c r="L205" s="175"/>
      <c r="N205" s="147">
        <v>17274.96</v>
      </c>
      <c r="O205" s="147"/>
      <c r="P205" s="139">
        <f t="shared" si="124"/>
        <v>17274.96</v>
      </c>
      <c r="Q205" s="139">
        <f t="shared" si="125"/>
        <v>119.96499999999999</v>
      </c>
      <c r="R205" s="139">
        <f t="shared" si="126"/>
        <v>1439.58</v>
      </c>
      <c r="S205" s="139"/>
      <c r="T205" s="139">
        <f t="shared" si="127"/>
        <v>1439.58</v>
      </c>
      <c r="U205" s="139">
        <v>1</v>
      </c>
      <c r="V205" s="139">
        <f t="shared" si="128"/>
        <v>1439.58</v>
      </c>
      <c r="W205" s="139"/>
      <c r="X205" s="139">
        <f t="shared" si="129"/>
        <v>479.85999999989087</v>
      </c>
      <c r="Y205" s="139">
        <f t="shared" si="130"/>
        <v>479.85999999989087</v>
      </c>
      <c r="Z205" s="139">
        <v>1</v>
      </c>
      <c r="AA205" s="139">
        <f t="shared" si="131"/>
        <v>479.85999999989087</v>
      </c>
      <c r="AB205" s="139">
        <f t="shared" si="132"/>
        <v>1919.4399999998909</v>
      </c>
      <c r="AC205" s="139">
        <f t="shared" si="133"/>
        <v>16075.310000000107</v>
      </c>
      <c r="AD205" s="115">
        <f t="shared" si="134"/>
        <v>2016.6666666666667</v>
      </c>
      <c r="AE205" s="115">
        <f t="shared" si="135"/>
        <v>2018</v>
      </c>
      <c r="AF205" s="115">
        <f t="shared" si="136"/>
        <v>2028.6666666666667</v>
      </c>
      <c r="AG205" s="115">
        <f t="shared" si="137"/>
        <v>2017</v>
      </c>
      <c r="AH205" s="115">
        <f t="shared" si="138"/>
        <v>-8.3333333333333329E-2</v>
      </c>
    </row>
    <row r="206" spans="1:34">
      <c r="A206" s="110">
        <v>184173</v>
      </c>
      <c r="C206" s="110">
        <v>2</v>
      </c>
      <c r="D206" s="136" t="s">
        <v>306</v>
      </c>
      <c r="E206" s="119">
        <v>2017</v>
      </c>
      <c r="F206" s="110">
        <v>7</v>
      </c>
      <c r="G206" s="159">
        <v>0</v>
      </c>
      <c r="H206" s="159"/>
      <c r="I206" s="119" t="s">
        <v>103</v>
      </c>
      <c r="J206" s="119">
        <v>12</v>
      </c>
      <c r="K206" s="113">
        <f t="shared" si="123"/>
        <v>2029</v>
      </c>
      <c r="L206" s="175"/>
      <c r="N206" s="147">
        <v>23286</v>
      </c>
      <c r="O206" s="147"/>
      <c r="P206" s="139">
        <f t="shared" si="124"/>
        <v>23286</v>
      </c>
      <c r="Q206" s="139">
        <f t="shared" si="125"/>
        <v>161.70833333333334</v>
      </c>
      <c r="R206" s="139">
        <f t="shared" si="126"/>
        <v>970.25</v>
      </c>
      <c r="S206" s="139"/>
      <c r="T206" s="139">
        <f t="shared" si="127"/>
        <v>970.25</v>
      </c>
      <c r="U206" s="139">
        <v>1</v>
      </c>
      <c r="V206" s="139">
        <f t="shared" si="128"/>
        <v>970.25</v>
      </c>
      <c r="W206" s="139"/>
      <c r="X206" s="139">
        <f t="shared" si="129"/>
        <v>0</v>
      </c>
      <c r="Y206" s="139">
        <f t="shared" si="130"/>
        <v>0</v>
      </c>
      <c r="Z206" s="139">
        <v>1</v>
      </c>
      <c r="AA206" s="139">
        <f t="shared" si="131"/>
        <v>0</v>
      </c>
      <c r="AB206" s="139">
        <f t="shared" si="132"/>
        <v>970.25</v>
      </c>
      <c r="AC206" s="139">
        <f t="shared" si="133"/>
        <v>11157.875</v>
      </c>
      <c r="AD206" s="115">
        <f t="shared" si="134"/>
        <v>2017.5</v>
      </c>
      <c r="AE206" s="115">
        <f t="shared" si="135"/>
        <v>2018</v>
      </c>
      <c r="AF206" s="115">
        <f t="shared" si="136"/>
        <v>2029.5</v>
      </c>
      <c r="AG206" s="115">
        <f t="shared" si="137"/>
        <v>2017</v>
      </c>
      <c r="AH206" s="115">
        <f t="shared" si="138"/>
        <v>-8.3333333333333329E-2</v>
      </c>
    </row>
    <row r="207" spans="1:34">
      <c r="D207" s="136"/>
      <c r="E207" s="119"/>
      <c r="G207" s="159"/>
      <c r="H207" s="159"/>
      <c r="I207" s="119"/>
      <c r="J207" s="119"/>
      <c r="L207" s="175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</row>
    <row r="208" spans="1:34">
      <c r="C208" s="140">
        <f>SUM(C190:C202)</f>
        <v>16</v>
      </c>
      <c r="D208" s="150" t="s">
        <v>245</v>
      </c>
      <c r="E208" s="151"/>
      <c r="F208" s="152"/>
      <c r="G208" s="152"/>
      <c r="H208" s="152"/>
      <c r="I208" s="152"/>
      <c r="J208" s="151"/>
      <c r="K208" s="167"/>
      <c r="L208" s="168"/>
      <c r="M208" s="152"/>
      <c r="N208" s="169">
        <f>SUM(N189:N207)</f>
        <v>160510.9</v>
      </c>
      <c r="O208" s="170"/>
      <c r="P208" s="169">
        <f>SUM(P189:P207)</f>
        <v>160510.9</v>
      </c>
      <c r="Q208" s="169">
        <f>SUM(Q189:Q207)</f>
        <v>1258.5807222222222</v>
      </c>
      <c r="R208" s="169">
        <f>SUM(R189:R207)</f>
        <v>6309.0086666668276</v>
      </c>
      <c r="S208" s="169"/>
      <c r="T208" s="169">
        <f>SUM(T189:T207)</f>
        <v>6309.0086666668276</v>
      </c>
      <c r="U208" s="169"/>
      <c r="V208" s="169">
        <f>SUM(V189:V207)</f>
        <v>6309.0086666668276</v>
      </c>
      <c r="W208" s="170"/>
      <c r="X208" s="170"/>
      <c r="Y208" s="170"/>
      <c r="Z208" s="170"/>
      <c r="AA208" s="169">
        <f>SUM(AA189:AA207)</f>
        <v>90693.954444444156</v>
      </c>
      <c r="AB208" s="169">
        <f>SUM(AB189:AB207)</f>
        <v>97002.963111110977</v>
      </c>
      <c r="AC208" s="169">
        <f>SUM(AC189:AC207)</f>
        <v>55019.441222222435</v>
      </c>
    </row>
    <row r="209" spans="1:34">
      <c r="C209" s="176"/>
      <c r="D209" s="162"/>
      <c r="E209" s="119"/>
      <c r="G209" s="110"/>
      <c r="J209" s="119"/>
      <c r="L209" s="172"/>
      <c r="N209" s="173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</row>
    <row r="210" spans="1:34">
      <c r="D210" s="124"/>
      <c r="E210" s="119"/>
      <c r="G210" s="110"/>
      <c r="J210" s="119"/>
      <c r="L210" s="172"/>
      <c r="N210" s="173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</row>
    <row r="211" spans="1:34">
      <c r="D211" s="124" t="s">
        <v>246</v>
      </c>
      <c r="E211" s="119"/>
      <c r="G211" s="110"/>
      <c r="J211" s="119"/>
      <c r="L211" s="172"/>
      <c r="N211" s="173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</row>
    <row r="212" spans="1:34">
      <c r="B212" s="110">
        <v>4</v>
      </c>
      <c r="D212" s="136" t="s">
        <v>321</v>
      </c>
      <c r="E212" s="119">
        <v>2004</v>
      </c>
      <c r="F212" s="110">
        <v>8</v>
      </c>
      <c r="G212" s="159">
        <v>0</v>
      </c>
      <c r="H212" s="159"/>
      <c r="I212" s="119" t="s">
        <v>103</v>
      </c>
      <c r="J212" s="119">
        <v>7</v>
      </c>
      <c r="K212" s="113">
        <f>E212+J212</f>
        <v>2011</v>
      </c>
      <c r="L212" s="160"/>
      <c r="N212" s="138">
        <f>+'2120 Depr - Orig'!P262</f>
        <v>27152</v>
      </c>
      <c r="O212" s="147"/>
      <c r="P212" s="139">
        <f>N212-N212*G212</f>
        <v>27152</v>
      </c>
      <c r="Q212" s="139">
        <f>P212/J212/12</f>
        <v>323.23809523809524</v>
      </c>
      <c r="R212" s="139">
        <f>IF(O212&gt;0,0,IF(OR(AD212&gt;AE212,AF212&lt;AG212),0,IF(AND(AF212&gt;=AG212,AF212&lt;=AE212),Q212*((AF212-AG212)*12),IF(AND(AG212&lt;=AD212,AE212&gt;=AD212),((AE212-AD212)*12)*Q212,IF(AF212&gt;AE212,12*Q212,0)))))</f>
        <v>0</v>
      </c>
      <c r="S212" s="139"/>
      <c r="T212" s="139">
        <f>IF(S212&gt;0,S212,R212)</f>
        <v>0</v>
      </c>
      <c r="U212" s="139">
        <v>1</v>
      </c>
      <c r="V212" s="139">
        <f>U212*SUM(R212:S212)</f>
        <v>0</v>
      </c>
      <c r="W212" s="139"/>
      <c r="X212" s="139">
        <f>IF(AD212&gt;AE212,0,IF(AF212&lt;AG212,P212,IF(AND(AF212&gt;=AG212,AF212&lt;=AE212),(P212-T212),IF(AND(AG212&lt;=AD212,AE212&gt;=AD212),0,IF(AF212&gt;AE212,((AG212-AD212)*12)*Q212,0)))))</f>
        <v>27152</v>
      </c>
      <c r="Y212" s="139">
        <f>X212*U212</f>
        <v>27152</v>
      </c>
      <c r="Z212" s="139">
        <v>1</v>
      </c>
      <c r="AA212" s="139">
        <f>Y212*Z212</f>
        <v>27152</v>
      </c>
      <c r="AB212" s="139">
        <f>IF(O212&gt;0,0,AA212+V212*Z212)*Z212</f>
        <v>27152</v>
      </c>
      <c r="AC212" s="139">
        <f>IF(O212&gt;0,(N212-AA212)/2,IF(AD212&gt;=AG212,(((N212*U212)*Z212)-AB212)/2,((((N212*U212)*Z212)-AA212)+(((N212*U212)*Z212)-AB212))/2))</f>
        <v>0</v>
      </c>
      <c r="AD212" s="115">
        <f>$E212+(($F212-1)/12)</f>
        <v>2004.5833333333333</v>
      </c>
      <c r="AE212" s="115">
        <f>($P$5+1)-($P$2/12)</f>
        <v>2018</v>
      </c>
      <c r="AF212" s="115">
        <f>$K212+(($F212-1)/12)</f>
        <v>2011.5833333333333</v>
      </c>
      <c r="AG212" s="115">
        <f>$P$4+($P$3/12)</f>
        <v>2017</v>
      </c>
      <c r="AH212" s="115">
        <f>$L212+(($M212-1)/12)</f>
        <v>-8.3333333333333329E-2</v>
      </c>
    </row>
    <row r="213" spans="1:34" s="196" customFormat="1">
      <c r="B213" s="196">
        <v>4</v>
      </c>
      <c r="D213" s="197" t="s">
        <v>346</v>
      </c>
      <c r="E213" s="198">
        <v>2017</v>
      </c>
      <c r="F213" s="196">
        <v>1</v>
      </c>
      <c r="G213" s="225">
        <v>0</v>
      </c>
      <c r="H213" s="225"/>
      <c r="I213" s="198" t="s">
        <v>103</v>
      </c>
      <c r="J213" s="198">
        <f>+IF(J212-$P$4&gt;=3,J212-$P$4,3)</f>
        <v>3</v>
      </c>
      <c r="K213" s="226">
        <f>E213+J213</f>
        <v>2020</v>
      </c>
      <c r="L213" s="227"/>
      <c r="N213" s="201">
        <f>+'2120 Depr - Orig'!N262-'Depr - Cont, Shop, Serv, Office'!N212</f>
        <v>6788</v>
      </c>
      <c r="O213" s="228"/>
      <c r="P213" s="202">
        <f>N213-N213*G213</f>
        <v>6788</v>
      </c>
      <c r="Q213" s="202">
        <f>P213/J213/12</f>
        <v>188.55555555555554</v>
      </c>
      <c r="R213" s="202">
        <f>IF(O213&gt;0,0,IF(OR(AD213&gt;AE213,AF213&lt;AG213),0,IF(AND(AF213&gt;=AG213,AF213&lt;=AE213),Q213*((AF213-AG213)*12),IF(AND(AG213&lt;=AD213,AE213&gt;=AD213),((AE213-AD213)*12)*Q213,IF(AF213&gt;AE213,12*Q213,0)))))</f>
        <v>2262.6666666666665</v>
      </c>
      <c r="S213" s="202"/>
      <c r="T213" s="202">
        <f>IF(S213&gt;0,S213,R213)</f>
        <v>2262.6666666666665</v>
      </c>
      <c r="U213" s="202">
        <v>1</v>
      </c>
      <c r="V213" s="202">
        <f>U213*SUM(R213:S213)</f>
        <v>2262.6666666666665</v>
      </c>
      <c r="W213" s="202"/>
      <c r="X213" s="202">
        <f>IF(AD213&gt;AE213,0,IF(AF213&lt;AG213,P213,IF(AND(AF213&gt;=AG213,AF213&lt;=AE213),(P213-T213),IF(AND(AG213&lt;=AD213,AE213&gt;=AD213),0,IF(AF213&gt;AE213,((AG213-AD213)*12)*Q213,0)))))</f>
        <v>0</v>
      </c>
      <c r="Y213" s="202">
        <f>X213*U213</f>
        <v>0</v>
      </c>
      <c r="Z213" s="202">
        <v>1</v>
      </c>
      <c r="AA213" s="202">
        <f>Y213*Z213</f>
        <v>0</v>
      </c>
      <c r="AB213" s="202">
        <f>IF(O213&gt;0,0,AA213+V213*Z213)*Z213</f>
        <v>2262.6666666666665</v>
      </c>
      <c r="AC213" s="202">
        <f>+IF(AC212=0,0,IF(T213=0,0,((N213-AA213)+(N213-AB213))/2))</f>
        <v>0</v>
      </c>
      <c r="AD213" s="229">
        <f>$E213+(($F213-1)/12)</f>
        <v>2017</v>
      </c>
      <c r="AE213" s="229">
        <f>($P$5+1)-($P$2/12)</f>
        <v>2018</v>
      </c>
      <c r="AF213" s="229">
        <f>$K213+(($F213-1)/12)</f>
        <v>2020</v>
      </c>
      <c r="AG213" s="229">
        <f>$P$4+($P$3/12)</f>
        <v>2017</v>
      </c>
      <c r="AH213" s="229">
        <f>$L213+(($M213-1)/12)</f>
        <v>-8.3333333333333329E-2</v>
      </c>
    </row>
    <row r="214" spans="1:34" s="7" customFormat="1">
      <c r="A214" s="7">
        <v>189671</v>
      </c>
      <c r="B214" s="7">
        <v>3</v>
      </c>
      <c r="D214" s="32" t="s">
        <v>319</v>
      </c>
      <c r="E214" s="15">
        <v>2017</v>
      </c>
      <c r="F214" s="7">
        <v>12</v>
      </c>
      <c r="G214" s="56">
        <v>0</v>
      </c>
      <c r="H214" s="56"/>
      <c r="I214" s="15" t="s">
        <v>103</v>
      </c>
      <c r="J214" s="15">
        <v>5</v>
      </c>
      <c r="K214" s="9">
        <f>E214+J214</f>
        <v>2022</v>
      </c>
      <c r="L214" s="57"/>
      <c r="N214" s="34">
        <v>39177.08</v>
      </c>
      <c r="O214" s="44"/>
      <c r="P214" s="35">
        <f>N214-N214*G214</f>
        <v>39177.08</v>
      </c>
      <c r="Q214" s="35">
        <f>P214/J214/12</f>
        <v>652.95133333333331</v>
      </c>
      <c r="R214" s="35">
        <f>IF(O214&gt;0,0,IF(OR(AD214&gt;AE214,AF214&lt;AG214),0,IF(AND(AF214&gt;=AG214,AF214&lt;=AE214),Q214*((AF214-AG214)*12),IF(AND(AG214&lt;=AD214,AE214&gt;=AD214),((AE214-AD214)*12)*Q214,IF(AF214&gt;AE214,12*Q214,0)))))</f>
        <v>652.95133333273941</v>
      </c>
      <c r="S214" s="35"/>
      <c r="T214" s="35">
        <f>IF(S214&gt;0,S214,R214)</f>
        <v>652.95133333273941</v>
      </c>
      <c r="U214" s="35">
        <v>1</v>
      </c>
      <c r="V214" s="35">
        <f>U214*SUM(R214:S214)</f>
        <v>652.95133333273941</v>
      </c>
      <c r="W214" s="35"/>
      <c r="X214" s="35">
        <f>IF(AD214&gt;AE214,0,IF(AF214&lt;AG214,P214,IF(AND(AF214&gt;=AG214,AF214&lt;=AE214),(P214-T214),IF(AND(AG214&lt;=AD214,AE214&gt;=AD214),0,IF(AF214&gt;AE214,((AG214-AD214)*12)*Q214,0)))))</f>
        <v>0</v>
      </c>
      <c r="Y214" s="35">
        <f>X214*U214</f>
        <v>0</v>
      </c>
      <c r="Z214" s="35">
        <v>1</v>
      </c>
      <c r="AA214" s="35">
        <f>Y214*Z214</f>
        <v>0</v>
      </c>
      <c r="AB214" s="35">
        <f>IF(O214&gt;0,0,AA214+V214*Z214)*Z214</f>
        <v>652.95133333273941</v>
      </c>
      <c r="AC214" s="35">
        <f>IF(O214&gt;0,(N214-AA214)/2,IF(AD214&gt;=AG214,(((N214*U214)*Z214)-AB214)/2,((((N214*U214)*Z214)-AA214)+(((N214*U214)*Z214)-AB214))/2))</f>
        <v>19262.06433333363</v>
      </c>
      <c r="AD214" s="11">
        <f>$E214+(($F214-1)/12)</f>
        <v>2017.9166666666667</v>
      </c>
      <c r="AE214" s="11">
        <f>($P$5+1)-($P$2/12)</f>
        <v>2018</v>
      </c>
      <c r="AF214" s="11">
        <f>$K214+(($F214-1)/12)</f>
        <v>2022.9166666666667</v>
      </c>
      <c r="AG214" s="11">
        <f>$P$4+($P$3/12)</f>
        <v>2017</v>
      </c>
      <c r="AH214" s="11">
        <f>$L214+(($M214-1)/12)</f>
        <v>-8.3333333333333329E-2</v>
      </c>
    </row>
    <row r="215" spans="1:34">
      <c r="D215" s="136"/>
      <c r="E215" s="119"/>
      <c r="G215" s="159"/>
      <c r="H215" s="159"/>
      <c r="I215" s="119"/>
      <c r="J215" s="119"/>
      <c r="L215" s="160"/>
      <c r="N215" s="138"/>
      <c r="O215" s="147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  <c r="AA215" s="139"/>
      <c r="AB215" s="139"/>
      <c r="AC215" s="139"/>
      <c r="AD215" s="115"/>
      <c r="AE215" s="115"/>
      <c r="AF215" s="115"/>
      <c r="AG215" s="115"/>
      <c r="AH215" s="115"/>
    </row>
    <row r="216" spans="1:34">
      <c r="D216" s="150" t="s">
        <v>43</v>
      </c>
      <c r="E216" s="151"/>
      <c r="F216" s="152"/>
      <c r="G216" s="177"/>
      <c r="H216" s="177"/>
      <c r="I216" s="151"/>
      <c r="J216" s="151"/>
      <c r="K216" s="167"/>
      <c r="L216" s="178"/>
      <c r="M216" s="152"/>
      <c r="N216" s="169">
        <f>SUM(N212:N215)</f>
        <v>73117.08</v>
      </c>
      <c r="O216" s="170"/>
      <c r="P216" s="169">
        <f t="shared" ref="P216:AA216" si="139">SUM(P212:P215)</f>
        <v>73117.08</v>
      </c>
      <c r="Q216" s="169">
        <f t="shared" si="139"/>
        <v>1164.744984126984</v>
      </c>
      <c r="R216" s="169">
        <f t="shared" si="139"/>
        <v>2915.617999999406</v>
      </c>
      <c r="S216" s="169">
        <f t="shared" si="139"/>
        <v>0</v>
      </c>
      <c r="T216" s="169">
        <f t="shared" si="139"/>
        <v>2915.617999999406</v>
      </c>
      <c r="U216" s="169">
        <f t="shared" si="139"/>
        <v>3</v>
      </c>
      <c r="V216" s="169">
        <f t="shared" si="139"/>
        <v>2915.617999999406</v>
      </c>
      <c r="W216" s="169">
        <f t="shared" si="139"/>
        <v>0</v>
      </c>
      <c r="X216" s="169">
        <f t="shared" si="139"/>
        <v>27152</v>
      </c>
      <c r="Y216" s="169">
        <f t="shared" si="139"/>
        <v>27152</v>
      </c>
      <c r="Z216" s="169">
        <f t="shared" si="139"/>
        <v>3</v>
      </c>
      <c r="AA216" s="169">
        <f t="shared" si="139"/>
        <v>27152</v>
      </c>
      <c r="AB216" s="169">
        <f>SUM(AB212:AB215)</f>
        <v>30067.617999999406</v>
      </c>
      <c r="AC216" s="169">
        <f>SUM(AC212:AC215)</f>
        <v>19262.06433333363</v>
      </c>
      <c r="AD216" s="115"/>
      <c r="AE216" s="115"/>
      <c r="AF216" s="115"/>
      <c r="AG216" s="115"/>
      <c r="AH216" s="115"/>
    </row>
    <row r="217" spans="1:34">
      <c r="D217" s="124"/>
      <c r="E217" s="119"/>
      <c r="G217" s="110"/>
      <c r="J217" s="119"/>
      <c r="L217" s="172"/>
      <c r="N217" s="173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  <c r="AA217" s="147"/>
      <c r="AB217" s="147"/>
      <c r="AC217" s="147"/>
    </row>
    <row r="218" spans="1:34">
      <c r="E218" s="119"/>
      <c r="G218" s="110"/>
      <c r="J218" s="119"/>
      <c r="L218" s="179"/>
      <c r="N218" s="180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</row>
    <row r="219" spans="1:34">
      <c r="D219" s="124" t="s">
        <v>248</v>
      </c>
      <c r="E219" s="119"/>
      <c r="G219" s="110"/>
      <c r="J219" s="119"/>
      <c r="L219" s="179"/>
      <c r="N219" s="180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</row>
    <row r="220" spans="1:34">
      <c r="B220" s="110">
        <v>2</v>
      </c>
      <c r="D220" s="136" t="s">
        <v>249</v>
      </c>
      <c r="E220" s="119">
        <v>1992</v>
      </c>
      <c r="F220" s="110">
        <v>7</v>
      </c>
      <c r="G220" s="159">
        <v>0</v>
      </c>
      <c r="H220" s="159"/>
      <c r="I220" s="119" t="s">
        <v>103</v>
      </c>
      <c r="J220" s="119">
        <v>7</v>
      </c>
      <c r="K220" s="113">
        <f t="shared" ref="K220:K238" si="140">E220+J220</f>
        <v>1999</v>
      </c>
      <c r="L220" s="160"/>
      <c r="N220" s="138">
        <f>+'2120 Depr - Orig'!P268</f>
        <v>16008</v>
      </c>
      <c r="O220" s="147"/>
      <c r="P220" s="139">
        <f t="shared" ref="P220:P238" si="141">N220-N220*G220</f>
        <v>16008</v>
      </c>
      <c r="Q220" s="139">
        <f t="shared" ref="Q220:Q238" si="142">P220/J220/12</f>
        <v>190.57142857142856</v>
      </c>
      <c r="R220" s="139">
        <f t="shared" ref="R220:R238" si="143">IF(O220&gt;0,0,IF(OR(AD220&gt;AE220,AF220&lt;AG220),0,IF(AND(AF220&gt;=AG220,AF220&lt;=AE220),Q220*((AF220-AG220)*12),IF(AND(AG220&lt;=AD220,AE220&gt;=AD220),((AE220-AD220)*12)*Q220,IF(AF220&gt;AE220,12*Q220,0)))))</f>
        <v>0</v>
      </c>
      <c r="S220" s="139"/>
      <c r="T220" s="139">
        <f t="shared" ref="T220:T238" si="144">IF(S220&gt;0,S220,R220)</f>
        <v>0</v>
      </c>
      <c r="U220" s="139">
        <v>1</v>
      </c>
      <c r="V220" s="139">
        <f t="shared" ref="V220:V238" si="145">U220*SUM(R220:S220)</f>
        <v>0</v>
      </c>
      <c r="W220" s="139"/>
      <c r="X220" s="139">
        <f t="shared" ref="X220:X238" si="146">IF(AD220&gt;AE220,0,IF(AF220&lt;AG220,P220,IF(AND(AF220&gt;=AG220,AF220&lt;=AE220),(P220-T220),IF(AND(AG220&lt;=AD220,AE220&gt;=AD220),0,IF(AF220&gt;AE220,((AG220-AD220)*12)*Q220,0)))))</f>
        <v>16008</v>
      </c>
      <c r="Y220" s="139">
        <f t="shared" ref="Y220:Y238" si="147">X220*U220</f>
        <v>16008</v>
      </c>
      <c r="Z220" s="139">
        <v>1</v>
      </c>
      <c r="AA220" s="139">
        <f t="shared" ref="AA220:AA238" si="148">Y220*Z220</f>
        <v>16008</v>
      </c>
      <c r="AB220" s="139">
        <f t="shared" ref="AB220:AB238" si="149">IF(O220&gt;0,0,AA220+V220*Z220)*Z220</f>
        <v>16008</v>
      </c>
      <c r="AC220" s="139">
        <f t="shared" ref="AC220:AC238" si="150">IF(O220&gt;0,(N220-AA220)/2,IF(AD220&gt;=AG220,(((N220*U220)*Z220)-AB220)/2,((((N220*U220)*Z220)-AA220)+(((N220*U220)*Z220)-AB220))/2))</f>
        <v>0</v>
      </c>
      <c r="AD220" s="115">
        <f t="shared" ref="AD220:AD238" si="151">$E220+(($F220-1)/12)</f>
        <v>1992.5</v>
      </c>
      <c r="AE220" s="115">
        <f t="shared" ref="AE220:AE280" si="152">($P$5+1)-($P$2/12)</f>
        <v>2018</v>
      </c>
      <c r="AF220" s="115">
        <f t="shared" ref="AF220:AF238" si="153">$K220+(($F220-1)/12)</f>
        <v>1999.5</v>
      </c>
      <c r="AG220" s="115">
        <f t="shared" ref="AG220:AG280" si="154">$P$4+($P$3/12)</f>
        <v>2017</v>
      </c>
      <c r="AH220" s="115">
        <f t="shared" ref="AH220:AH238" si="155">$L220+(($M220-1)/12)</f>
        <v>-8.3333333333333329E-2</v>
      </c>
    </row>
    <row r="221" spans="1:34" s="196" customFormat="1">
      <c r="B221" s="196">
        <v>2</v>
      </c>
      <c r="D221" s="197" t="s">
        <v>347</v>
      </c>
      <c r="E221" s="198">
        <v>2017</v>
      </c>
      <c r="F221" s="196">
        <v>1</v>
      </c>
      <c r="G221" s="225">
        <v>0</v>
      </c>
      <c r="H221" s="225"/>
      <c r="I221" s="198" t="s">
        <v>103</v>
      </c>
      <c r="J221" s="198">
        <f>+IF(J220-$P$4&gt;=3,J220-$P$4,3)</f>
        <v>3</v>
      </c>
      <c r="K221" s="226">
        <f>E221+J221</f>
        <v>2020</v>
      </c>
      <c r="L221" s="227"/>
      <c r="N221" s="201">
        <f>+'2120 Depr - Orig'!N268-'Depr - Cont, Shop, Serv, Office'!N220</f>
        <v>4002</v>
      </c>
      <c r="O221" s="228"/>
      <c r="P221" s="202">
        <f>N221-N221*G221</f>
        <v>4002</v>
      </c>
      <c r="Q221" s="202">
        <f>P221/J221/12</f>
        <v>111.16666666666667</v>
      </c>
      <c r="R221" s="202">
        <f>IF(O221&gt;0,0,IF(OR(AD221&gt;AE221,AF221&lt;AG221),0,IF(AND(AF221&gt;=AG221,AF221&lt;=AE221),Q221*((AF221-AG221)*12),IF(AND(AG221&lt;=AD221,AE221&gt;=AD221),((AE221-AD221)*12)*Q221,IF(AF221&gt;AE221,12*Q221,0)))))</f>
        <v>1334</v>
      </c>
      <c r="S221" s="202"/>
      <c r="T221" s="202">
        <f>IF(S221&gt;0,S221,R221)</f>
        <v>1334</v>
      </c>
      <c r="U221" s="202">
        <v>1</v>
      </c>
      <c r="V221" s="202">
        <f>U221*SUM(R221:S221)</f>
        <v>1334</v>
      </c>
      <c r="W221" s="202"/>
      <c r="X221" s="202">
        <f>IF(AD221&gt;AE221,0,IF(AF221&lt;AG221,P221,IF(AND(AF221&gt;=AG221,AF221&lt;=AE221),(P221-T221),IF(AND(AG221&lt;=AD221,AE221&gt;=AD221),0,IF(AF221&gt;AE221,((AG221-AD221)*12)*Q221,0)))))</f>
        <v>0</v>
      </c>
      <c r="Y221" s="202">
        <f>X221*U221</f>
        <v>0</v>
      </c>
      <c r="Z221" s="202">
        <v>1</v>
      </c>
      <c r="AA221" s="202">
        <f>Y221*Z221</f>
        <v>0</v>
      </c>
      <c r="AB221" s="202">
        <f>IF(O221&gt;0,0,AA221+V221*Z221)*Z221</f>
        <v>1334</v>
      </c>
      <c r="AC221" s="202">
        <f>+IF(AC220=0,0,IF(T221=0,0,((N221-AA221)+(N221-AB221))/2))</f>
        <v>0</v>
      </c>
      <c r="AD221" s="229">
        <f>$E221+(($F221-1)/12)</f>
        <v>2017</v>
      </c>
      <c r="AE221" s="229">
        <f>($P$5+1)-($P$2/12)</f>
        <v>2018</v>
      </c>
      <c r="AF221" s="229">
        <f>$K221+(($F221-1)/12)</f>
        <v>2020</v>
      </c>
      <c r="AG221" s="229">
        <f>$P$4+($P$3/12)</f>
        <v>2017</v>
      </c>
      <c r="AH221" s="229">
        <f>$L221+(($M221-1)/12)</f>
        <v>-8.3333333333333329E-2</v>
      </c>
    </row>
    <row r="222" spans="1:34">
      <c r="B222" s="110">
        <v>2</v>
      </c>
      <c r="D222" s="136" t="s">
        <v>250</v>
      </c>
      <c r="E222" s="119">
        <v>1992</v>
      </c>
      <c r="F222" s="110">
        <v>5</v>
      </c>
      <c r="G222" s="159">
        <v>0</v>
      </c>
      <c r="H222" s="159"/>
      <c r="I222" s="119" t="s">
        <v>103</v>
      </c>
      <c r="J222" s="119">
        <v>7</v>
      </c>
      <c r="K222" s="113">
        <f t="shared" si="140"/>
        <v>1999</v>
      </c>
      <c r="L222" s="160"/>
      <c r="N222" s="138">
        <f>+'2120 Depr - Orig'!P269</f>
        <v>35254.400000000001</v>
      </c>
      <c r="O222" s="147"/>
      <c r="P222" s="139">
        <f t="shared" si="141"/>
        <v>35254.400000000001</v>
      </c>
      <c r="Q222" s="139">
        <f t="shared" si="142"/>
        <v>419.69523809523815</v>
      </c>
      <c r="R222" s="139">
        <f t="shared" si="143"/>
        <v>0</v>
      </c>
      <c r="S222" s="139"/>
      <c r="T222" s="139">
        <f t="shared" si="144"/>
        <v>0</v>
      </c>
      <c r="U222" s="139">
        <v>1</v>
      </c>
      <c r="V222" s="139">
        <f t="shared" si="145"/>
        <v>0</v>
      </c>
      <c r="W222" s="139"/>
      <c r="X222" s="139">
        <f t="shared" si="146"/>
        <v>35254.400000000001</v>
      </c>
      <c r="Y222" s="139">
        <f t="shared" si="147"/>
        <v>35254.400000000001</v>
      </c>
      <c r="Z222" s="139">
        <v>1</v>
      </c>
      <c r="AA222" s="139">
        <f t="shared" si="148"/>
        <v>35254.400000000001</v>
      </c>
      <c r="AB222" s="139">
        <f t="shared" si="149"/>
        <v>35254.400000000001</v>
      </c>
      <c r="AC222" s="139">
        <f t="shared" si="150"/>
        <v>0</v>
      </c>
      <c r="AD222" s="115">
        <f t="shared" si="151"/>
        <v>1992.3333333333333</v>
      </c>
      <c r="AE222" s="115">
        <f t="shared" si="152"/>
        <v>2018</v>
      </c>
      <c r="AF222" s="115">
        <f t="shared" si="153"/>
        <v>1999.3333333333333</v>
      </c>
      <c r="AG222" s="115">
        <f t="shared" si="154"/>
        <v>2017</v>
      </c>
      <c r="AH222" s="115">
        <f t="shared" si="155"/>
        <v>-8.3333333333333329E-2</v>
      </c>
    </row>
    <row r="223" spans="1:34" s="196" customFormat="1">
      <c r="B223" s="196">
        <v>2</v>
      </c>
      <c r="D223" s="197" t="s">
        <v>348</v>
      </c>
      <c r="E223" s="198">
        <v>2017</v>
      </c>
      <c r="F223" s="196">
        <v>1</v>
      </c>
      <c r="G223" s="225">
        <v>0</v>
      </c>
      <c r="H223" s="225"/>
      <c r="I223" s="198" t="s">
        <v>103</v>
      </c>
      <c r="J223" s="198">
        <f>+IF(J222-$P$4&gt;=3,J222-$P$4,3)</f>
        <v>3</v>
      </c>
      <c r="K223" s="226">
        <f>E223+J223</f>
        <v>2020</v>
      </c>
      <c r="L223" s="227"/>
      <c r="N223" s="201">
        <f>+'2120 Depr - Orig'!N269-'Depr - Cont, Shop, Serv, Office'!N222</f>
        <v>8813.5999999999985</v>
      </c>
      <c r="O223" s="228"/>
      <c r="P223" s="202">
        <f>N223-N223*G223</f>
        <v>8813.5999999999985</v>
      </c>
      <c r="Q223" s="202">
        <f>P223/J223/12</f>
        <v>244.82222222222219</v>
      </c>
      <c r="R223" s="202">
        <f>IF(O223&gt;0,0,IF(OR(AD223&gt;AE223,AF223&lt;AG223),0,IF(AND(AF223&gt;=AG223,AF223&lt;=AE223),Q223*((AF223-AG223)*12),IF(AND(AG223&lt;=AD223,AE223&gt;=AD223),((AE223-AD223)*12)*Q223,IF(AF223&gt;AE223,12*Q223,0)))))</f>
        <v>2937.8666666666663</v>
      </c>
      <c r="S223" s="202"/>
      <c r="T223" s="202">
        <f>IF(S223&gt;0,S223,R223)</f>
        <v>2937.8666666666663</v>
      </c>
      <c r="U223" s="202">
        <v>1</v>
      </c>
      <c r="V223" s="202">
        <f>U223*SUM(R223:S223)</f>
        <v>2937.8666666666663</v>
      </c>
      <c r="W223" s="202"/>
      <c r="X223" s="202">
        <f>IF(AD223&gt;AE223,0,IF(AF223&lt;AG223,P223,IF(AND(AF223&gt;=AG223,AF223&lt;=AE223),(P223-T223),IF(AND(AG223&lt;=AD223,AE223&gt;=AD223),0,IF(AF223&gt;AE223,((AG223-AD223)*12)*Q223,0)))))</f>
        <v>0</v>
      </c>
      <c r="Y223" s="202">
        <f>X223*U223</f>
        <v>0</v>
      </c>
      <c r="Z223" s="202">
        <v>1</v>
      </c>
      <c r="AA223" s="202">
        <f>Y223*Z223</f>
        <v>0</v>
      </c>
      <c r="AB223" s="202">
        <f>IF(O223&gt;0,0,AA223+V223*Z223)*Z223</f>
        <v>2937.8666666666663</v>
      </c>
      <c r="AC223" s="202">
        <f>+IF(AC222=0,0,IF(T223=0,0,((N223-AA223)+(N223-AB223))/2))</f>
        <v>0</v>
      </c>
      <c r="AD223" s="229">
        <f>$E223+(($F223-1)/12)</f>
        <v>2017</v>
      </c>
      <c r="AE223" s="229">
        <f>($P$5+1)-($P$2/12)</f>
        <v>2018</v>
      </c>
      <c r="AF223" s="229">
        <f>$K223+(($F223-1)/12)</f>
        <v>2020</v>
      </c>
      <c r="AG223" s="229">
        <f>$P$4+($P$3/12)</f>
        <v>2017</v>
      </c>
      <c r="AH223" s="229">
        <f>$L223+(($M223-1)/12)</f>
        <v>-8.3333333333333329E-2</v>
      </c>
    </row>
    <row r="224" spans="1:34">
      <c r="D224" s="136" t="s">
        <v>251</v>
      </c>
      <c r="E224" s="119">
        <v>1996</v>
      </c>
      <c r="F224" s="110">
        <v>12</v>
      </c>
      <c r="G224" s="159">
        <v>0.3</v>
      </c>
      <c r="H224" s="159"/>
      <c r="I224" s="119" t="s">
        <v>103</v>
      </c>
      <c r="J224" s="119">
        <v>7</v>
      </c>
      <c r="K224" s="113">
        <f t="shared" si="140"/>
        <v>2003</v>
      </c>
      <c r="L224" s="160"/>
      <c r="N224" s="138">
        <v>800</v>
      </c>
      <c r="O224" s="147"/>
      <c r="P224" s="139">
        <f t="shared" si="141"/>
        <v>560</v>
      </c>
      <c r="Q224" s="139">
        <f t="shared" si="142"/>
        <v>6.666666666666667</v>
      </c>
      <c r="R224" s="139">
        <f t="shared" si="143"/>
        <v>0</v>
      </c>
      <c r="S224" s="139"/>
      <c r="T224" s="139">
        <f t="shared" si="144"/>
        <v>0</v>
      </c>
      <c r="U224" s="139">
        <v>1</v>
      </c>
      <c r="V224" s="139">
        <f t="shared" si="145"/>
        <v>0</v>
      </c>
      <c r="W224" s="139"/>
      <c r="X224" s="139">
        <f t="shared" si="146"/>
        <v>560</v>
      </c>
      <c r="Y224" s="139">
        <f t="shared" si="147"/>
        <v>560</v>
      </c>
      <c r="Z224" s="139">
        <v>1</v>
      </c>
      <c r="AA224" s="139">
        <f t="shared" si="148"/>
        <v>560</v>
      </c>
      <c r="AB224" s="139">
        <f t="shared" si="149"/>
        <v>560</v>
      </c>
      <c r="AC224" s="139">
        <f t="shared" si="150"/>
        <v>240</v>
      </c>
      <c r="AD224" s="115">
        <f t="shared" si="151"/>
        <v>1996.9166666666667</v>
      </c>
      <c r="AE224" s="115">
        <f t="shared" si="152"/>
        <v>2018</v>
      </c>
      <c r="AF224" s="115">
        <f t="shared" si="153"/>
        <v>2003.9166666666667</v>
      </c>
      <c r="AG224" s="115">
        <f t="shared" si="154"/>
        <v>2017</v>
      </c>
      <c r="AH224" s="115">
        <f t="shared" si="155"/>
        <v>-8.3333333333333329E-2</v>
      </c>
    </row>
    <row r="225" spans="1:34">
      <c r="D225" s="136" t="s">
        <v>252</v>
      </c>
      <c r="E225" s="119">
        <v>2001</v>
      </c>
      <c r="F225" s="110">
        <v>2</v>
      </c>
      <c r="G225" s="159">
        <v>0</v>
      </c>
      <c r="H225" s="159"/>
      <c r="I225" s="119" t="s">
        <v>103</v>
      </c>
      <c r="J225" s="119">
        <v>7</v>
      </c>
      <c r="K225" s="113">
        <f t="shared" si="140"/>
        <v>2008</v>
      </c>
      <c r="L225" s="160"/>
      <c r="N225" s="138">
        <v>4462.29</v>
      </c>
      <c r="O225" s="147"/>
      <c r="P225" s="139">
        <f t="shared" si="141"/>
        <v>4462.29</v>
      </c>
      <c r="Q225" s="139">
        <f t="shared" si="142"/>
        <v>53.122500000000002</v>
      </c>
      <c r="R225" s="139">
        <f t="shared" si="143"/>
        <v>0</v>
      </c>
      <c r="S225" s="139"/>
      <c r="T225" s="139">
        <f t="shared" si="144"/>
        <v>0</v>
      </c>
      <c r="U225" s="139">
        <v>1</v>
      </c>
      <c r="V225" s="139">
        <f t="shared" si="145"/>
        <v>0</v>
      </c>
      <c r="W225" s="139"/>
      <c r="X225" s="139">
        <f t="shared" si="146"/>
        <v>4462.29</v>
      </c>
      <c r="Y225" s="139">
        <f t="shared" si="147"/>
        <v>4462.29</v>
      </c>
      <c r="Z225" s="139">
        <v>1</v>
      </c>
      <c r="AA225" s="139">
        <f t="shared" si="148"/>
        <v>4462.29</v>
      </c>
      <c r="AB225" s="139">
        <f t="shared" si="149"/>
        <v>4462.29</v>
      </c>
      <c r="AC225" s="139">
        <f t="shared" si="150"/>
        <v>0</v>
      </c>
      <c r="AD225" s="115">
        <f t="shared" si="151"/>
        <v>2001.0833333333333</v>
      </c>
      <c r="AE225" s="115">
        <f t="shared" si="152"/>
        <v>2018</v>
      </c>
      <c r="AF225" s="115">
        <f t="shared" si="153"/>
        <v>2008.0833333333333</v>
      </c>
      <c r="AG225" s="115">
        <f t="shared" si="154"/>
        <v>2017</v>
      </c>
      <c r="AH225" s="115">
        <f t="shared" si="155"/>
        <v>-8.3333333333333329E-2</v>
      </c>
    </row>
    <row r="226" spans="1:34">
      <c r="D226" s="110" t="s">
        <v>253</v>
      </c>
      <c r="E226" s="119">
        <v>2002</v>
      </c>
      <c r="F226" s="110">
        <v>1</v>
      </c>
      <c r="G226" s="159">
        <v>0</v>
      </c>
      <c r="H226" s="159"/>
      <c r="I226" s="119" t="s">
        <v>103</v>
      </c>
      <c r="J226" s="119">
        <v>7</v>
      </c>
      <c r="K226" s="113">
        <f t="shared" si="140"/>
        <v>2009</v>
      </c>
      <c r="L226" s="175"/>
      <c r="N226" s="147">
        <v>5000</v>
      </c>
      <c r="O226" s="147"/>
      <c r="P226" s="139">
        <f t="shared" si="141"/>
        <v>5000</v>
      </c>
      <c r="Q226" s="139">
        <f t="shared" si="142"/>
        <v>59.523809523809526</v>
      </c>
      <c r="R226" s="139">
        <f t="shared" si="143"/>
        <v>0</v>
      </c>
      <c r="S226" s="139"/>
      <c r="T226" s="139">
        <f t="shared" si="144"/>
        <v>0</v>
      </c>
      <c r="U226" s="139">
        <v>1</v>
      </c>
      <c r="V226" s="139">
        <f t="shared" si="145"/>
        <v>0</v>
      </c>
      <c r="W226" s="139"/>
      <c r="X226" s="139">
        <f t="shared" si="146"/>
        <v>5000</v>
      </c>
      <c r="Y226" s="139">
        <f t="shared" si="147"/>
        <v>5000</v>
      </c>
      <c r="Z226" s="139">
        <v>1</v>
      </c>
      <c r="AA226" s="139">
        <f t="shared" si="148"/>
        <v>5000</v>
      </c>
      <c r="AB226" s="139">
        <f t="shared" si="149"/>
        <v>5000</v>
      </c>
      <c r="AC226" s="139">
        <f t="shared" si="150"/>
        <v>0</v>
      </c>
      <c r="AD226" s="115">
        <f t="shared" si="151"/>
        <v>2002</v>
      </c>
      <c r="AE226" s="115">
        <f t="shared" si="152"/>
        <v>2018</v>
      </c>
      <c r="AF226" s="115">
        <f t="shared" si="153"/>
        <v>2009</v>
      </c>
      <c r="AG226" s="115">
        <f t="shared" si="154"/>
        <v>2017</v>
      </c>
      <c r="AH226" s="115">
        <f t="shared" si="155"/>
        <v>-8.3333333333333329E-2</v>
      </c>
    </row>
    <row r="227" spans="1:34">
      <c r="D227" s="110" t="s">
        <v>254</v>
      </c>
      <c r="E227" s="119">
        <v>2004</v>
      </c>
      <c r="F227" s="110">
        <v>7</v>
      </c>
      <c r="G227" s="159">
        <v>0</v>
      </c>
      <c r="H227" s="159"/>
      <c r="I227" s="119" t="s">
        <v>103</v>
      </c>
      <c r="J227" s="119">
        <v>7</v>
      </c>
      <c r="K227" s="113">
        <f t="shared" si="140"/>
        <v>2011</v>
      </c>
      <c r="L227" s="175"/>
      <c r="N227" s="147">
        <v>318</v>
      </c>
      <c r="O227" s="147"/>
      <c r="P227" s="139">
        <f t="shared" si="141"/>
        <v>318</v>
      </c>
      <c r="Q227" s="139">
        <f t="shared" si="142"/>
        <v>3.785714285714286</v>
      </c>
      <c r="R227" s="139">
        <f t="shared" si="143"/>
        <v>0</v>
      </c>
      <c r="S227" s="139"/>
      <c r="T227" s="139">
        <f t="shared" si="144"/>
        <v>0</v>
      </c>
      <c r="U227" s="139">
        <v>1</v>
      </c>
      <c r="V227" s="139">
        <f t="shared" si="145"/>
        <v>0</v>
      </c>
      <c r="W227" s="139"/>
      <c r="X227" s="139">
        <f t="shared" si="146"/>
        <v>318</v>
      </c>
      <c r="Y227" s="139">
        <f t="shared" si="147"/>
        <v>318</v>
      </c>
      <c r="Z227" s="139">
        <v>1</v>
      </c>
      <c r="AA227" s="139">
        <f t="shared" si="148"/>
        <v>318</v>
      </c>
      <c r="AB227" s="139">
        <f t="shared" si="149"/>
        <v>318</v>
      </c>
      <c r="AC227" s="139">
        <f t="shared" si="150"/>
        <v>0</v>
      </c>
      <c r="AD227" s="115">
        <f t="shared" si="151"/>
        <v>2004.5</v>
      </c>
      <c r="AE227" s="115">
        <f t="shared" si="152"/>
        <v>2018</v>
      </c>
      <c r="AF227" s="115">
        <f t="shared" si="153"/>
        <v>2011.5</v>
      </c>
      <c r="AG227" s="115">
        <f t="shared" si="154"/>
        <v>2017</v>
      </c>
      <c r="AH227" s="115">
        <f t="shared" si="155"/>
        <v>-8.3333333333333329E-2</v>
      </c>
    </row>
    <row r="228" spans="1:34">
      <c r="D228" s="110" t="s">
        <v>255</v>
      </c>
      <c r="E228" s="119">
        <v>2004</v>
      </c>
      <c r="F228" s="110">
        <v>7</v>
      </c>
      <c r="G228" s="159">
        <v>0</v>
      </c>
      <c r="H228" s="159"/>
      <c r="I228" s="119" t="s">
        <v>103</v>
      </c>
      <c r="J228" s="119">
        <v>7</v>
      </c>
      <c r="K228" s="113">
        <f t="shared" si="140"/>
        <v>2011</v>
      </c>
      <c r="L228" s="175"/>
      <c r="N228" s="147">
        <v>229</v>
      </c>
      <c r="O228" s="147"/>
      <c r="P228" s="139">
        <f t="shared" si="141"/>
        <v>229</v>
      </c>
      <c r="Q228" s="139">
        <f t="shared" si="142"/>
        <v>2.7261904761904763</v>
      </c>
      <c r="R228" s="139">
        <f t="shared" si="143"/>
        <v>0</v>
      </c>
      <c r="S228" s="139"/>
      <c r="T228" s="139">
        <f t="shared" si="144"/>
        <v>0</v>
      </c>
      <c r="U228" s="139">
        <v>1</v>
      </c>
      <c r="V228" s="139">
        <f t="shared" si="145"/>
        <v>0</v>
      </c>
      <c r="W228" s="139"/>
      <c r="X228" s="139">
        <f t="shared" si="146"/>
        <v>229</v>
      </c>
      <c r="Y228" s="139">
        <f t="shared" si="147"/>
        <v>229</v>
      </c>
      <c r="Z228" s="139">
        <v>1</v>
      </c>
      <c r="AA228" s="139">
        <f t="shared" si="148"/>
        <v>229</v>
      </c>
      <c r="AB228" s="139">
        <f t="shared" si="149"/>
        <v>229</v>
      </c>
      <c r="AC228" s="139">
        <f t="shared" si="150"/>
        <v>0</v>
      </c>
      <c r="AD228" s="115">
        <f t="shared" si="151"/>
        <v>2004.5</v>
      </c>
      <c r="AE228" s="115">
        <f t="shared" si="152"/>
        <v>2018</v>
      </c>
      <c r="AF228" s="115">
        <f t="shared" si="153"/>
        <v>2011.5</v>
      </c>
      <c r="AG228" s="115">
        <f t="shared" si="154"/>
        <v>2017</v>
      </c>
      <c r="AH228" s="115">
        <f t="shared" si="155"/>
        <v>-8.3333333333333329E-2</v>
      </c>
    </row>
    <row r="229" spans="1:34">
      <c r="D229" s="110" t="s">
        <v>256</v>
      </c>
      <c r="E229" s="119">
        <v>2004</v>
      </c>
      <c r="F229" s="110">
        <v>7</v>
      </c>
      <c r="G229" s="159">
        <v>0</v>
      </c>
      <c r="H229" s="159"/>
      <c r="I229" s="119" t="s">
        <v>103</v>
      </c>
      <c r="J229" s="119">
        <v>7</v>
      </c>
      <c r="K229" s="113">
        <f t="shared" si="140"/>
        <v>2011</v>
      </c>
      <c r="L229" s="175"/>
      <c r="N229" s="147">
        <v>572</v>
      </c>
      <c r="O229" s="147"/>
      <c r="P229" s="139">
        <f t="shared" si="141"/>
        <v>572</v>
      </c>
      <c r="Q229" s="139">
        <f t="shared" si="142"/>
        <v>6.8095238095238093</v>
      </c>
      <c r="R229" s="139">
        <f t="shared" si="143"/>
        <v>0</v>
      </c>
      <c r="S229" s="139"/>
      <c r="T229" s="139">
        <f t="shared" si="144"/>
        <v>0</v>
      </c>
      <c r="U229" s="139">
        <v>1</v>
      </c>
      <c r="V229" s="139">
        <f t="shared" si="145"/>
        <v>0</v>
      </c>
      <c r="W229" s="139"/>
      <c r="X229" s="139">
        <f t="shared" si="146"/>
        <v>572</v>
      </c>
      <c r="Y229" s="139">
        <f t="shared" si="147"/>
        <v>572</v>
      </c>
      <c r="Z229" s="139">
        <v>1</v>
      </c>
      <c r="AA229" s="139">
        <f t="shared" si="148"/>
        <v>572</v>
      </c>
      <c r="AB229" s="139">
        <f t="shared" si="149"/>
        <v>572</v>
      </c>
      <c r="AC229" s="139">
        <f t="shared" si="150"/>
        <v>0</v>
      </c>
      <c r="AD229" s="115">
        <f t="shared" si="151"/>
        <v>2004.5</v>
      </c>
      <c r="AE229" s="115">
        <f t="shared" si="152"/>
        <v>2018</v>
      </c>
      <c r="AF229" s="115">
        <f t="shared" si="153"/>
        <v>2011.5</v>
      </c>
      <c r="AG229" s="115">
        <f t="shared" si="154"/>
        <v>2017</v>
      </c>
      <c r="AH229" s="115">
        <f t="shared" si="155"/>
        <v>-8.3333333333333329E-2</v>
      </c>
    </row>
    <row r="230" spans="1:34">
      <c r="D230" s="110" t="s">
        <v>257</v>
      </c>
      <c r="E230" s="119">
        <v>2004</v>
      </c>
      <c r="F230" s="110">
        <v>7</v>
      </c>
      <c r="G230" s="159">
        <v>0</v>
      </c>
      <c r="H230" s="159"/>
      <c r="I230" s="119" t="s">
        <v>103</v>
      </c>
      <c r="J230" s="119">
        <v>7</v>
      </c>
      <c r="K230" s="113">
        <f t="shared" si="140"/>
        <v>2011</v>
      </c>
      <c r="L230" s="175"/>
      <c r="N230" s="147">
        <v>55</v>
      </c>
      <c r="O230" s="147"/>
      <c r="P230" s="139">
        <f t="shared" si="141"/>
        <v>55</v>
      </c>
      <c r="Q230" s="139">
        <f t="shared" si="142"/>
        <v>0.65476190476190477</v>
      </c>
      <c r="R230" s="139">
        <f t="shared" si="143"/>
        <v>0</v>
      </c>
      <c r="S230" s="139"/>
      <c r="T230" s="139">
        <f t="shared" si="144"/>
        <v>0</v>
      </c>
      <c r="U230" s="139">
        <v>1</v>
      </c>
      <c r="V230" s="139">
        <f t="shared" si="145"/>
        <v>0</v>
      </c>
      <c r="W230" s="139"/>
      <c r="X230" s="139">
        <f t="shared" si="146"/>
        <v>55</v>
      </c>
      <c r="Y230" s="139">
        <f t="shared" si="147"/>
        <v>55</v>
      </c>
      <c r="Z230" s="139">
        <v>1</v>
      </c>
      <c r="AA230" s="139">
        <f t="shared" si="148"/>
        <v>55</v>
      </c>
      <c r="AB230" s="139">
        <f t="shared" si="149"/>
        <v>55</v>
      </c>
      <c r="AC230" s="139">
        <f t="shared" si="150"/>
        <v>0</v>
      </c>
      <c r="AD230" s="115">
        <f t="shared" si="151"/>
        <v>2004.5</v>
      </c>
      <c r="AE230" s="115">
        <f t="shared" si="152"/>
        <v>2018</v>
      </c>
      <c r="AF230" s="115">
        <f t="shared" si="153"/>
        <v>2011.5</v>
      </c>
      <c r="AG230" s="115">
        <f t="shared" si="154"/>
        <v>2017</v>
      </c>
      <c r="AH230" s="115">
        <f t="shared" si="155"/>
        <v>-8.3333333333333329E-2</v>
      </c>
    </row>
    <row r="231" spans="1:34">
      <c r="D231" s="110" t="s">
        <v>258</v>
      </c>
      <c r="E231" s="119">
        <v>2005</v>
      </c>
      <c r="F231" s="110">
        <v>12</v>
      </c>
      <c r="G231" s="159">
        <v>0</v>
      </c>
      <c r="H231" s="159"/>
      <c r="I231" s="119"/>
      <c r="J231" s="119">
        <v>7</v>
      </c>
      <c r="K231" s="113">
        <f t="shared" si="140"/>
        <v>2012</v>
      </c>
      <c r="L231" s="175"/>
      <c r="N231" s="147">
        <v>1969</v>
      </c>
      <c r="O231" s="147"/>
      <c r="P231" s="139">
        <f t="shared" si="141"/>
        <v>1969</v>
      </c>
      <c r="Q231" s="139">
        <f t="shared" si="142"/>
        <v>23.44047619047619</v>
      </c>
      <c r="R231" s="139">
        <f t="shared" si="143"/>
        <v>0</v>
      </c>
      <c r="S231" s="139"/>
      <c r="T231" s="139">
        <f t="shared" si="144"/>
        <v>0</v>
      </c>
      <c r="U231" s="139">
        <v>1</v>
      </c>
      <c r="V231" s="139">
        <f t="shared" si="145"/>
        <v>0</v>
      </c>
      <c r="W231" s="139"/>
      <c r="X231" s="139">
        <f t="shared" si="146"/>
        <v>1969</v>
      </c>
      <c r="Y231" s="139">
        <f t="shared" si="147"/>
        <v>1969</v>
      </c>
      <c r="Z231" s="139">
        <v>1</v>
      </c>
      <c r="AA231" s="139">
        <f t="shared" si="148"/>
        <v>1969</v>
      </c>
      <c r="AB231" s="139">
        <f t="shared" si="149"/>
        <v>1969</v>
      </c>
      <c r="AC231" s="139">
        <f t="shared" si="150"/>
        <v>0</v>
      </c>
      <c r="AD231" s="115">
        <f t="shared" si="151"/>
        <v>2005.9166666666667</v>
      </c>
      <c r="AE231" s="115">
        <f t="shared" si="152"/>
        <v>2018</v>
      </c>
      <c r="AF231" s="115">
        <f t="shared" si="153"/>
        <v>2012.9166666666667</v>
      </c>
      <c r="AG231" s="115">
        <f t="shared" si="154"/>
        <v>2017</v>
      </c>
      <c r="AH231" s="115">
        <f t="shared" si="155"/>
        <v>-8.3333333333333329E-2</v>
      </c>
    </row>
    <row r="232" spans="1:34">
      <c r="D232" s="136" t="s">
        <v>259</v>
      </c>
      <c r="E232" s="119">
        <v>2010</v>
      </c>
      <c r="F232" s="110">
        <v>1</v>
      </c>
      <c r="G232" s="159">
        <v>0</v>
      </c>
      <c r="H232" s="159"/>
      <c r="I232" s="119" t="s">
        <v>103</v>
      </c>
      <c r="J232" s="119">
        <v>10</v>
      </c>
      <c r="K232" s="113">
        <f t="shared" si="140"/>
        <v>2020</v>
      </c>
      <c r="L232" s="160"/>
      <c r="N232" s="138">
        <v>2200</v>
      </c>
      <c r="O232" s="147"/>
      <c r="P232" s="139">
        <f t="shared" si="141"/>
        <v>2200</v>
      </c>
      <c r="Q232" s="139">
        <f t="shared" si="142"/>
        <v>18.333333333333332</v>
      </c>
      <c r="R232" s="139">
        <f t="shared" si="143"/>
        <v>220</v>
      </c>
      <c r="S232" s="139"/>
      <c r="T232" s="139">
        <f t="shared" si="144"/>
        <v>220</v>
      </c>
      <c r="U232" s="139">
        <v>1</v>
      </c>
      <c r="V232" s="139">
        <f t="shared" si="145"/>
        <v>220</v>
      </c>
      <c r="W232" s="139"/>
      <c r="X232" s="139">
        <f t="shared" si="146"/>
        <v>1540</v>
      </c>
      <c r="Y232" s="139">
        <f t="shared" si="147"/>
        <v>1540</v>
      </c>
      <c r="Z232" s="139">
        <v>1</v>
      </c>
      <c r="AA232" s="139">
        <f t="shared" si="148"/>
        <v>1540</v>
      </c>
      <c r="AB232" s="139">
        <f t="shared" si="149"/>
        <v>1760</v>
      </c>
      <c r="AC232" s="139">
        <f t="shared" si="150"/>
        <v>550</v>
      </c>
      <c r="AD232" s="115">
        <f t="shared" si="151"/>
        <v>2010</v>
      </c>
      <c r="AE232" s="115">
        <f t="shared" si="152"/>
        <v>2018</v>
      </c>
      <c r="AF232" s="115">
        <f t="shared" si="153"/>
        <v>2020</v>
      </c>
      <c r="AG232" s="115">
        <f t="shared" si="154"/>
        <v>2017</v>
      </c>
      <c r="AH232" s="115">
        <f t="shared" si="155"/>
        <v>-8.3333333333333329E-2</v>
      </c>
    </row>
    <row r="233" spans="1:34">
      <c r="D233" s="136" t="s">
        <v>261</v>
      </c>
      <c r="E233" s="119">
        <v>2011</v>
      </c>
      <c r="F233" s="110">
        <v>12</v>
      </c>
      <c r="G233" s="159">
        <v>0</v>
      </c>
      <c r="H233" s="159"/>
      <c r="I233" s="119" t="s">
        <v>103</v>
      </c>
      <c r="J233" s="119">
        <v>10</v>
      </c>
      <c r="K233" s="113">
        <f t="shared" si="140"/>
        <v>2021</v>
      </c>
      <c r="L233" s="160"/>
      <c r="N233" s="138">
        <v>6996.91</v>
      </c>
      <c r="O233" s="147"/>
      <c r="P233" s="139">
        <f t="shared" si="141"/>
        <v>6996.91</v>
      </c>
      <c r="Q233" s="139">
        <f t="shared" si="142"/>
        <v>58.307583333333334</v>
      </c>
      <c r="R233" s="139">
        <f t="shared" si="143"/>
        <v>699.69100000000003</v>
      </c>
      <c r="S233" s="139"/>
      <c r="T233" s="139">
        <f t="shared" si="144"/>
        <v>699.69100000000003</v>
      </c>
      <c r="U233" s="139">
        <v>1</v>
      </c>
      <c r="V233" s="139">
        <f t="shared" si="145"/>
        <v>699.69100000000003</v>
      </c>
      <c r="W233" s="139"/>
      <c r="X233" s="139">
        <f t="shared" si="146"/>
        <v>3556.7625833332804</v>
      </c>
      <c r="Y233" s="139">
        <f t="shared" si="147"/>
        <v>3556.7625833332804</v>
      </c>
      <c r="Z233" s="139">
        <v>1</v>
      </c>
      <c r="AA233" s="139">
        <f t="shared" si="148"/>
        <v>3556.7625833332804</v>
      </c>
      <c r="AB233" s="139">
        <f t="shared" si="149"/>
        <v>4256.4535833332802</v>
      </c>
      <c r="AC233" s="139">
        <f t="shared" si="150"/>
        <v>3090.3019166667195</v>
      </c>
      <c r="AD233" s="115">
        <f t="shared" si="151"/>
        <v>2011.9166666666667</v>
      </c>
      <c r="AE233" s="115">
        <f t="shared" si="152"/>
        <v>2018</v>
      </c>
      <c r="AF233" s="115">
        <f t="shared" si="153"/>
        <v>2021.9166666666667</v>
      </c>
      <c r="AG233" s="115">
        <f t="shared" si="154"/>
        <v>2017</v>
      </c>
      <c r="AH233" s="115">
        <f t="shared" si="155"/>
        <v>-8.3333333333333329E-2</v>
      </c>
    </row>
    <row r="234" spans="1:34">
      <c r="D234" s="136" t="s">
        <v>262</v>
      </c>
      <c r="E234" s="119">
        <v>2012</v>
      </c>
      <c r="F234" s="110">
        <v>4</v>
      </c>
      <c r="G234" s="159">
        <v>0</v>
      </c>
      <c r="H234" s="159"/>
      <c r="I234" s="119" t="s">
        <v>103</v>
      </c>
      <c r="J234" s="119">
        <v>5</v>
      </c>
      <c r="K234" s="113">
        <f t="shared" si="140"/>
        <v>2017</v>
      </c>
      <c r="L234" s="160"/>
      <c r="N234" s="138">
        <v>466</v>
      </c>
      <c r="O234" s="147"/>
      <c r="P234" s="139">
        <f t="shared" si="141"/>
        <v>466</v>
      </c>
      <c r="Q234" s="139">
        <f t="shared" si="142"/>
        <v>7.7666666666666666</v>
      </c>
      <c r="R234" s="139">
        <f t="shared" si="143"/>
        <v>23.3</v>
      </c>
      <c r="S234" s="139"/>
      <c r="T234" s="139">
        <f t="shared" si="144"/>
        <v>23.3</v>
      </c>
      <c r="U234" s="139">
        <v>1</v>
      </c>
      <c r="V234" s="139">
        <f t="shared" si="145"/>
        <v>23.3</v>
      </c>
      <c r="W234" s="139"/>
      <c r="X234" s="139">
        <f t="shared" si="146"/>
        <v>442.7</v>
      </c>
      <c r="Y234" s="139">
        <f t="shared" si="147"/>
        <v>442.7</v>
      </c>
      <c r="Z234" s="139">
        <v>1</v>
      </c>
      <c r="AA234" s="139">
        <f t="shared" si="148"/>
        <v>442.7</v>
      </c>
      <c r="AB234" s="139">
        <f t="shared" si="149"/>
        <v>466</v>
      </c>
      <c r="AC234" s="139">
        <f t="shared" si="150"/>
        <v>11.650000000000006</v>
      </c>
      <c r="AD234" s="115">
        <f t="shared" si="151"/>
        <v>2012.25</v>
      </c>
      <c r="AE234" s="115">
        <f t="shared" si="152"/>
        <v>2018</v>
      </c>
      <c r="AF234" s="115">
        <f t="shared" si="153"/>
        <v>2017.25</v>
      </c>
      <c r="AG234" s="115">
        <f t="shared" si="154"/>
        <v>2017</v>
      </c>
      <c r="AH234" s="115">
        <f t="shared" si="155"/>
        <v>-8.3333333333333329E-2</v>
      </c>
    </row>
    <row r="235" spans="1:34">
      <c r="D235" s="136" t="s">
        <v>263</v>
      </c>
      <c r="E235" s="119">
        <v>2012</v>
      </c>
      <c r="F235" s="110">
        <v>10</v>
      </c>
      <c r="G235" s="159">
        <v>0</v>
      </c>
      <c r="H235" s="159"/>
      <c r="I235" s="119" t="s">
        <v>103</v>
      </c>
      <c r="J235" s="119">
        <v>5</v>
      </c>
      <c r="K235" s="113">
        <f t="shared" si="140"/>
        <v>2017</v>
      </c>
      <c r="L235" s="160"/>
      <c r="N235" s="138">
        <v>6022</v>
      </c>
      <c r="O235" s="147"/>
      <c r="P235" s="139">
        <f t="shared" si="141"/>
        <v>6022</v>
      </c>
      <c r="Q235" s="139">
        <f t="shared" si="142"/>
        <v>100.36666666666667</v>
      </c>
      <c r="R235" s="139">
        <f t="shared" si="143"/>
        <v>903.30000000000007</v>
      </c>
      <c r="S235" s="139"/>
      <c r="T235" s="139">
        <f t="shared" si="144"/>
        <v>903.30000000000007</v>
      </c>
      <c r="U235" s="139">
        <v>1</v>
      </c>
      <c r="V235" s="139">
        <f t="shared" si="145"/>
        <v>903.30000000000007</v>
      </c>
      <c r="W235" s="139"/>
      <c r="X235" s="139">
        <f t="shared" si="146"/>
        <v>5118.7</v>
      </c>
      <c r="Y235" s="139">
        <f t="shared" si="147"/>
        <v>5118.7</v>
      </c>
      <c r="Z235" s="139">
        <v>1</v>
      </c>
      <c r="AA235" s="139">
        <f t="shared" si="148"/>
        <v>5118.7</v>
      </c>
      <c r="AB235" s="139">
        <f t="shared" si="149"/>
        <v>6022</v>
      </c>
      <c r="AC235" s="139">
        <f t="shared" si="150"/>
        <v>451.65000000000009</v>
      </c>
      <c r="AD235" s="115">
        <f t="shared" si="151"/>
        <v>2012.75</v>
      </c>
      <c r="AE235" s="115">
        <f t="shared" si="152"/>
        <v>2018</v>
      </c>
      <c r="AF235" s="115">
        <f t="shared" si="153"/>
        <v>2017.75</v>
      </c>
      <c r="AG235" s="115">
        <f t="shared" si="154"/>
        <v>2017</v>
      </c>
      <c r="AH235" s="115">
        <f t="shared" si="155"/>
        <v>-8.3333333333333329E-2</v>
      </c>
    </row>
    <row r="236" spans="1:34">
      <c r="A236" s="110" t="s">
        <v>264</v>
      </c>
      <c r="D236" s="136" t="s">
        <v>265</v>
      </c>
      <c r="E236" s="119">
        <v>2012</v>
      </c>
      <c r="F236" s="110">
        <v>12</v>
      </c>
      <c r="G236" s="159">
        <v>0</v>
      </c>
      <c r="H236" s="159"/>
      <c r="I236" s="119" t="s">
        <v>103</v>
      </c>
      <c r="J236" s="119">
        <v>5</v>
      </c>
      <c r="K236" s="113">
        <f t="shared" si="140"/>
        <v>2017</v>
      </c>
      <c r="L236" s="160"/>
      <c r="N236" s="138">
        <f>1245+815</f>
        <v>2060</v>
      </c>
      <c r="O236" s="147"/>
      <c r="P236" s="139">
        <f t="shared" si="141"/>
        <v>2060</v>
      </c>
      <c r="Q236" s="139">
        <f t="shared" si="142"/>
        <v>34.333333333333336</v>
      </c>
      <c r="R236" s="139">
        <f t="shared" si="143"/>
        <v>377.66666666669789</v>
      </c>
      <c r="S236" s="139"/>
      <c r="T236" s="139">
        <f t="shared" si="144"/>
        <v>377.66666666669789</v>
      </c>
      <c r="U236" s="139">
        <v>1</v>
      </c>
      <c r="V236" s="139">
        <f t="shared" si="145"/>
        <v>377.66666666669789</v>
      </c>
      <c r="W236" s="139"/>
      <c r="X236" s="139">
        <f t="shared" si="146"/>
        <v>1682.3333333333021</v>
      </c>
      <c r="Y236" s="139">
        <f t="shared" si="147"/>
        <v>1682.3333333333021</v>
      </c>
      <c r="Z236" s="139">
        <v>1</v>
      </c>
      <c r="AA236" s="139">
        <f t="shared" si="148"/>
        <v>1682.3333333333021</v>
      </c>
      <c r="AB236" s="139">
        <f t="shared" si="149"/>
        <v>2060</v>
      </c>
      <c r="AC236" s="139">
        <f t="shared" si="150"/>
        <v>188.83333333334895</v>
      </c>
      <c r="AD236" s="115">
        <f t="shared" si="151"/>
        <v>2012.9166666666667</v>
      </c>
      <c r="AE236" s="115">
        <f t="shared" si="152"/>
        <v>2018</v>
      </c>
      <c r="AF236" s="115">
        <f t="shared" si="153"/>
        <v>2017.9166666666667</v>
      </c>
      <c r="AG236" s="115">
        <f t="shared" si="154"/>
        <v>2017</v>
      </c>
      <c r="AH236" s="115">
        <f t="shared" si="155"/>
        <v>-8.3333333333333329E-2</v>
      </c>
    </row>
    <row r="237" spans="1:34">
      <c r="A237" s="110">
        <v>167961</v>
      </c>
      <c r="D237" s="136" t="s">
        <v>298</v>
      </c>
      <c r="E237" s="119">
        <v>2016</v>
      </c>
      <c r="F237" s="110">
        <v>9</v>
      </c>
      <c r="G237" s="159">
        <v>0</v>
      </c>
      <c r="H237" s="159"/>
      <c r="I237" s="119" t="s">
        <v>103</v>
      </c>
      <c r="J237" s="119">
        <v>5</v>
      </c>
      <c r="K237" s="113">
        <f t="shared" si="140"/>
        <v>2021</v>
      </c>
      <c r="L237" s="160"/>
      <c r="N237" s="138">
        <v>5329</v>
      </c>
      <c r="O237" s="147"/>
      <c r="P237" s="139">
        <f t="shared" si="141"/>
        <v>5329</v>
      </c>
      <c r="Q237" s="139">
        <f t="shared" si="142"/>
        <v>88.816666666666663</v>
      </c>
      <c r="R237" s="139">
        <f t="shared" si="143"/>
        <v>1065.8</v>
      </c>
      <c r="S237" s="139"/>
      <c r="T237" s="139">
        <f t="shared" si="144"/>
        <v>1065.8</v>
      </c>
      <c r="U237" s="139">
        <v>1</v>
      </c>
      <c r="V237" s="139">
        <f t="shared" si="145"/>
        <v>1065.8</v>
      </c>
      <c r="W237" s="139"/>
      <c r="X237" s="139">
        <f t="shared" si="146"/>
        <v>355.26666666658588</v>
      </c>
      <c r="Y237" s="139">
        <f t="shared" si="147"/>
        <v>355.26666666658588</v>
      </c>
      <c r="Z237" s="139">
        <v>1</v>
      </c>
      <c r="AA237" s="139">
        <f t="shared" si="148"/>
        <v>355.26666666658588</v>
      </c>
      <c r="AB237" s="139">
        <f t="shared" si="149"/>
        <v>1421.0666666665859</v>
      </c>
      <c r="AC237" s="139">
        <f t="shared" si="150"/>
        <v>4440.833333333414</v>
      </c>
      <c r="AD237" s="115">
        <f t="shared" si="151"/>
        <v>2016.6666666666667</v>
      </c>
      <c r="AE237" s="115">
        <f t="shared" si="152"/>
        <v>2018</v>
      </c>
      <c r="AF237" s="115">
        <f t="shared" si="153"/>
        <v>2021.6666666666667</v>
      </c>
      <c r="AG237" s="115">
        <f t="shared" si="154"/>
        <v>2017</v>
      </c>
      <c r="AH237" s="115">
        <f t="shared" si="155"/>
        <v>-8.3333333333333329E-2</v>
      </c>
    </row>
    <row r="238" spans="1:34">
      <c r="A238" s="110">
        <v>169271</v>
      </c>
      <c r="D238" s="136" t="s">
        <v>299</v>
      </c>
      <c r="E238" s="119">
        <v>2016</v>
      </c>
      <c r="F238" s="110">
        <v>10</v>
      </c>
      <c r="G238" s="159">
        <v>0</v>
      </c>
      <c r="H238" s="159"/>
      <c r="I238" s="119" t="s">
        <v>103</v>
      </c>
      <c r="J238" s="119">
        <v>5</v>
      </c>
      <c r="K238" s="113">
        <f t="shared" si="140"/>
        <v>2021</v>
      </c>
      <c r="L238" s="160"/>
      <c r="N238" s="138">
        <v>2587.1999999999998</v>
      </c>
      <c r="O238" s="147"/>
      <c r="P238" s="139">
        <f t="shared" si="141"/>
        <v>2587.1999999999998</v>
      </c>
      <c r="Q238" s="139">
        <f t="shared" si="142"/>
        <v>43.12</v>
      </c>
      <c r="R238" s="139">
        <f t="shared" si="143"/>
        <v>517.43999999999994</v>
      </c>
      <c r="S238" s="139"/>
      <c r="T238" s="139">
        <f t="shared" si="144"/>
        <v>517.43999999999994</v>
      </c>
      <c r="U238" s="139">
        <v>1</v>
      </c>
      <c r="V238" s="139">
        <f t="shared" si="145"/>
        <v>517.43999999999994</v>
      </c>
      <c r="W238" s="139"/>
      <c r="X238" s="139">
        <f t="shared" si="146"/>
        <v>129.35999999999999</v>
      </c>
      <c r="Y238" s="139">
        <f t="shared" si="147"/>
        <v>129.35999999999999</v>
      </c>
      <c r="Z238" s="139">
        <v>1</v>
      </c>
      <c r="AA238" s="139">
        <f t="shared" si="148"/>
        <v>129.35999999999999</v>
      </c>
      <c r="AB238" s="139">
        <f t="shared" si="149"/>
        <v>646.79999999999995</v>
      </c>
      <c r="AC238" s="139">
        <f t="shared" si="150"/>
        <v>2199.12</v>
      </c>
      <c r="AD238" s="115">
        <f t="shared" si="151"/>
        <v>2016.75</v>
      </c>
      <c r="AE238" s="115">
        <f t="shared" si="152"/>
        <v>2018</v>
      </c>
      <c r="AF238" s="115">
        <f t="shared" si="153"/>
        <v>2021.75</v>
      </c>
      <c r="AG238" s="115">
        <f t="shared" si="154"/>
        <v>2017</v>
      </c>
      <c r="AH238" s="115">
        <f t="shared" si="155"/>
        <v>-8.3333333333333329E-2</v>
      </c>
    </row>
    <row r="239" spans="1:34">
      <c r="E239" s="119"/>
      <c r="G239" s="159"/>
      <c r="H239" s="159"/>
      <c r="I239" s="119"/>
      <c r="J239" s="119"/>
      <c r="L239" s="175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</row>
    <row r="240" spans="1:34">
      <c r="D240" s="141" t="s">
        <v>266</v>
      </c>
      <c r="E240" s="151"/>
      <c r="F240" s="152"/>
      <c r="G240" s="177"/>
      <c r="H240" s="177"/>
      <c r="I240" s="151"/>
      <c r="J240" s="151"/>
      <c r="K240" s="167"/>
      <c r="L240" s="181"/>
      <c r="M240" s="152"/>
      <c r="N240" s="144">
        <f>SUM(N220:N239)</f>
        <v>103144.4</v>
      </c>
      <c r="O240" s="170"/>
      <c r="P240" s="144">
        <f>SUM(P220:P239)</f>
        <v>102904.4</v>
      </c>
      <c r="Q240" s="144">
        <f>SUM(Q220:Q239)</f>
        <v>1474.0294484126978</v>
      </c>
      <c r="R240" s="144">
        <f>SUM(R220:R239)</f>
        <v>8079.0643333333646</v>
      </c>
      <c r="S240" s="144"/>
      <c r="T240" s="144">
        <f>SUM(T220:T239)</f>
        <v>8079.0643333333646</v>
      </c>
      <c r="U240" s="144"/>
      <c r="V240" s="144">
        <f>SUM(V220:V239)</f>
        <v>8079.0643333333646</v>
      </c>
      <c r="W240" s="144"/>
      <c r="X240" s="144">
        <f>SUM(X220:X239)</f>
        <v>77252.812583333172</v>
      </c>
      <c r="Y240" s="144">
        <f>SUM(Y220:Y239)</f>
        <v>77252.812583333172</v>
      </c>
      <c r="Z240" s="144"/>
      <c r="AA240" s="144">
        <f>SUM(AA220:AA239)</f>
        <v>77252.812583333172</v>
      </c>
      <c r="AB240" s="144">
        <f>SUM(AB220:AB239)</f>
        <v>85331.876916666544</v>
      </c>
      <c r="AC240" s="144">
        <f>SUM(AC220:AC239)</f>
        <v>11172.388583333483</v>
      </c>
    </row>
    <row r="241" spans="1:34">
      <c r="D241" s="140"/>
      <c r="E241" s="119"/>
      <c r="G241" s="159"/>
      <c r="H241" s="159"/>
      <c r="I241" s="119"/>
      <c r="J241" s="119"/>
      <c r="L241" s="182"/>
      <c r="N241" s="146"/>
      <c r="O241" s="147"/>
      <c r="P241" s="147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47"/>
      <c r="AC241" s="147"/>
    </row>
    <row r="242" spans="1:34">
      <c r="D242" s="124" t="s">
        <v>267</v>
      </c>
      <c r="E242" s="119"/>
      <c r="G242" s="110"/>
      <c r="J242" s="119"/>
      <c r="N242" s="147"/>
      <c r="O242" s="147"/>
      <c r="P242" s="147"/>
      <c r="Q242" s="147"/>
      <c r="R242" s="147"/>
      <c r="S242" s="147"/>
      <c r="T242" s="147"/>
      <c r="U242" s="147"/>
      <c r="V242" s="147"/>
      <c r="W242" s="147"/>
      <c r="X242" s="147"/>
      <c r="Y242" s="147"/>
      <c r="Z242" s="147"/>
      <c r="AA242" s="147"/>
      <c r="AB242" s="147"/>
      <c r="AC242" s="147"/>
    </row>
    <row r="243" spans="1:34">
      <c r="D243" s="136" t="s">
        <v>268</v>
      </c>
      <c r="E243" s="119">
        <v>2009</v>
      </c>
      <c r="F243" s="110">
        <v>2</v>
      </c>
      <c r="G243" s="159">
        <v>0</v>
      </c>
      <c r="H243" s="159"/>
      <c r="I243" s="119" t="s">
        <v>103</v>
      </c>
      <c r="J243" s="119">
        <v>3</v>
      </c>
      <c r="K243" s="113">
        <f t="shared" ref="K243:K253" si="156">E243+J243</f>
        <v>2012</v>
      </c>
      <c r="L243" s="160"/>
      <c r="M243" s="160"/>
      <c r="N243" s="138">
        <v>6775</v>
      </c>
      <c r="O243" s="147"/>
      <c r="P243" s="139">
        <f t="shared" ref="P243:P253" si="157">N243-N243*G243</f>
        <v>6775</v>
      </c>
      <c r="Q243" s="139">
        <f t="shared" ref="Q243:Q253" si="158">P243/J243/12</f>
        <v>188.19444444444446</v>
      </c>
      <c r="R243" s="139">
        <f t="shared" ref="R243:R253" si="159">IF(O243&gt;0,0,IF(OR(AD243&gt;AE243,AF243&lt;AG243),0,IF(AND(AF243&gt;=AG243,AF243&lt;=AE243),Q243*((AF243-AG243)*12),IF(AND(AG243&lt;=AD243,AE243&gt;=AD243),((AE243-AD243)*12)*Q243,IF(AF243&gt;AE243,12*Q243,0)))))</f>
        <v>0</v>
      </c>
      <c r="S243" s="139"/>
      <c r="T243" s="139">
        <f t="shared" ref="T243:T253" si="160">IF(S243&gt;0,S243,R243)</f>
        <v>0</v>
      </c>
      <c r="U243" s="139">
        <v>1</v>
      </c>
      <c r="V243" s="139">
        <f t="shared" ref="V243:V253" si="161">U243*SUM(R243:S243)</f>
        <v>0</v>
      </c>
      <c r="W243" s="139"/>
      <c r="X243" s="139">
        <f t="shared" ref="X243:X253" si="162">IF(AD243&gt;AE243,0,IF(AF243&lt;AG243,P243,IF(AND(AF243&gt;=AG243,AF243&lt;=AE243),(P243-T243),IF(AND(AG243&lt;=AD243,AE243&gt;=AD243),0,IF(AF243&gt;AE243,((AG243-AD243)*12)*Q243,0)))))</f>
        <v>6775</v>
      </c>
      <c r="Y243" s="139">
        <f t="shared" ref="Y243:Y253" si="163">X243*U243</f>
        <v>6775</v>
      </c>
      <c r="Z243" s="139">
        <v>1</v>
      </c>
      <c r="AA243" s="139">
        <f t="shared" ref="AA243:AA253" si="164">Y243*Z243</f>
        <v>6775</v>
      </c>
      <c r="AB243" s="139">
        <f t="shared" ref="AB243:AB253" si="165">IF(O243&gt;0,0,AA243+V243*Z243)*Z243</f>
        <v>6775</v>
      </c>
      <c r="AC243" s="139">
        <f t="shared" ref="AC243:AC253" si="166">IF(O243&gt;0,(N243-AA243)/2,IF(AD243&gt;=AG243,(((N243*U243)*Z243)-AB243)/2,((((N243*U243)*Z243)-AA243)+(((N243*U243)*Z243)-AB243))/2))</f>
        <v>0</v>
      </c>
      <c r="AD243" s="115">
        <f t="shared" ref="AD243:AD253" si="167">$E243+(($F243-1)/12)</f>
        <v>2009.0833333333333</v>
      </c>
      <c r="AE243" s="115">
        <f t="shared" ref="AE243:AE253" si="168">($P$5+1)-($P$2/12)</f>
        <v>2018</v>
      </c>
      <c r="AF243" s="115">
        <f t="shared" ref="AF243:AF253" si="169">$K243+(($F243-1)/12)</f>
        <v>2012.0833333333333</v>
      </c>
      <c r="AG243" s="115">
        <f t="shared" ref="AG243:AG253" si="170">$P$4+($P$3/12)</f>
        <v>2017</v>
      </c>
      <c r="AH243" s="115">
        <f t="shared" ref="AH243:AH253" si="171">$L243+(($M243-1)/12)</f>
        <v>-8.3333333333333329E-2</v>
      </c>
    </row>
    <row r="244" spans="1:34">
      <c r="D244" s="136" t="s">
        <v>269</v>
      </c>
      <c r="E244" s="119">
        <v>2010</v>
      </c>
      <c r="F244" s="110">
        <v>6</v>
      </c>
      <c r="G244" s="159">
        <v>0</v>
      </c>
      <c r="H244" s="159"/>
      <c r="I244" s="119" t="s">
        <v>103</v>
      </c>
      <c r="J244" s="119">
        <v>5</v>
      </c>
      <c r="K244" s="113">
        <f t="shared" si="156"/>
        <v>2015</v>
      </c>
      <c r="L244" s="160"/>
      <c r="M244" s="160"/>
      <c r="N244" s="138">
        <v>1043.42</v>
      </c>
      <c r="O244" s="147"/>
      <c r="P244" s="139">
        <f t="shared" si="157"/>
        <v>1043.42</v>
      </c>
      <c r="Q244" s="139">
        <f t="shared" si="158"/>
        <v>17.390333333333334</v>
      </c>
      <c r="R244" s="139">
        <f t="shared" si="159"/>
        <v>0</v>
      </c>
      <c r="S244" s="139"/>
      <c r="T244" s="139">
        <f t="shared" si="160"/>
        <v>0</v>
      </c>
      <c r="U244" s="139">
        <v>1</v>
      </c>
      <c r="V244" s="139">
        <f t="shared" si="161"/>
        <v>0</v>
      </c>
      <c r="W244" s="139"/>
      <c r="X244" s="139">
        <f t="shared" si="162"/>
        <v>1043.42</v>
      </c>
      <c r="Y244" s="139">
        <f t="shared" si="163"/>
        <v>1043.42</v>
      </c>
      <c r="Z244" s="139">
        <v>1</v>
      </c>
      <c r="AA244" s="139">
        <f t="shared" si="164"/>
        <v>1043.42</v>
      </c>
      <c r="AB244" s="139">
        <f t="shared" si="165"/>
        <v>1043.42</v>
      </c>
      <c r="AC244" s="139">
        <f t="shared" si="166"/>
        <v>0</v>
      </c>
      <c r="AD244" s="115">
        <f t="shared" si="167"/>
        <v>2010.4166666666667</v>
      </c>
      <c r="AE244" s="115">
        <f t="shared" si="168"/>
        <v>2018</v>
      </c>
      <c r="AF244" s="115">
        <f t="shared" si="169"/>
        <v>2015.4166666666667</v>
      </c>
      <c r="AG244" s="115">
        <f t="shared" si="170"/>
        <v>2017</v>
      </c>
      <c r="AH244" s="115">
        <f t="shared" si="171"/>
        <v>-8.3333333333333329E-2</v>
      </c>
    </row>
    <row r="245" spans="1:34">
      <c r="D245" s="136" t="s">
        <v>270</v>
      </c>
      <c r="E245" s="119">
        <v>2010</v>
      </c>
      <c r="F245" s="110">
        <v>12</v>
      </c>
      <c r="G245" s="159">
        <v>0</v>
      </c>
      <c r="H245" s="159"/>
      <c r="I245" s="119" t="s">
        <v>103</v>
      </c>
      <c r="J245" s="119">
        <v>5</v>
      </c>
      <c r="K245" s="113">
        <f t="shared" si="156"/>
        <v>2015</v>
      </c>
      <c r="L245" s="160"/>
      <c r="M245" s="160"/>
      <c r="N245" s="138">
        <f>4249.48</f>
        <v>4249.4799999999996</v>
      </c>
      <c r="O245" s="147"/>
      <c r="P245" s="139">
        <f t="shared" si="157"/>
        <v>4249.4799999999996</v>
      </c>
      <c r="Q245" s="139">
        <f t="shared" si="158"/>
        <v>70.824666666666658</v>
      </c>
      <c r="R245" s="139">
        <f t="shared" si="159"/>
        <v>0</v>
      </c>
      <c r="S245" s="139"/>
      <c r="T245" s="139">
        <f t="shared" si="160"/>
        <v>0</v>
      </c>
      <c r="U245" s="139">
        <v>1</v>
      </c>
      <c r="V245" s="139">
        <f t="shared" si="161"/>
        <v>0</v>
      </c>
      <c r="W245" s="139"/>
      <c r="X245" s="139">
        <f t="shared" si="162"/>
        <v>4249.4799999999996</v>
      </c>
      <c r="Y245" s="139">
        <f t="shared" si="163"/>
        <v>4249.4799999999996</v>
      </c>
      <c r="Z245" s="139">
        <v>1</v>
      </c>
      <c r="AA245" s="139">
        <f t="shared" si="164"/>
        <v>4249.4799999999996</v>
      </c>
      <c r="AB245" s="139">
        <f t="shared" si="165"/>
        <v>4249.4799999999996</v>
      </c>
      <c r="AC245" s="139">
        <f t="shared" si="166"/>
        <v>0</v>
      </c>
      <c r="AD245" s="115">
        <f t="shared" si="167"/>
        <v>2010.9166666666667</v>
      </c>
      <c r="AE245" s="115">
        <f t="shared" si="168"/>
        <v>2018</v>
      </c>
      <c r="AF245" s="115">
        <f t="shared" si="169"/>
        <v>2015.9166666666667</v>
      </c>
      <c r="AG245" s="115">
        <f t="shared" si="170"/>
        <v>2017</v>
      </c>
      <c r="AH245" s="115">
        <f t="shared" si="171"/>
        <v>-8.3333333333333329E-2</v>
      </c>
    </row>
    <row r="246" spans="1:34">
      <c r="D246" s="136" t="s">
        <v>271</v>
      </c>
      <c r="E246" s="119">
        <v>2011</v>
      </c>
      <c r="F246" s="110">
        <v>3</v>
      </c>
      <c r="G246" s="159">
        <v>0</v>
      </c>
      <c r="H246" s="159"/>
      <c r="I246" s="119" t="s">
        <v>103</v>
      </c>
      <c r="J246" s="119">
        <v>5</v>
      </c>
      <c r="K246" s="113">
        <f t="shared" si="156"/>
        <v>2016</v>
      </c>
      <c r="L246" s="160"/>
      <c r="M246" s="160"/>
      <c r="N246" s="138">
        <v>1120.45</v>
      </c>
      <c r="O246" s="147"/>
      <c r="P246" s="139">
        <f t="shared" si="157"/>
        <v>1120.45</v>
      </c>
      <c r="Q246" s="139">
        <f t="shared" si="158"/>
        <v>18.674166666666668</v>
      </c>
      <c r="R246" s="139">
        <f t="shared" si="159"/>
        <v>0</v>
      </c>
      <c r="S246" s="139"/>
      <c r="T246" s="139">
        <f t="shared" si="160"/>
        <v>0</v>
      </c>
      <c r="U246" s="139">
        <v>1</v>
      </c>
      <c r="V246" s="139">
        <f t="shared" si="161"/>
        <v>0</v>
      </c>
      <c r="W246" s="139"/>
      <c r="X246" s="139">
        <f t="shared" si="162"/>
        <v>1120.45</v>
      </c>
      <c r="Y246" s="139">
        <f t="shared" si="163"/>
        <v>1120.45</v>
      </c>
      <c r="Z246" s="139">
        <v>1</v>
      </c>
      <c r="AA246" s="139">
        <f t="shared" si="164"/>
        <v>1120.45</v>
      </c>
      <c r="AB246" s="139">
        <f t="shared" si="165"/>
        <v>1120.45</v>
      </c>
      <c r="AC246" s="139">
        <f t="shared" si="166"/>
        <v>0</v>
      </c>
      <c r="AD246" s="115">
        <f t="shared" si="167"/>
        <v>2011.1666666666667</v>
      </c>
      <c r="AE246" s="115">
        <f t="shared" si="168"/>
        <v>2018</v>
      </c>
      <c r="AF246" s="115">
        <f t="shared" si="169"/>
        <v>2016.1666666666667</v>
      </c>
      <c r="AG246" s="115">
        <f t="shared" si="170"/>
        <v>2017</v>
      </c>
      <c r="AH246" s="115">
        <f t="shared" si="171"/>
        <v>-8.3333333333333329E-2</v>
      </c>
    </row>
    <row r="247" spans="1:34">
      <c r="D247" s="136" t="s">
        <v>272</v>
      </c>
      <c r="E247" s="119">
        <v>2011</v>
      </c>
      <c r="F247" s="110">
        <v>12</v>
      </c>
      <c r="G247" s="159">
        <v>0</v>
      </c>
      <c r="H247" s="159"/>
      <c r="I247" s="119" t="s">
        <v>103</v>
      </c>
      <c r="J247" s="119">
        <v>5</v>
      </c>
      <c r="K247" s="113">
        <f t="shared" si="156"/>
        <v>2016</v>
      </c>
      <c r="L247" s="160"/>
      <c r="M247" s="160"/>
      <c r="N247" s="138">
        <v>846.18</v>
      </c>
      <c r="O247" s="147"/>
      <c r="P247" s="139">
        <f t="shared" si="157"/>
        <v>846.18</v>
      </c>
      <c r="Q247" s="139">
        <f t="shared" si="158"/>
        <v>14.103</v>
      </c>
      <c r="R247" s="139">
        <f t="shared" si="159"/>
        <v>0</v>
      </c>
      <c r="S247" s="139"/>
      <c r="T247" s="139">
        <f t="shared" si="160"/>
        <v>0</v>
      </c>
      <c r="U247" s="139">
        <v>1</v>
      </c>
      <c r="V247" s="139">
        <f t="shared" si="161"/>
        <v>0</v>
      </c>
      <c r="W247" s="139"/>
      <c r="X247" s="139">
        <f t="shared" si="162"/>
        <v>846.18</v>
      </c>
      <c r="Y247" s="139">
        <f t="shared" si="163"/>
        <v>846.18</v>
      </c>
      <c r="Z247" s="139">
        <v>1</v>
      </c>
      <c r="AA247" s="139">
        <f t="shared" si="164"/>
        <v>846.18</v>
      </c>
      <c r="AB247" s="139">
        <f t="shared" si="165"/>
        <v>846.18</v>
      </c>
      <c r="AC247" s="139">
        <f t="shared" si="166"/>
        <v>0</v>
      </c>
      <c r="AD247" s="115">
        <f t="shared" si="167"/>
        <v>2011.9166666666667</v>
      </c>
      <c r="AE247" s="115">
        <f t="shared" si="168"/>
        <v>2018</v>
      </c>
      <c r="AF247" s="115">
        <f t="shared" si="169"/>
        <v>2016.9166666666667</v>
      </c>
      <c r="AG247" s="115">
        <f t="shared" si="170"/>
        <v>2017</v>
      </c>
      <c r="AH247" s="115">
        <f t="shared" si="171"/>
        <v>-8.3333333333333329E-2</v>
      </c>
    </row>
    <row r="248" spans="1:34">
      <c r="D248" s="136" t="s">
        <v>273</v>
      </c>
      <c r="E248" s="119">
        <v>2013</v>
      </c>
      <c r="F248" s="110">
        <v>9</v>
      </c>
      <c r="G248" s="159">
        <v>0</v>
      </c>
      <c r="H248" s="159"/>
      <c r="I248" s="119" t="s">
        <v>103</v>
      </c>
      <c r="J248" s="119">
        <v>5</v>
      </c>
      <c r="K248" s="113">
        <f t="shared" si="156"/>
        <v>2018</v>
      </c>
      <c r="L248" s="160"/>
      <c r="M248" s="160"/>
      <c r="N248" s="138">
        <v>1010.1</v>
      </c>
      <c r="O248" s="147"/>
      <c r="P248" s="139">
        <f t="shared" si="157"/>
        <v>1010.1</v>
      </c>
      <c r="Q248" s="139">
        <f t="shared" si="158"/>
        <v>16.835000000000001</v>
      </c>
      <c r="R248" s="139">
        <f t="shared" si="159"/>
        <v>202.02</v>
      </c>
      <c r="S248" s="139"/>
      <c r="T248" s="139">
        <f t="shared" si="160"/>
        <v>202.02</v>
      </c>
      <c r="U248" s="139">
        <v>1</v>
      </c>
      <c r="V248" s="139">
        <f t="shared" si="161"/>
        <v>202.02</v>
      </c>
      <c r="W248" s="139"/>
      <c r="X248" s="139">
        <f t="shared" si="162"/>
        <v>673.39999999998474</v>
      </c>
      <c r="Y248" s="139">
        <f t="shared" si="163"/>
        <v>673.39999999998474</v>
      </c>
      <c r="Z248" s="139">
        <v>1</v>
      </c>
      <c r="AA248" s="139">
        <f t="shared" si="164"/>
        <v>673.39999999998474</v>
      </c>
      <c r="AB248" s="139">
        <f t="shared" si="165"/>
        <v>875.41999999998473</v>
      </c>
      <c r="AC248" s="139">
        <f t="shared" si="166"/>
        <v>235.69000000001529</v>
      </c>
      <c r="AD248" s="115">
        <f t="shared" si="167"/>
        <v>2013.6666666666667</v>
      </c>
      <c r="AE248" s="115">
        <f t="shared" si="168"/>
        <v>2018</v>
      </c>
      <c r="AF248" s="115">
        <f t="shared" si="169"/>
        <v>2018.6666666666667</v>
      </c>
      <c r="AG248" s="115">
        <f t="shared" si="170"/>
        <v>2017</v>
      </c>
      <c r="AH248" s="115">
        <f t="shared" si="171"/>
        <v>-8.3333333333333329E-2</v>
      </c>
    </row>
    <row r="249" spans="1:34">
      <c r="A249" s="110">
        <v>113894</v>
      </c>
      <c r="C249" s="110">
        <v>1</v>
      </c>
      <c r="D249" s="136" t="s">
        <v>274</v>
      </c>
      <c r="E249" s="119">
        <v>2014</v>
      </c>
      <c r="F249" s="110">
        <v>6</v>
      </c>
      <c r="G249" s="159">
        <v>0</v>
      </c>
      <c r="H249" s="159"/>
      <c r="I249" s="119" t="s">
        <v>103</v>
      </c>
      <c r="J249" s="119">
        <v>5</v>
      </c>
      <c r="K249" s="113">
        <f t="shared" si="156"/>
        <v>2019</v>
      </c>
      <c r="L249" s="160"/>
      <c r="M249" s="160"/>
      <c r="N249" s="138">
        <v>824.08</v>
      </c>
      <c r="O249" s="147"/>
      <c r="P249" s="139">
        <f t="shared" si="157"/>
        <v>824.08</v>
      </c>
      <c r="Q249" s="139">
        <f t="shared" si="158"/>
        <v>13.734666666666667</v>
      </c>
      <c r="R249" s="139">
        <f t="shared" si="159"/>
        <v>164.816</v>
      </c>
      <c r="S249" s="139"/>
      <c r="T249" s="139">
        <f t="shared" si="160"/>
        <v>164.816</v>
      </c>
      <c r="U249" s="139">
        <v>1</v>
      </c>
      <c r="V249" s="139">
        <f t="shared" si="161"/>
        <v>164.816</v>
      </c>
      <c r="W249" s="139"/>
      <c r="X249" s="139">
        <f t="shared" si="162"/>
        <v>425.77466666665418</v>
      </c>
      <c r="Y249" s="139">
        <f t="shared" si="163"/>
        <v>425.77466666665418</v>
      </c>
      <c r="Z249" s="139">
        <v>1</v>
      </c>
      <c r="AA249" s="139">
        <f t="shared" si="164"/>
        <v>425.77466666665418</v>
      </c>
      <c r="AB249" s="139">
        <f t="shared" si="165"/>
        <v>590.59066666665422</v>
      </c>
      <c r="AC249" s="139">
        <f t="shared" si="166"/>
        <v>315.89733333334584</v>
      </c>
      <c r="AD249" s="115">
        <f t="shared" si="167"/>
        <v>2014.4166666666667</v>
      </c>
      <c r="AE249" s="115">
        <f t="shared" si="168"/>
        <v>2018</v>
      </c>
      <c r="AF249" s="115">
        <f t="shared" si="169"/>
        <v>2019.4166666666667</v>
      </c>
      <c r="AG249" s="115">
        <f t="shared" si="170"/>
        <v>2017</v>
      </c>
      <c r="AH249" s="115">
        <f t="shared" si="171"/>
        <v>-8.3333333333333329E-2</v>
      </c>
    </row>
    <row r="250" spans="1:34">
      <c r="A250" s="110">
        <v>117628</v>
      </c>
      <c r="C250" s="110">
        <v>1</v>
      </c>
      <c r="D250" s="136" t="s">
        <v>275</v>
      </c>
      <c r="E250" s="119">
        <v>2014</v>
      </c>
      <c r="F250" s="110">
        <v>11</v>
      </c>
      <c r="G250" s="159">
        <v>0</v>
      </c>
      <c r="H250" s="159"/>
      <c r="I250" s="119" t="s">
        <v>103</v>
      </c>
      <c r="J250" s="119">
        <v>5</v>
      </c>
      <c r="K250" s="113">
        <f t="shared" si="156"/>
        <v>2019</v>
      </c>
      <c r="L250" s="160"/>
      <c r="M250" s="160"/>
      <c r="N250" s="138">
        <v>1076.26</v>
      </c>
      <c r="O250" s="147"/>
      <c r="P250" s="139">
        <f t="shared" si="157"/>
        <v>1076.26</v>
      </c>
      <c r="Q250" s="139">
        <f t="shared" si="158"/>
        <v>17.937666666666669</v>
      </c>
      <c r="R250" s="139">
        <f t="shared" si="159"/>
        <v>215.25200000000001</v>
      </c>
      <c r="S250" s="139"/>
      <c r="T250" s="139">
        <f t="shared" si="160"/>
        <v>215.25200000000001</v>
      </c>
      <c r="U250" s="139">
        <v>1</v>
      </c>
      <c r="V250" s="139">
        <f t="shared" si="161"/>
        <v>215.25200000000001</v>
      </c>
      <c r="W250" s="139"/>
      <c r="X250" s="139">
        <f t="shared" si="162"/>
        <v>466.37933333334968</v>
      </c>
      <c r="Y250" s="139">
        <f t="shared" si="163"/>
        <v>466.37933333334968</v>
      </c>
      <c r="Z250" s="139">
        <v>1</v>
      </c>
      <c r="AA250" s="139">
        <f t="shared" si="164"/>
        <v>466.37933333334968</v>
      </c>
      <c r="AB250" s="139">
        <f t="shared" si="165"/>
        <v>681.63133333334963</v>
      </c>
      <c r="AC250" s="139">
        <f t="shared" si="166"/>
        <v>502.25466666665034</v>
      </c>
      <c r="AD250" s="115">
        <f t="shared" si="167"/>
        <v>2014.8333333333333</v>
      </c>
      <c r="AE250" s="115">
        <f t="shared" si="168"/>
        <v>2018</v>
      </c>
      <c r="AF250" s="115">
        <f t="shared" si="169"/>
        <v>2019.8333333333333</v>
      </c>
      <c r="AG250" s="115">
        <f t="shared" si="170"/>
        <v>2017</v>
      </c>
      <c r="AH250" s="115">
        <f t="shared" si="171"/>
        <v>-8.3333333333333329E-2</v>
      </c>
    </row>
    <row r="251" spans="1:34">
      <c r="A251" s="110">
        <v>120298</v>
      </c>
      <c r="D251" s="136" t="s">
        <v>276</v>
      </c>
      <c r="E251" s="119">
        <v>2015</v>
      </c>
      <c r="F251" s="110">
        <v>2</v>
      </c>
      <c r="G251" s="159">
        <v>0</v>
      </c>
      <c r="H251" s="159"/>
      <c r="I251" s="119" t="s">
        <v>103</v>
      </c>
      <c r="J251" s="119">
        <v>3</v>
      </c>
      <c r="K251" s="113">
        <f t="shared" si="156"/>
        <v>2018</v>
      </c>
      <c r="L251" s="160"/>
      <c r="M251" s="160"/>
      <c r="N251" s="138">
        <v>1655.52</v>
      </c>
      <c r="O251" s="147"/>
      <c r="P251" s="139">
        <f t="shared" si="157"/>
        <v>1655.52</v>
      </c>
      <c r="Q251" s="139">
        <f t="shared" si="158"/>
        <v>45.986666666666672</v>
      </c>
      <c r="R251" s="139">
        <f t="shared" si="159"/>
        <v>551.84</v>
      </c>
      <c r="S251" s="139"/>
      <c r="T251" s="139">
        <f t="shared" si="160"/>
        <v>551.84</v>
      </c>
      <c r="U251" s="139">
        <v>1</v>
      </c>
      <c r="V251" s="139">
        <f t="shared" si="161"/>
        <v>551.84</v>
      </c>
      <c r="W251" s="139"/>
      <c r="X251" s="139">
        <f t="shared" si="162"/>
        <v>1057.6933333333752</v>
      </c>
      <c r="Y251" s="139">
        <f t="shared" si="163"/>
        <v>1057.6933333333752</v>
      </c>
      <c r="Z251" s="139">
        <v>1</v>
      </c>
      <c r="AA251" s="139">
        <f t="shared" si="164"/>
        <v>1057.6933333333752</v>
      </c>
      <c r="AB251" s="139">
        <f t="shared" si="165"/>
        <v>1609.5333333333751</v>
      </c>
      <c r="AC251" s="139">
        <f t="shared" si="166"/>
        <v>321.9066666666248</v>
      </c>
      <c r="AD251" s="115">
        <f t="shared" si="167"/>
        <v>2015.0833333333333</v>
      </c>
      <c r="AE251" s="115">
        <f t="shared" si="168"/>
        <v>2018</v>
      </c>
      <c r="AF251" s="115">
        <f t="shared" si="169"/>
        <v>2018.0833333333333</v>
      </c>
      <c r="AG251" s="115">
        <f t="shared" si="170"/>
        <v>2017</v>
      </c>
      <c r="AH251" s="115">
        <f t="shared" si="171"/>
        <v>-8.3333333333333329E-2</v>
      </c>
    </row>
    <row r="252" spans="1:34">
      <c r="A252" s="110">
        <v>133345</v>
      </c>
      <c r="D252" s="136" t="s">
        <v>277</v>
      </c>
      <c r="E252" s="119">
        <v>2016</v>
      </c>
      <c r="F252" s="110">
        <v>3</v>
      </c>
      <c r="G252" s="159">
        <v>0</v>
      </c>
      <c r="H252" s="159"/>
      <c r="I252" s="119" t="s">
        <v>103</v>
      </c>
      <c r="J252" s="119">
        <v>5</v>
      </c>
      <c r="K252" s="113">
        <f t="shared" si="156"/>
        <v>2021</v>
      </c>
      <c r="L252" s="160"/>
      <c r="M252" s="160"/>
      <c r="N252" s="138">
        <f>2075.02+583.35</f>
        <v>2658.37</v>
      </c>
      <c r="O252" s="147"/>
      <c r="P252" s="139">
        <f t="shared" si="157"/>
        <v>2658.37</v>
      </c>
      <c r="Q252" s="139">
        <f t="shared" si="158"/>
        <v>44.306166666666662</v>
      </c>
      <c r="R252" s="139">
        <f t="shared" si="159"/>
        <v>531.67399999999998</v>
      </c>
      <c r="S252" s="139"/>
      <c r="T252" s="139">
        <f t="shared" si="160"/>
        <v>531.67399999999998</v>
      </c>
      <c r="U252" s="139">
        <v>1</v>
      </c>
      <c r="V252" s="139">
        <f t="shared" si="161"/>
        <v>531.67399999999998</v>
      </c>
      <c r="W252" s="139"/>
      <c r="X252" s="139">
        <f t="shared" si="162"/>
        <v>443.06166666662631</v>
      </c>
      <c r="Y252" s="139">
        <f t="shared" si="163"/>
        <v>443.06166666662631</v>
      </c>
      <c r="Z252" s="139">
        <v>1</v>
      </c>
      <c r="AA252" s="139">
        <f t="shared" si="164"/>
        <v>443.06166666662631</v>
      </c>
      <c r="AB252" s="139">
        <f t="shared" si="165"/>
        <v>974.73566666662623</v>
      </c>
      <c r="AC252" s="139">
        <f t="shared" si="166"/>
        <v>1949.4713333333734</v>
      </c>
      <c r="AD252" s="115">
        <f t="shared" si="167"/>
        <v>2016.1666666666667</v>
      </c>
      <c r="AE252" s="115">
        <f t="shared" si="168"/>
        <v>2018</v>
      </c>
      <c r="AF252" s="115">
        <f t="shared" si="169"/>
        <v>2021.1666666666667</v>
      </c>
      <c r="AG252" s="115">
        <f t="shared" si="170"/>
        <v>2017</v>
      </c>
      <c r="AH252" s="115">
        <f t="shared" si="171"/>
        <v>-8.3333333333333329E-2</v>
      </c>
    </row>
    <row r="253" spans="1:34">
      <c r="A253" s="110">
        <v>176458</v>
      </c>
      <c r="D253" s="136" t="s">
        <v>311</v>
      </c>
      <c r="E253" s="119">
        <v>2017</v>
      </c>
      <c r="F253" s="110">
        <v>2</v>
      </c>
      <c r="G253" s="159">
        <v>0</v>
      </c>
      <c r="H253" s="159"/>
      <c r="I253" s="119" t="s">
        <v>103</v>
      </c>
      <c r="J253" s="119">
        <v>5</v>
      </c>
      <c r="K253" s="113">
        <f t="shared" si="156"/>
        <v>2022</v>
      </c>
      <c r="L253" s="160"/>
      <c r="M253" s="160"/>
      <c r="N253" s="138">
        <v>937.45</v>
      </c>
      <c r="O253" s="147"/>
      <c r="P253" s="139">
        <f t="shared" si="157"/>
        <v>937.45</v>
      </c>
      <c r="Q253" s="139">
        <f t="shared" si="158"/>
        <v>15.624166666666667</v>
      </c>
      <c r="R253" s="139">
        <f t="shared" si="159"/>
        <v>171.86583333334755</v>
      </c>
      <c r="S253" s="139"/>
      <c r="T253" s="139">
        <f t="shared" si="160"/>
        <v>171.86583333334755</v>
      </c>
      <c r="U253" s="139">
        <v>1</v>
      </c>
      <c r="V253" s="139">
        <f t="shared" si="161"/>
        <v>171.86583333334755</v>
      </c>
      <c r="W253" s="139"/>
      <c r="X253" s="139">
        <f t="shared" si="162"/>
        <v>0</v>
      </c>
      <c r="Y253" s="139">
        <f t="shared" si="163"/>
        <v>0</v>
      </c>
      <c r="Z253" s="139">
        <v>1</v>
      </c>
      <c r="AA253" s="139">
        <f t="shared" si="164"/>
        <v>0</v>
      </c>
      <c r="AB253" s="139">
        <f t="shared" si="165"/>
        <v>171.86583333334755</v>
      </c>
      <c r="AC253" s="139">
        <f t="shared" si="166"/>
        <v>382.79208333332622</v>
      </c>
      <c r="AD253" s="115">
        <f t="shared" si="167"/>
        <v>2017.0833333333333</v>
      </c>
      <c r="AE253" s="115">
        <f t="shared" si="168"/>
        <v>2018</v>
      </c>
      <c r="AF253" s="115">
        <f t="shared" si="169"/>
        <v>2022.0833333333333</v>
      </c>
      <c r="AG253" s="115">
        <f t="shared" si="170"/>
        <v>2017</v>
      </c>
      <c r="AH253" s="115">
        <f t="shared" si="171"/>
        <v>-8.3333333333333329E-2</v>
      </c>
    </row>
    <row r="254" spans="1:34">
      <c r="E254" s="119"/>
      <c r="G254" s="110"/>
      <c r="J254" s="119"/>
      <c r="L254" s="179"/>
      <c r="N254" s="180"/>
      <c r="O254" s="147"/>
      <c r="P254" s="147"/>
      <c r="Q254" s="147"/>
      <c r="R254" s="147"/>
      <c r="S254" s="147"/>
      <c r="T254" s="147"/>
      <c r="U254" s="147"/>
      <c r="V254" s="147"/>
      <c r="W254" s="147"/>
      <c r="X254" s="147"/>
      <c r="Y254" s="147"/>
      <c r="Z254" s="147"/>
      <c r="AA254" s="147"/>
      <c r="AB254" s="147"/>
      <c r="AC254" s="147"/>
    </row>
    <row r="255" spans="1:34">
      <c r="D255" s="150" t="s">
        <v>278</v>
      </c>
      <c r="E255" s="151"/>
      <c r="F255" s="152"/>
      <c r="G255" s="152"/>
      <c r="H255" s="152"/>
      <c r="I255" s="152"/>
      <c r="J255" s="151"/>
      <c r="K255" s="167"/>
      <c r="L255" s="168"/>
      <c r="M255" s="141"/>
      <c r="N255" s="169">
        <f>SUM(N242:N254)</f>
        <v>22196.31</v>
      </c>
      <c r="O255" s="170"/>
      <c r="P255" s="169">
        <f>SUM(P242:P254)</f>
        <v>22196.31</v>
      </c>
      <c r="Q255" s="169">
        <f>SUM(Q242:Q254)</f>
        <v>463.61094444444444</v>
      </c>
      <c r="R255" s="169">
        <f>SUM(R242:R254)</f>
        <v>1837.4678333333475</v>
      </c>
      <c r="S255" s="169"/>
      <c r="T255" s="169">
        <f>SUM(T242:T254)</f>
        <v>1837.4678333333475</v>
      </c>
      <c r="U255" s="169"/>
      <c r="V255" s="169">
        <f>SUM(V242:V254)</f>
        <v>1837.4678333333475</v>
      </c>
      <c r="W255" s="169"/>
      <c r="X255" s="169">
        <f>SUM(X242:X254)</f>
        <v>17100.838999999989</v>
      </c>
      <c r="Y255" s="169">
        <f>SUM(Y242:Y254)</f>
        <v>17100.838999999989</v>
      </c>
      <c r="Z255" s="169"/>
      <c r="AA255" s="169">
        <f>SUM(AA242:AA254)</f>
        <v>17100.838999999989</v>
      </c>
      <c r="AB255" s="169">
        <f>SUM(AB242:AB254)</f>
        <v>18938.306833333339</v>
      </c>
      <c r="AC255" s="169">
        <f>SUM(AC242:AC254)</f>
        <v>3708.0120833333358</v>
      </c>
    </row>
    <row r="256" spans="1:34">
      <c r="D256" s="124"/>
      <c r="E256" s="119"/>
      <c r="G256" s="110"/>
      <c r="J256" s="119"/>
      <c r="L256" s="172"/>
      <c r="M256" s="140"/>
      <c r="N256" s="173"/>
      <c r="O256" s="147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73"/>
      <c r="AB256" s="173"/>
      <c r="AC256" s="173"/>
    </row>
    <row r="257" spans="1:34">
      <c r="D257" s="140" t="s">
        <v>279</v>
      </c>
      <c r="E257" s="119"/>
      <c r="G257" s="110"/>
      <c r="J257" s="119"/>
      <c r="L257" s="183"/>
      <c r="N257" s="147"/>
      <c r="O257" s="147"/>
      <c r="P257" s="147"/>
      <c r="Q257" s="147"/>
      <c r="R257" s="147"/>
      <c r="S257" s="147"/>
      <c r="T257" s="147"/>
      <c r="U257" s="147"/>
      <c r="V257" s="147"/>
      <c r="W257" s="147"/>
      <c r="X257" s="147"/>
      <c r="Y257" s="147"/>
      <c r="Z257" s="147"/>
      <c r="AA257" s="147"/>
      <c r="AB257" s="147"/>
      <c r="AC257" s="147"/>
    </row>
    <row r="258" spans="1:34">
      <c r="D258" s="110" t="s">
        <v>280</v>
      </c>
      <c r="E258" s="119">
        <v>2004</v>
      </c>
      <c r="F258" s="110">
        <v>1</v>
      </c>
      <c r="G258" s="159">
        <v>0</v>
      </c>
      <c r="H258" s="159"/>
      <c r="I258" s="119" t="s">
        <v>103</v>
      </c>
      <c r="J258" s="119">
        <v>15</v>
      </c>
      <c r="K258" s="113">
        <f t="shared" ref="K258:K269" si="172">E258+J258</f>
        <v>2019</v>
      </c>
      <c r="L258" s="160"/>
      <c r="M258" s="160"/>
      <c r="N258" s="138">
        <v>107246</v>
      </c>
      <c r="O258" s="147"/>
      <c r="P258" s="139">
        <f t="shared" ref="P258:P269" si="173">N258-N258*G258</f>
        <v>107246</v>
      </c>
      <c r="Q258" s="139">
        <f t="shared" ref="Q258:Q269" si="174">P258/J258/12</f>
        <v>595.81111111111113</v>
      </c>
      <c r="R258" s="139">
        <f t="shared" ref="R258:R269" si="175">IF(O258&gt;0,0,IF(OR(AD258&gt;AE258,AF258&lt;AG258),0,IF(AND(AF258&gt;=AG258,AF258&lt;=AE258),Q258*((AF258-AG258)*12),IF(AND(AG258&lt;=AD258,AE258&gt;=AD258),((AE258-AD258)*12)*Q258,IF(AF258&gt;AE258,12*Q258,0)))))</f>
        <v>7149.7333333333336</v>
      </c>
      <c r="S258" s="139"/>
      <c r="T258" s="139">
        <f t="shared" ref="T258:T269" si="176">IF(S258&gt;0,S258,R258)</f>
        <v>7149.7333333333336</v>
      </c>
      <c r="U258" s="139">
        <v>1</v>
      </c>
      <c r="V258" s="139">
        <f t="shared" ref="V258:V269" si="177">U258*SUM(R258:S258)</f>
        <v>7149.7333333333336</v>
      </c>
      <c r="W258" s="139"/>
      <c r="X258" s="139">
        <f t="shared" ref="X258:X269" si="178">IF(AD258&gt;AE258,0,IF(AF258&lt;AG258,P258,IF(AND(AF258&gt;=AG258,AF258&lt;=AE258),(P258-T258),IF(AND(AG258&lt;=AD258,AE258&gt;=AD258),0,IF(AF258&gt;AE258,((AG258-AD258)*12)*Q258,0)))))</f>
        <v>92946.53333333334</v>
      </c>
      <c r="Y258" s="139">
        <f t="shared" ref="Y258:Y269" si="179">X258*U258</f>
        <v>92946.53333333334</v>
      </c>
      <c r="Z258" s="139">
        <v>1</v>
      </c>
      <c r="AA258" s="139">
        <f t="shared" ref="AA258:AA269" si="180">Y258*Z258</f>
        <v>92946.53333333334</v>
      </c>
      <c r="AB258" s="139">
        <f t="shared" ref="AB258:AB269" si="181">IF(O258&gt;0,0,AA258+V258*Z258)*Z258</f>
        <v>100096.26666666668</v>
      </c>
      <c r="AC258" s="139">
        <f t="shared" ref="AC258:AC269" si="182">IF(O258&gt;0,(N258-AA258)/2,IF(AD258&gt;=AG258,(((N258*U258)*Z258)-AB258)/2,((((N258*U258)*Z258)-AA258)+(((N258*U258)*Z258)-AB258))/2))</f>
        <v>10724.599999999991</v>
      </c>
      <c r="AD258" s="115">
        <f t="shared" ref="AD258:AD269" si="183">$E258+(($F258-1)/12)</f>
        <v>2004</v>
      </c>
      <c r="AE258" s="115">
        <f t="shared" ref="AE258:AE269" si="184">($P$5+1)-($P$2/12)</f>
        <v>2018</v>
      </c>
      <c r="AF258" s="115">
        <f t="shared" ref="AF258:AF269" si="185">$K258+(($F258-1)/12)</f>
        <v>2019</v>
      </c>
      <c r="AG258" s="115">
        <f t="shared" ref="AG258:AG269" si="186">$P$4+($P$3/12)</f>
        <v>2017</v>
      </c>
      <c r="AH258" s="115">
        <f t="shared" ref="AH258:AH269" si="187">$L258+(($M258-1)/12)</f>
        <v>-8.3333333333333329E-2</v>
      </c>
    </row>
    <row r="259" spans="1:34">
      <c r="D259" s="136" t="s">
        <v>281</v>
      </c>
      <c r="E259" s="119">
        <v>2007</v>
      </c>
      <c r="F259" s="110">
        <v>4</v>
      </c>
      <c r="G259" s="159">
        <v>0</v>
      </c>
      <c r="H259" s="159"/>
      <c r="I259" s="119" t="s">
        <v>103</v>
      </c>
      <c r="J259" s="119">
        <v>3</v>
      </c>
      <c r="K259" s="113">
        <f t="shared" si="172"/>
        <v>2010</v>
      </c>
      <c r="L259" s="160"/>
      <c r="M259" s="160"/>
      <c r="N259" s="138">
        <v>5766</v>
      </c>
      <c r="O259" s="147"/>
      <c r="P259" s="139">
        <f t="shared" si="173"/>
        <v>5766</v>
      </c>
      <c r="Q259" s="139">
        <f t="shared" si="174"/>
        <v>160.16666666666666</v>
      </c>
      <c r="R259" s="139">
        <f t="shared" si="175"/>
        <v>0</v>
      </c>
      <c r="S259" s="139"/>
      <c r="T259" s="139">
        <f t="shared" si="176"/>
        <v>0</v>
      </c>
      <c r="U259" s="139">
        <v>1</v>
      </c>
      <c r="V259" s="139">
        <f t="shared" si="177"/>
        <v>0</v>
      </c>
      <c r="W259" s="139"/>
      <c r="X259" s="139">
        <f t="shared" si="178"/>
        <v>5766</v>
      </c>
      <c r="Y259" s="139">
        <f t="shared" si="179"/>
        <v>5766</v>
      </c>
      <c r="Z259" s="139">
        <v>1</v>
      </c>
      <c r="AA259" s="139">
        <f t="shared" si="180"/>
        <v>5766</v>
      </c>
      <c r="AB259" s="139">
        <f t="shared" si="181"/>
        <v>5766</v>
      </c>
      <c r="AC259" s="139">
        <f t="shared" si="182"/>
        <v>0</v>
      </c>
      <c r="AD259" s="115">
        <f t="shared" si="183"/>
        <v>2007.25</v>
      </c>
      <c r="AE259" s="115">
        <f t="shared" si="184"/>
        <v>2018</v>
      </c>
      <c r="AF259" s="115">
        <f t="shared" si="185"/>
        <v>2010.25</v>
      </c>
      <c r="AG259" s="115">
        <f t="shared" si="186"/>
        <v>2017</v>
      </c>
      <c r="AH259" s="115">
        <f t="shared" si="187"/>
        <v>-8.3333333333333329E-2</v>
      </c>
    </row>
    <row r="260" spans="1:34">
      <c r="D260" s="136" t="s">
        <v>282</v>
      </c>
      <c r="E260" s="119">
        <v>2010</v>
      </c>
      <c r="F260" s="110">
        <v>4</v>
      </c>
      <c r="G260" s="159">
        <v>0</v>
      </c>
      <c r="H260" s="159"/>
      <c r="I260" s="119" t="s">
        <v>103</v>
      </c>
      <c r="J260" s="119">
        <v>20</v>
      </c>
      <c r="K260" s="113">
        <f t="shared" si="172"/>
        <v>2030</v>
      </c>
      <c r="L260" s="160"/>
      <c r="M260" s="160"/>
      <c r="N260" s="138">
        <v>7530</v>
      </c>
      <c r="O260" s="147"/>
      <c r="P260" s="139">
        <f t="shared" si="173"/>
        <v>7530</v>
      </c>
      <c r="Q260" s="139">
        <f t="shared" si="174"/>
        <v>31.375</v>
      </c>
      <c r="R260" s="139">
        <f t="shared" si="175"/>
        <v>376.5</v>
      </c>
      <c r="S260" s="139"/>
      <c r="T260" s="139">
        <f t="shared" si="176"/>
        <v>376.5</v>
      </c>
      <c r="U260" s="139">
        <v>1</v>
      </c>
      <c r="V260" s="139">
        <f t="shared" si="177"/>
        <v>376.5</v>
      </c>
      <c r="W260" s="139"/>
      <c r="X260" s="139">
        <f t="shared" si="178"/>
        <v>2541.375</v>
      </c>
      <c r="Y260" s="139">
        <f t="shared" si="179"/>
        <v>2541.375</v>
      </c>
      <c r="Z260" s="139">
        <v>1</v>
      </c>
      <c r="AA260" s="139">
        <f t="shared" si="180"/>
        <v>2541.375</v>
      </c>
      <c r="AB260" s="139">
        <f t="shared" si="181"/>
        <v>2917.875</v>
      </c>
      <c r="AC260" s="139">
        <f t="shared" si="182"/>
        <v>4800.375</v>
      </c>
      <c r="AD260" s="115">
        <f t="shared" si="183"/>
        <v>2010.25</v>
      </c>
      <c r="AE260" s="115">
        <f t="shared" si="184"/>
        <v>2018</v>
      </c>
      <c r="AF260" s="115">
        <f t="shared" si="185"/>
        <v>2030.25</v>
      </c>
      <c r="AG260" s="115">
        <f t="shared" si="186"/>
        <v>2017</v>
      </c>
      <c r="AH260" s="115">
        <f t="shared" si="187"/>
        <v>-8.3333333333333329E-2</v>
      </c>
    </row>
    <row r="261" spans="1:34">
      <c r="D261" s="136" t="s">
        <v>283</v>
      </c>
      <c r="E261" s="119">
        <v>2010</v>
      </c>
      <c r="F261" s="110">
        <v>7</v>
      </c>
      <c r="G261" s="159">
        <v>0</v>
      </c>
      <c r="H261" s="159"/>
      <c r="I261" s="119" t="s">
        <v>103</v>
      </c>
      <c r="J261" s="119">
        <v>20</v>
      </c>
      <c r="K261" s="113">
        <f t="shared" si="172"/>
        <v>2030</v>
      </c>
      <c r="L261" s="160"/>
      <c r="M261" s="160"/>
      <c r="N261" s="138">
        <f>33338.77-4363.77</f>
        <v>28974.999999999996</v>
      </c>
      <c r="O261" s="147"/>
      <c r="P261" s="139">
        <f t="shared" si="173"/>
        <v>28974.999999999996</v>
      </c>
      <c r="Q261" s="139">
        <f t="shared" si="174"/>
        <v>120.72916666666664</v>
      </c>
      <c r="R261" s="139">
        <f t="shared" si="175"/>
        <v>1448.7499999999998</v>
      </c>
      <c r="S261" s="139"/>
      <c r="T261" s="139">
        <f t="shared" si="176"/>
        <v>1448.7499999999998</v>
      </c>
      <c r="U261" s="139">
        <v>1</v>
      </c>
      <c r="V261" s="139">
        <f t="shared" si="177"/>
        <v>1448.7499999999998</v>
      </c>
      <c r="W261" s="139"/>
      <c r="X261" s="139">
        <f t="shared" si="178"/>
        <v>9416.8749999999982</v>
      </c>
      <c r="Y261" s="139">
        <f t="shared" si="179"/>
        <v>9416.8749999999982</v>
      </c>
      <c r="Z261" s="139">
        <v>1</v>
      </c>
      <c r="AA261" s="139">
        <f t="shared" si="180"/>
        <v>9416.8749999999982</v>
      </c>
      <c r="AB261" s="139">
        <f t="shared" si="181"/>
        <v>10865.624999999998</v>
      </c>
      <c r="AC261" s="139">
        <f t="shared" si="182"/>
        <v>18833.75</v>
      </c>
      <c r="AD261" s="115">
        <f t="shared" si="183"/>
        <v>2010.5</v>
      </c>
      <c r="AE261" s="115">
        <f t="shared" si="184"/>
        <v>2018</v>
      </c>
      <c r="AF261" s="115">
        <f t="shared" si="185"/>
        <v>2030.5</v>
      </c>
      <c r="AG261" s="115">
        <f t="shared" si="186"/>
        <v>2017</v>
      </c>
      <c r="AH261" s="115">
        <f t="shared" si="187"/>
        <v>-8.3333333333333329E-2</v>
      </c>
    </row>
    <row r="262" spans="1:34">
      <c r="D262" s="136" t="s">
        <v>284</v>
      </c>
      <c r="E262" s="119">
        <v>2011</v>
      </c>
      <c r="F262" s="110">
        <v>8</v>
      </c>
      <c r="G262" s="159">
        <v>0</v>
      </c>
      <c r="H262" s="159"/>
      <c r="I262" s="119" t="s">
        <v>103</v>
      </c>
      <c r="J262" s="119">
        <v>25</v>
      </c>
      <c r="K262" s="113">
        <f t="shared" si="172"/>
        <v>2036</v>
      </c>
      <c r="L262" s="160"/>
      <c r="M262" s="160"/>
      <c r="N262" s="138">
        <f>1599.75+620.92</f>
        <v>2220.67</v>
      </c>
      <c r="O262" s="147"/>
      <c r="P262" s="139">
        <f t="shared" si="173"/>
        <v>2220.67</v>
      </c>
      <c r="Q262" s="139">
        <f t="shared" si="174"/>
        <v>7.4022333333333341</v>
      </c>
      <c r="R262" s="139">
        <f t="shared" si="175"/>
        <v>88.826800000000006</v>
      </c>
      <c r="S262" s="139"/>
      <c r="T262" s="139">
        <f t="shared" si="176"/>
        <v>88.826800000000006</v>
      </c>
      <c r="U262" s="139">
        <v>1</v>
      </c>
      <c r="V262" s="139">
        <f t="shared" si="177"/>
        <v>88.826800000000006</v>
      </c>
      <c r="W262" s="139"/>
      <c r="X262" s="139">
        <f t="shared" si="178"/>
        <v>481.14516666667345</v>
      </c>
      <c r="Y262" s="139">
        <f t="shared" si="179"/>
        <v>481.14516666667345</v>
      </c>
      <c r="Z262" s="139">
        <v>1</v>
      </c>
      <c r="AA262" s="139">
        <f t="shared" si="180"/>
        <v>481.14516666667345</v>
      </c>
      <c r="AB262" s="139">
        <f t="shared" si="181"/>
        <v>569.97196666667344</v>
      </c>
      <c r="AC262" s="139">
        <f t="shared" si="182"/>
        <v>1695.1114333333267</v>
      </c>
      <c r="AD262" s="115">
        <f t="shared" si="183"/>
        <v>2011.5833333333333</v>
      </c>
      <c r="AE262" s="115">
        <f t="shared" si="184"/>
        <v>2018</v>
      </c>
      <c r="AF262" s="115">
        <f t="shared" si="185"/>
        <v>2036.5833333333333</v>
      </c>
      <c r="AG262" s="115">
        <f t="shared" si="186"/>
        <v>2017</v>
      </c>
      <c r="AH262" s="115">
        <f t="shared" si="187"/>
        <v>-8.3333333333333329E-2</v>
      </c>
    </row>
    <row r="263" spans="1:34">
      <c r="D263" s="136" t="s">
        <v>285</v>
      </c>
      <c r="E263" s="119">
        <v>2011</v>
      </c>
      <c r="F263" s="110">
        <v>12</v>
      </c>
      <c r="G263" s="159">
        <v>0</v>
      </c>
      <c r="H263" s="159"/>
      <c r="I263" s="119" t="s">
        <v>103</v>
      </c>
      <c r="J263" s="119">
        <v>12</v>
      </c>
      <c r="K263" s="113">
        <f t="shared" si="172"/>
        <v>2023</v>
      </c>
      <c r="L263" s="160"/>
      <c r="M263" s="160"/>
      <c r="N263" s="138">
        <v>11393</v>
      </c>
      <c r="O263" s="147"/>
      <c r="P263" s="139">
        <f t="shared" si="173"/>
        <v>11393</v>
      </c>
      <c r="Q263" s="139">
        <f t="shared" si="174"/>
        <v>79.118055555555557</v>
      </c>
      <c r="R263" s="139">
        <f t="shared" si="175"/>
        <v>949.41666666666674</v>
      </c>
      <c r="S263" s="139"/>
      <c r="T263" s="139">
        <f t="shared" si="176"/>
        <v>949.41666666666674</v>
      </c>
      <c r="U263" s="139">
        <v>1</v>
      </c>
      <c r="V263" s="139">
        <f t="shared" si="177"/>
        <v>949.41666666666674</v>
      </c>
      <c r="W263" s="139"/>
      <c r="X263" s="139">
        <f t="shared" si="178"/>
        <v>4826.2013888888168</v>
      </c>
      <c r="Y263" s="139">
        <f t="shared" si="179"/>
        <v>4826.2013888888168</v>
      </c>
      <c r="Z263" s="139">
        <v>1</v>
      </c>
      <c r="AA263" s="139">
        <f t="shared" si="180"/>
        <v>4826.2013888888168</v>
      </c>
      <c r="AB263" s="139">
        <f t="shared" si="181"/>
        <v>5775.6180555554838</v>
      </c>
      <c r="AC263" s="139">
        <f t="shared" si="182"/>
        <v>6092.0902777778501</v>
      </c>
      <c r="AD263" s="115">
        <f t="shared" si="183"/>
        <v>2011.9166666666667</v>
      </c>
      <c r="AE263" s="115">
        <f t="shared" si="184"/>
        <v>2018</v>
      </c>
      <c r="AF263" s="115">
        <f t="shared" si="185"/>
        <v>2023.9166666666667</v>
      </c>
      <c r="AG263" s="115">
        <f t="shared" si="186"/>
        <v>2017</v>
      </c>
      <c r="AH263" s="115">
        <f t="shared" si="187"/>
        <v>-8.3333333333333329E-2</v>
      </c>
    </row>
    <row r="264" spans="1:34">
      <c r="D264" s="136" t="s">
        <v>286</v>
      </c>
      <c r="E264" s="119">
        <v>2012</v>
      </c>
      <c r="F264" s="110">
        <v>8</v>
      </c>
      <c r="G264" s="159">
        <v>0</v>
      </c>
      <c r="H264" s="159"/>
      <c r="I264" s="119" t="s">
        <v>103</v>
      </c>
      <c r="J264" s="119">
        <v>25</v>
      </c>
      <c r="K264" s="113">
        <f t="shared" si="172"/>
        <v>2037</v>
      </c>
      <c r="L264" s="160"/>
      <c r="M264" s="160"/>
      <c r="N264" s="138">
        <v>31560</v>
      </c>
      <c r="O264" s="147"/>
      <c r="P264" s="139">
        <f t="shared" si="173"/>
        <v>31560</v>
      </c>
      <c r="Q264" s="139">
        <f t="shared" si="174"/>
        <v>105.2</v>
      </c>
      <c r="R264" s="139">
        <f t="shared" si="175"/>
        <v>1262.4000000000001</v>
      </c>
      <c r="S264" s="139"/>
      <c r="T264" s="139">
        <f t="shared" si="176"/>
        <v>1262.4000000000001</v>
      </c>
      <c r="U264" s="139">
        <v>1</v>
      </c>
      <c r="V264" s="139">
        <f t="shared" si="177"/>
        <v>1262.4000000000001</v>
      </c>
      <c r="W264" s="139"/>
      <c r="X264" s="139">
        <f t="shared" si="178"/>
        <v>5575.6000000000959</v>
      </c>
      <c r="Y264" s="139">
        <f t="shared" si="179"/>
        <v>5575.6000000000959</v>
      </c>
      <c r="Z264" s="139">
        <v>1</v>
      </c>
      <c r="AA264" s="139">
        <f t="shared" si="180"/>
        <v>5575.6000000000959</v>
      </c>
      <c r="AB264" s="139">
        <f t="shared" si="181"/>
        <v>6838.0000000000964</v>
      </c>
      <c r="AC264" s="139">
        <f t="shared" si="182"/>
        <v>25353.199999999903</v>
      </c>
      <c r="AD264" s="115">
        <f t="shared" si="183"/>
        <v>2012.5833333333333</v>
      </c>
      <c r="AE264" s="115">
        <f t="shared" si="184"/>
        <v>2018</v>
      </c>
      <c r="AF264" s="115">
        <f t="shared" si="185"/>
        <v>2037.5833333333333</v>
      </c>
      <c r="AG264" s="115">
        <f t="shared" si="186"/>
        <v>2017</v>
      </c>
      <c r="AH264" s="115">
        <f t="shared" si="187"/>
        <v>-8.3333333333333329E-2</v>
      </c>
    </row>
    <row r="265" spans="1:34">
      <c r="B265" s="110">
        <v>107484</v>
      </c>
      <c r="D265" s="136" t="s">
        <v>287</v>
      </c>
      <c r="E265" s="119">
        <v>2013</v>
      </c>
      <c r="F265" s="110">
        <v>8</v>
      </c>
      <c r="G265" s="159">
        <v>0</v>
      </c>
      <c r="H265" s="159"/>
      <c r="I265" s="119" t="s">
        <v>103</v>
      </c>
      <c r="J265" s="119">
        <v>10</v>
      </c>
      <c r="K265" s="113">
        <f t="shared" si="172"/>
        <v>2023</v>
      </c>
      <c r="L265" s="160"/>
      <c r="M265" s="160"/>
      <c r="N265" s="138">
        <v>11556.16</v>
      </c>
      <c r="O265" s="147"/>
      <c r="P265" s="139">
        <f t="shared" si="173"/>
        <v>11556.16</v>
      </c>
      <c r="Q265" s="139">
        <f t="shared" si="174"/>
        <v>96.301333333333332</v>
      </c>
      <c r="R265" s="139">
        <f t="shared" si="175"/>
        <v>1155.616</v>
      </c>
      <c r="S265" s="139"/>
      <c r="T265" s="139">
        <f t="shared" si="176"/>
        <v>1155.616</v>
      </c>
      <c r="U265" s="139">
        <v>1</v>
      </c>
      <c r="V265" s="139">
        <f t="shared" si="177"/>
        <v>1155.616</v>
      </c>
      <c r="W265" s="139"/>
      <c r="X265" s="139">
        <f t="shared" si="178"/>
        <v>3948.3546666667544</v>
      </c>
      <c r="Y265" s="139">
        <f t="shared" si="179"/>
        <v>3948.3546666667544</v>
      </c>
      <c r="Z265" s="139">
        <v>1</v>
      </c>
      <c r="AA265" s="139">
        <f t="shared" si="180"/>
        <v>3948.3546666667544</v>
      </c>
      <c r="AB265" s="139">
        <f t="shared" si="181"/>
        <v>5103.9706666667544</v>
      </c>
      <c r="AC265" s="139">
        <f t="shared" si="182"/>
        <v>7029.9973333332455</v>
      </c>
      <c r="AD265" s="115">
        <f t="shared" si="183"/>
        <v>2013.5833333333333</v>
      </c>
      <c r="AE265" s="115">
        <f t="shared" si="184"/>
        <v>2018</v>
      </c>
      <c r="AF265" s="115">
        <f t="shared" si="185"/>
        <v>2023.5833333333333</v>
      </c>
      <c r="AG265" s="115">
        <f t="shared" si="186"/>
        <v>2017</v>
      </c>
      <c r="AH265" s="115">
        <f t="shared" si="187"/>
        <v>-8.3333333333333329E-2</v>
      </c>
    </row>
    <row r="266" spans="1:34">
      <c r="B266" s="110">
        <v>107856</v>
      </c>
      <c r="D266" s="136" t="s">
        <v>288</v>
      </c>
      <c r="E266" s="119">
        <v>2013</v>
      </c>
      <c r="F266" s="110">
        <v>8</v>
      </c>
      <c r="G266" s="159">
        <v>0</v>
      </c>
      <c r="H266" s="159"/>
      <c r="I266" s="119" t="s">
        <v>103</v>
      </c>
      <c r="J266" s="119">
        <v>10</v>
      </c>
      <c r="K266" s="113">
        <f t="shared" si="172"/>
        <v>2023</v>
      </c>
      <c r="L266" s="160"/>
      <c r="M266" s="160"/>
      <c r="N266" s="138">
        <v>32340</v>
      </c>
      <c r="O266" s="147"/>
      <c r="P266" s="139">
        <f t="shared" si="173"/>
        <v>32340</v>
      </c>
      <c r="Q266" s="139">
        <f t="shared" si="174"/>
        <v>269.5</v>
      </c>
      <c r="R266" s="139">
        <f t="shared" si="175"/>
        <v>3234</v>
      </c>
      <c r="S266" s="139"/>
      <c r="T266" s="139">
        <f t="shared" si="176"/>
        <v>3234</v>
      </c>
      <c r="U266" s="139">
        <v>1</v>
      </c>
      <c r="V266" s="139">
        <f t="shared" si="177"/>
        <v>3234</v>
      </c>
      <c r="W266" s="139"/>
      <c r="X266" s="139">
        <f t="shared" si="178"/>
        <v>11049.500000000246</v>
      </c>
      <c r="Y266" s="139">
        <f t="shared" si="179"/>
        <v>11049.500000000246</v>
      </c>
      <c r="Z266" s="139">
        <v>1</v>
      </c>
      <c r="AA266" s="139">
        <f t="shared" si="180"/>
        <v>11049.500000000246</v>
      </c>
      <c r="AB266" s="139">
        <f t="shared" si="181"/>
        <v>14283.500000000246</v>
      </c>
      <c r="AC266" s="139">
        <f t="shared" si="182"/>
        <v>19673.499999999753</v>
      </c>
      <c r="AD266" s="115">
        <f t="shared" si="183"/>
        <v>2013.5833333333333</v>
      </c>
      <c r="AE266" s="115">
        <f t="shared" si="184"/>
        <v>2018</v>
      </c>
      <c r="AF266" s="115">
        <f t="shared" si="185"/>
        <v>2023.5833333333333</v>
      </c>
      <c r="AG266" s="115">
        <f t="shared" si="186"/>
        <v>2017</v>
      </c>
      <c r="AH266" s="115">
        <f t="shared" si="187"/>
        <v>-8.3333333333333329E-2</v>
      </c>
    </row>
    <row r="267" spans="1:34">
      <c r="A267" s="110">
        <v>124346</v>
      </c>
      <c r="D267" s="136" t="s">
        <v>289</v>
      </c>
      <c r="E267" s="119">
        <v>2015</v>
      </c>
      <c r="F267" s="110">
        <v>7</v>
      </c>
      <c r="G267" s="159">
        <v>0</v>
      </c>
      <c r="H267" s="159"/>
      <c r="I267" s="119" t="s">
        <v>103</v>
      </c>
      <c r="J267" s="119">
        <v>10</v>
      </c>
      <c r="K267" s="113">
        <f t="shared" si="172"/>
        <v>2025</v>
      </c>
      <c r="L267" s="160"/>
      <c r="M267" s="160"/>
      <c r="N267" s="138">
        <v>26050.41</v>
      </c>
      <c r="O267" s="147"/>
      <c r="P267" s="139">
        <f t="shared" si="173"/>
        <v>26050.41</v>
      </c>
      <c r="Q267" s="139">
        <f t="shared" si="174"/>
        <v>217.08675000000002</v>
      </c>
      <c r="R267" s="139">
        <f t="shared" si="175"/>
        <v>2605.0410000000002</v>
      </c>
      <c r="S267" s="139"/>
      <c r="T267" s="139">
        <f t="shared" si="176"/>
        <v>2605.0410000000002</v>
      </c>
      <c r="U267" s="139">
        <v>1</v>
      </c>
      <c r="V267" s="139">
        <f t="shared" si="177"/>
        <v>2605.0410000000002</v>
      </c>
      <c r="W267" s="139"/>
      <c r="X267" s="139">
        <f t="shared" si="178"/>
        <v>3907.5615000000003</v>
      </c>
      <c r="Y267" s="139">
        <f t="shared" si="179"/>
        <v>3907.5615000000003</v>
      </c>
      <c r="Z267" s="139">
        <v>1</v>
      </c>
      <c r="AA267" s="139">
        <f t="shared" si="180"/>
        <v>3907.5615000000003</v>
      </c>
      <c r="AB267" s="139">
        <f t="shared" si="181"/>
        <v>6512.6025000000009</v>
      </c>
      <c r="AC267" s="139">
        <f t="shared" si="182"/>
        <v>20840.328000000001</v>
      </c>
      <c r="AD267" s="115">
        <f t="shared" si="183"/>
        <v>2015.5</v>
      </c>
      <c r="AE267" s="115">
        <f t="shared" si="184"/>
        <v>2018</v>
      </c>
      <c r="AF267" s="115">
        <f t="shared" si="185"/>
        <v>2025.5</v>
      </c>
      <c r="AG267" s="115">
        <f t="shared" si="186"/>
        <v>2017</v>
      </c>
      <c r="AH267" s="115">
        <f t="shared" si="187"/>
        <v>-8.3333333333333329E-2</v>
      </c>
    </row>
    <row r="268" spans="1:34">
      <c r="A268" s="110" t="s">
        <v>303</v>
      </c>
      <c r="D268" s="136" t="s">
        <v>304</v>
      </c>
      <c r="E268" s="119">
        <v>2017</v>
      </c>
      <c r="F268" s="110">
        <v>7</v>
      </c>
      <c r="G268" s="159">
        <v>0</v>
      </c>
      <c r="H268" s="159"/>
      <c r="I268" s="119" t="s">
        <v>103</v>
      </c>
      <c r="J268" s="119">
        <v>5</v>
      </c>
      <c r="K268" s="113">
        <f t="shared" si="172"/>
        <v>2022</v>
      </c>
      <c r="L268" s="160"/>
      <c r="M268" s="160"/>
      <c r="N268" s="138">
        <v>344.96</v>
      </c>
      <c r="O268" s="147"/>
      <c r="P268" s="139">
        <f t="shared" si="173"/>
        <v>344.96</v>
      </c>
      <c r="Q268" s="139">
        <f t="shared" si="174"/>
        <v>5.7493333333333325</v>
      </c>
      <c r="R268" s="139">
        <f t="shared" si="175"/>
        <v>34.495999999999995</v>
      </c>
      <c r="S268" s="139"/>
      <c r="T268" s="139">
        <f t="shared" si="176"/>
        <v>34.495999999999995</v>
      </c>
      <c r="U268" s="139">
        <v>1</v>
      </c>
      <c r="V268" s="139">
        <f t="shared" si="177"/>
        <v>34.495999999999995</v>
      </c>
      <c r="W268" s="139"/>
      <c r="X268" s="139">
        <f t="shared" si="178"/>
        <v>0</v>
      </c>
      <c r="Y268" s="139">
        <f t="shared" si="179"/>
        <v>0</v>
      </c>
      <c r="Z268" s="139">
        <v>1</v>
      </c>
      <c r="AA268" s="139">
        <f t="shared" si="180"/>
        <v>0</v>
      </c>
      <c r="AB268" s="139">
        <f t="shared" si="181"/>
        <v>34.495999999999995</v>
      </c>
      <c r="AC268" s="139">
        <f t="shared" si="182"/>
        <v>155.232</v>
      </c>
      <c r="AD268" s="115">
        <f t="shared" si="183"/>
        <v>2017.5</v>
      </c>
      <c r="AE268" s="115">
        <f t="shared" si="184"/>
        <v>2018</v>
      </c>
      <c r="AF268" s="115">
        <f t="shared" si="185"/>
        <v>2022.5</v>
      </c>
      <c r="AG268" s="115">
        <f t="shared" si="186"/>
        <v>2017</v>
      </c>
      <c r="AH268" s="115">
        <f t="shared" si="187"/>
        <v>-8.3333333333333329E-2</v>
      </c>
    </row>
    <row r="269" spans="1:34">
      <c r="A269" s="110">
        <v>184583</v>
      </c>
      <c r="D269" s="136" t="s">
        <v>305</v>
      </c>
      <c r="E269" s="119">
        <v>2017</v>
      </c>
      <c r="F269" s="110">
        <v>7</v>
      </c>
      <c r="G269" s="159">
        <v>0</v>
      </c>
      <c r="H269" s="159"/>
      <c r="I269" s="119" t="s">
        <v>103</v>
      </c>
      <c r="J269" s="119">
        <v>3</v>
      </c>
      <c r="K269" s="113">
        <f t="shared" si="172"/>
        <v>2020</v>
      </c>
      <c r="L269" s="160"/>
      <c r="M269" s="160"/>
      <c r="N269" s="138">
        <v>1046.58</v>
      </c>
      <c r="O269" s="147"/>
      <c r="P269" s="139">
        <f t="shared" si="173"/>
        <v>1046.58</v>
      </c>
      <c r="Q269" s="139">
        <f t="shared" si="174"/>
        <v>29.071666666666662</v>
      </c>
      <c r="R269" s="139">
        <f t="shared" si="175"/>
        <v>174.42999999999998</v>
      </c>
      <c r="S269" s="139"/>
      <c r="T269" s="139">
        <f t="shared" si="176"/>
        <v>174.42999999999998</v>
      </c>
      <c r="U269" s="139">
        <v>1</v>
      </c>
      <c r="V269" s="139">
        <f t="shared" si="177"/>
        <v>174.42999999999998</v>
      </c>
      <c r="W269" s="139"/>
      <c r="X269" s="139">
        <f t="shared" si="178"/>
        <v>0</v>
      </c>
      <c r="Y269" s="139">
        <f t="shared" si="179"/>
        <v>0</v>
      </c>
      <c r="Z269" s="139">
        <v>1</v>
      </c>
      <c r="AA269" s="139">
        <f t="shared" si="180"/>
        <v>0</v>
      </c>
      <c r="AB269" s="139">
        <f t="shared" si="181"/>
        <v>174.42999999999998</v>
      </c>
      <c r="AC269" s="139">
        <f t="shared" si="182"/>
        <v>436.07499999999999</v>
      </c>
      <c r="AD269" s="115">
        <f t="shared" si="183"/>
        <v>2017.5</v>
      </c>
      <c r="AE269" s="115">
        <f t="shared" si="184"/>
        <v>2018</v>
      </c>
      <c r="AF269" s="115">
        <f t="shared" si="185"/>
        <v>2020.5</v>
      </c>
      <c r="AG269" s="115">
        <f t="shared" si="186"/>
        <v>2017</v>
      </c>
      <c r="AH269" s="115">
        <f t="shared" si="187"/>
        <v>-8.3333333333333329E-2</v>
      </c>
    </row>
    <row r="270" spans="1:34">
      <c r="E270" s="119"/>
      <c r="G270" s="110"/>
      <c r="J270" s="119"/>
      <c r="L270" s="183"/>
      <c r="N270" s="147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</row>
    <row r="271" spans="1:34" s="140" customFormat="1">
      <c r="D271" s="150" t="s">
        <v>290</v>
      </c>
      <c r="E271" s="142"/>
      <c r="F271" s="141"/>
      <c r="G271" s="141"/>
      <c r="H271" s="141"/>
      <c r="I271" s="141"/>
      <c r="J271" s="142"/>
      <c r="K271" s="143"/>
      <c r="L271" s="184"/>
      <c r="M271" s="141"/>
      <c r="N271" s="144">
        <f>SUM(N258:N270)</f>
        <v>266028.78000000003</v>
      </c>
      <c r="O271" s="144"/>
      <c r="P271" s="144">
        <f>SUM(P258:P270)</f>
        <v>266028.78000000003</v>
      </c>
      <c r="Q271" s="144">
        <f>SUM(Q258:Q270)</f>
        <v>1717.5113166666667</v>
      </c>
      <c r="R271" s="144">
        <f>SUM(R258:R270)</f>
        <v>18479.209800000001</v>
      </c>
      <c r="S271" s="144"/>
      <c r="T271" s="144">
        <f>SUM(T258:T270)</f>
        <v>18479.209800000001</v>
      </c>
      <c r="U271" s="144"/>
      <c r="V271" s="144">
        <f>SUM(V258:V270)</f>
        <v>18479.209800000001</v>
      </c>
      <c r="W271" s="144"/>
      <c r="X271" s="144">
        <f>SUM(X258:X270)</f>
        <v>140459.14605555593</v>
      </c>
      <c r="Y271" s="144">
        <f>SUM(Y258:Y270)</f>
        <v>140459.14605555593</v>
      </c>
      <c r="Z271" s="144"/>
      <c r="AA271" s="144">
        <f>SUM(AA258:AA270)</f>
        <v>140459.14605555593</v>
      </c>
      <c r="AB271" s="144">
        <f>SUM(AB258:AB270)</f>
        <v>158938.35585555594</v>
      </c>
      <c r="AC271" s="144">
        <f>SUM(AC258:AC270)</f>
        <v>115634.25904444407</v>
      </c>
    </row>
    <row r="272" spans="1:34">
      <c r="E272" s="119"/>
      <c r="G272" s="110"/>
      <c r="J272" s="119"/>
      <c r="L272" s="183"/>
      <c r="N272" s="183"/>
    </row>
    <row r="273" spans="1:34">
      <c r="E273" s="119"/>
      <c r="G273" s="110"/>
      <c r="J273" s="119"/>
      <c r="L273" s="183"/>
      <c r="N273" s="183"/>
    </row>
    <row r="274" spans="1:34" ht="12" thickBot="1">
      <c r="D274" s="185" t="s">
        <v>291</v>
      </c>
      <c r="E274" s="186"/>
      <c r="F274" s="187"/>
      <c r="G274" s="187"/>
      <c r="H274" s="187"/>
      <c r="I274" s="187"/>
      <c r="J274" s="186"/>
      <c r="K274" s="188"/>
      <c r="L274" s="189"/>
      <c r="M274" s="187"/>
      <c r="N274" s="190">
        <f>N271+N255+N240+N216+N208+N174+N156+N186</f>
        <v>1265380.4950000001</v>
      </c>
      <c r="O274" s="187"/>
      <c r="P274" s="190">
        <f>P271+P255+P240+P216+P208+P174+P156+P186</f>
        <v>1265140.4950000001</v>
      </c>
      <c r="Q274" s="190">
        <f>Q271+Q255+Q240+Q216+Q208+Q174+Q156+Q186</f>
        <v>11887.321273015872</v>
      </c>
      <c r="R274" s="190">
        <f>R271+R255+R240+R216+R208+R174+R156+R186</f>
        <v>63889.345323809401</v>
      </c>
      <c r="S274" s="187"/>
      <c r="T274" s="190">
        <f>T271+T255+T240+T216+T208+T174+T156+T186</f>
        <v>63889.345323809401</v>
      </c>
      <c r="U274" s="187"/>
      <c r="V274" s="190">
        <f>V271+V255+V240+V216+V208+V174+V156+V186</f>
        <v>64226.490046031773</v>
      </c>
      <c r="W274" s="187"/>
      <c r="X274" s="190">
        <f>X271+X255+X240+X216+X208+X174+X156+X186</f>
        <v>717160.10270436527</v>
      </c>
      <c r="Y274" s="190">
        <f>Y271+Y255+Y240+Y216+Y208+Y174+Y156+Y186</f>
        <v>717160.10270436527</v>
      </c>
      <c r="Z274" s="187"/>
      <c r="AA274" s="190">
        <f>AA271+AA255+AA240+AA216+AA208+AA174+AA156+AA186</f>
        <v>807854.05714880954</v>
      </c>
      <c r="AB274" s="190">
        <f>AB271+AB255+AB240+AB216+AB208+AB174+AB156+AB186</f>
        <v>875221.48219484254</v>
      </c>
      <c r="AC274" s="190">
        <f>AC271+AC255+AC240+AC216+AC208+AC174+AC156+AC186</f>
        <v>400794.30699484079</v>
      </c>
    </row>
    <row r="275" spans="1:34" ht="12" thickTop="1">
      <c r="E275" s="119"/>
      <c r="G275" s="110"/>
      <c r="J275" s="119"/>
      <c r="L275" s="183"/>
      <c r="N275" s="183"/>
    </row>
    <row r="276" spans="1:34">
      <c r="C276" s="119"/>
      <c r="D276" s="113"/>
      <c r="E276" s="183"/>
      <c r="G276" s="183"/>
      <c r="L276" s="183"/>
      <c r="N276" s="183"/>
    </row>
    <row r="277" spans="1:34">
      <c r="E277" s="175"/>
      <c r="F277" s="175"/>
      <c r="G277" s="175"/>
      <c r="I277" s="175"/>
      <c r="J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AB277" s="175"/>
      <c r="AC277" s="175"/>
      <c r="AD277" s="175"/>
      <c r="AE277" s="175"/>
      <c r="AF277" s="175"/>
      <c r="AG277" s="175"/>
      <c r="AH277" s="175"/>
    </row>
    <row r="278" spans="1:34">
      <c r="E278" s="175"/>
      <c r="F278" s="175"/>
      <c r="G278" s="175"/>
      <c r="I278" s="175"/>
      <c r="J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AA278" s="140"/>
      <c r="AB278" s="182"/>
      <c r="AC278" s="182"/>
      <c r="AD278" s="182"/>
      <c r="AE278" s="182"/>
      <c r="AF278" s="182"/>
      <c r="AG278" s="182"/>
      <c r="AH278" s="182"/>
    </row>
    <row r="279" spans="1:34">
      <c r="D279" s="191" t="s">
        <v>322</v>
      </c>
      <c r="E279" s="182"/>
      <c r="F279" s="182"/>
      <c r="G279" s="182"/>
      <c r="H279" s="140"/>
      <c r="I279" s="182"/>
      <c r="J279" s="182"/>
      <c r="K279" s="145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AB279" s="175"/>
      <c r="AC279" s="175"/>
      <c r="AD279" s="175"/>
      <c r="AE279" s="175"/>
      <c r="AF279" s="175"/>
      <c r="AG279" s="175"/>
      <c r="AH279" s="175"/>
    </row>
    <row r="280" spans="1:34" s="112" customFormat="1">
      <c r="A280" s="112">
        <v>168614</v>
      </c>
      <c r="C280" s="112">
        <v>409</v>
      </c>
      <c r="D280" s="112" t="s">
        <v>300</v>
      </c>
      <c r="E280" s="192">
        <v>2008</v>
      </c>
      <c r="F280" s="112">
        <v>10</v>
      </c>
      <c r="G280" s="232">
        <v>0</v>
      </c>
      <c r="H280" s="232"/>
      <c r="I280" s="192" t="s">
        <v>103</v>
      </c>
      <c r="J280" s="192">
        <v>3</v>
      </c>
      <c r="K280" s="233">
        <f>E280+J280</f>
        <v>2011</v>
      </c>
      <c r="L280" s="234"/>
      <c r="N280" s="235">
        <v>2500</v>
      </c>
      <c r="O280" s="235"/>
      <c r="P280" s="194">
        <f>N280-N280*G280</f>
        <v>2500</v>
      </c>
      <c r="Q280" s="194">
        <f>P280/J280/12</f>
        <v>69.444444444444443</v>
      </c>
      <c r="R280" s="194">
        <f>IF(O280&gt;0,0,IF(OR(AD280&gt;AE280,AF280&lt;AG280),0,IF(AND(AF280&gt;=AG280,AF280&lt;=AE280),Q280*((AF280-AG280)*12),IF(AND(AG280&lt;=AD280,AE280&gt;=AD280),((AE280-AD280)*12)*Q280,IF(AF280&gt;AE280,12*Q280,0)))))</f>
        <v>0</v>
      </c>
      <c r="S280" s="194"/>
      <c r="T280" s="194">
        <f>IF(S280&gt;0,S280,R280)</f>
        <v>0</v>
      </c>
      <c r="U280" s="194">
        <v>1</v>
      </c>
      <c r="V280" s="194">
        <f>U280*SUM(R280:S280)</f>
        <v>0</v>
      </c>
      <c r="W280" s="194"/>
      <c r="X280" s="194">
        <f>IF(AD280&gt;AE280,0,IF(AF280&lt;AG280,P280,IF(AND(AF280&gt;=AG280,AF280&lt;=AE280),(P280-T280),IF(AND(AG280&lt;=AD280,AE280&gt;=AD280),0,IF(AF280&gt;AE280,((AG280-AD280)*12)*Q280,0)))))</f>
        <v>2500</v>
      </c>
      <c r="Y280" s="194">
        <f>X280*U280</f>
        <v>2500</v>
      </c>
      <c r="Z280" s="194">
        <v>1</v>
      </c>
      <c r="AA280" s="194">
        <f>Y280*Z280</f>
        <v>2500</v>
      </c>
      <c r="AB280" s="194">
        <f>IF(O280&gt;0,0,AA280+V280*Z280)*Z280</f>
        <v>2500</v>
      </c>
      <c r="AC280" s="194">
        <f>IF(O280&gt;0,(N280-AA280)/2,IF(AD280&gt;=AG280,(((N280*U280)*Z280)-AB280)/2,((((N280*U280)*Z280)-AA280)+(((N280*U280)*Z280)-AB280))/2))</f>
        <v>0</v>
      </c>
      <c r="AD280" s="193">
        <f>$E280+(($F280-1)/12)</f>
        <v>2008.75</v>
      </c>
      <c r="AE280" s="193">
        <f t="shared" si="152"/>
        <v>2018</v>
      </c>
      <c r="AF280" s="193">
        <f>$K280+(($F280-1)/12)</f>
        <v>2011.75</v>
      </c>
      <c r="AG280" s="193">
        <f t="shared" si="154"/>
        <v>2017</v>
      </c>
      <c r="AH280" s="193">
        <f>$L280+(($M280-1)/12)</f>
        <v>-8.3333333333333329E-2</v>
      </c>
    </row>
    <row r="281" spans="1:34">
      <c r="D281" s="136" t="s">
        <v>260</v>
      </c>
      <c r="E281" s="119">
        <v>2011</v>
      </c>
      <c r="F281" s="110">
        <v>7</v>
      </c>
      <c r="G281" s="159">
        <v>0</v>
      </c>
      <c r="H281" s="159"/>
      <c r="I281" s="119" t="s">
        <v>103</v>
      </c>
      <c r="J281" s="119">
        <v>5</v>
      </c>
      <c r="K281" s="113">
        <f>E281+J281</f>
        <v>2016</v>
      </c>
      <c r="L281" s="160"/>
      <c r="N281" s="138">
        <f>+'2120 Depr - Orig'!P280</f>
        <v>20099.805699999997</v>
      </c>
      <c r="O281" s="147"/>
      <c r="P281" s="139">
        <f>N281-N281*G281</f>
        <v>20099.805699999997</v>
      </c>
      <c r="Q281" s="139">
        <f>P281/J281/12</f>
        <v>334.9967616666666</v>
      </c>
      <c r="R281" s="139">
        <f>IF(O281&gt;0,0,IF(OR(AD281&gt;AE281,AF281&lt;AG281),0,IF(AND(AF281&gt;=AG281,AF281&lt;=AE281),Q281*((AF281-AG281)*12),IF(AND(AG281&lt;=AD281,AE281&gt;=AD281),((AE281-AD281)*12)*Q281,IF(AF281&gt;AE281,12*Q281,0)))))</f>
        <v>0</v>
      </c>
      <c r="S281" s="139"/>
      <c r="T281" s="139">
        <f>IF(S281&gt;0,S281,R281)</f>
        <v>0</v>
      </c>
      <c r="U281" s="139">
        <v>1</v>
      </c>
      <c r="V281" s="139">
        <f>U281*SUM(R281:S281)</f>
        <v>0</v>
      </c>
      <c r="W281" s="139"/>
      <c r="X281" s="139">
        <f>IF(AD281&gt;AE281,0,IF(AF281&lt;AG281,P281,IF(AND(AF281&gt;=AG281,AF281&lt;=AE281),(P281-T281),IF(AND(AG281&lt;=AD281,AE281&gt;=AD281),0,IF(AF281&gt;AE281,((AG281-AD281)*12)*Q281,0)))))</f>
        <v>20099.805699999997</v>
      </c>
      <c r="Y281" s="139">
        <f>X281*U281</f>
        <v>20099.805699999997</v>
      </c>
      <c r="Z281" s="139">
        <v>1</v>
      </c>
      <c r="AA281" s="139">
        <f>Y281*Z281</f>
        <v>20099.805699999997</v>
      </c>
      <c r="AB281" s="139">
        <f>IF(O281&gt;0,0,AA281+V281*Z281)*Z281</f>
        <v>20099.805699999997</v>
      </c>
      <c r="AC281" s="139">
        <f>IF(O281&gt;0,(N281-AA281)/2,IF(AD281&gt;=AG281,(((N281*U281)*Z281)-AB281)/2,((((N281*U281)*Z281)-AA281)+(((N281*U281)*Z281)-AB281))/2))</f>
        <v>0</v>
      </c>
      <c r="AD281" s="115">
        <f>$E281+(($F281-1)/12)</f>
        <v>2011.5</v>
      </c>
      <c r="AE281" s="115">
        <f>($P$5+1)-($P$2/12)</f>
        <v>2018</v>
      </c>
      <c r="AF281" s="115">
        <f>$K281+(($F281-1)/12)</f>
        <v>2016.5</v>
      </c>
      <c r="AG281" s="115">
        <f>$P$4+($P$3/12)</f>
        <v>2017</v>
      </c>
      <c r="AH281" s="115">
        <f>$L281+(($M281-1)/12)</f>
        <v>-8.3333333333333329E-2</v>
      </c>
    </row>
    <row r="282" spans="1:34" s="196" customFormat="1">
      <c r="D282" s="197" t="s">
        <v>349</v>
      </c>
      <c r="E282" s="198">
        <v>2017</v>
      </c>
      <c r="F282" s="196">
        <v>1</v>
      </c>
      <c r="G282" s="225">
        <v>0</v>
      </c>
      <c r="H282" s="225"/>
      <c r="I282" s="198" t="s">
        <v>103</v>
      </c>
      <c r="J282" s="198">
        <f>+IF(J281-$P$4&gt;=3,J281-$P$4,3)</f>
        <v>3</v>
      </c>
      <c r="K282" s="226">
        <f>E282+J282</f>
        <v>2020</v>
      </c>
      <c r="L282" s="227"/>
      <c r="N282" s="201">
        <f>+'2120 Depr - Orig'!N280-'Depr - Cont, Shop, Serv, Office'!N281</f>
        <v>9899.904300000002</v>
      </c>
      <c r="O282" s="228"/>
      <c r="P282" s="202">
        <f>N282-N282*G282</f>
        <v>9899.904300000002</v>
      </c>
      <c r="Q282" s="202">
        <f>P282/J282/12</f>
        <v>274.99734166666673</v>
      </c>
      <c r="R282" s="202">
        <f>IF(O282&gt;0,0,IF(OR(AD282&gt;AE282,AF282&lt;AG282),0,IF(AND(AF282&gt;=AG282,AF282&lt;=AE282),Q282*((AF282-AG282)*12),IF(AND(AG282&lt;=AD282,AE282&gt;=AD282),((AE282-AD282)*12)*Q282,IF(AF282&gt;AE282,12*Q282,0)))))</f>
        <v>3299.968100000001</v>
      </c>
      <c r="S282" s="202"/>
      <c r="T282" s="202">
        <f>IF(S282&gt;0,S282,R282)</f>
        <v>3299.968100000001</v>
      </c>
      <c r="U282" s="202">
        <v>1</v>
      </c>
      <c r="V282" s="202">
        <f>U282*SUM(R282:S282)</f>
        <v>3299.968100000001</v>
      </c>
      <c r="W282" s="202"/>
      <c r="X282" s="202">
        <f>IF(AD282&gt;AE282,0,IF(AF282&lt;AG282,P282,IF(AND(AF282&gt;=AG282,AF282&lt;=AE282),(P282-T282),IF(AND(AG282&lt;=AD282,AE282&gt;=AD282),0,IF(AF282&gt;AE282,((AG282-AD282)*12)*Q282,0)))))</f>
        <v>0</v>
      </c>
      <c r="Y282" s="202">
        <f>X282*U282</f>
        <v>0</v>
      </c>
      <c r="Z282" s="202">
        <v>1</v>
      </c>
      <c r="AA282" s="202">
        <f>Y282*Z282</f>
        <v>0</v>
      </c>
      <c r="AB282" s="202">
        <f>IF(O282&gt;0,0,AA282+V282*Z282)*Z282</f>
        <v>3299.968100000001</v>
      </c>
      <c r="AC282" s="202">
        <f>+IF(AC281=0,0,IF(T282=0,0,((N282-AA282)+(N282-AB282))/2))</f>
        <v>0</v>
      </c>
      <c r="AD282" s="229">
        <f>$E282+(($F282-1)/12)</f>
        <v>2017</v>
      </c>
      <c r="AE282" s="229">
        <f>($P$5+1)-($P$2/12)</f>
        <v>2018</v>
      </c>
      <c r="AF282" s="229">
        <f>$K282+(($F282-1)/12)</f>
        <v>2020</v>
      </c>
      <c r="AG282" s="229">
        <f>$P$4+($P$3/12)</f>
        <v>2017</v>
      </c>
      <c r="AH282" s="229">
        <f>$L282+(($M282-1)/12)</f>
        <v>-8.3333333333333329E-2</v>
      </c>
    </row>
    <row r="283" spans="1:34">
      <c r="C283" s="231">
        <f>325+350</f>
        <v>675</v>
      </c>
      <c r="D283" s="136" t="s">
        <v>223</v>
      </c>
      <c r="E283" s="119">
        <v>2005</v>
      </c>
      <c r="F283" s="110">
        <v>3</v>
      </c>
      <c r="G283" s="159">
        <v>0</v>
      </c>
      <c r="H283" s="159"/>
      <c r="I283" s="119" t="s">
        <v>103</v>
      </c>
      <c r="J283" s="119">
        <v>10</v>
      </c>
      <c r="K283" s="113">
        <f>E283+J283</f>
        <v>2015</v>
      </c>
      <c r="L283" s="160"/>
      <c r="N283" s="138">
        <v>25795.88</v>
      </c>
      <c r="O283" s="147"/>
      <c r="P283" s="139">
        <f>N283-N283*G283</f>
        <v>25795.88</v>
      </c>
      <c r="Q283" s="139">
        <f>P283/J283/12</f>
        <v>214.96566666666669</v>
      </c>
      <c r="R283" s="139">
        <f>IF(O283&gt;0,0,IF(OR(AD283&gt;AE283,AF283&lt;AG283),0,IF(AND(AF283&gt;=AG283,AF283&lt;=AE283),Q283*((AF283-AG283)*12),IF(AND(AG283&lt;=AD283,AE283&gt;=AD283),((AE283-AD283)*12)*Q283,IF(AF283&gt;AE283,12*Q283,0)))))</f>
        <v>0</v>
      </c>
      <c r="S283" s="139"/>
      <c r="T283" s="139">
        <f>IF(S283&gt;0,S283,R283)</f>
        <v>0</v>
      </c>
      <c r="U283" s="139">
        <v>1</v>
      </c>
      <c r="V283" s="139">
        <f>U283*SUM(R283:S283)</f>
        <v>0</v>
      </c>
      <c r="W283" s="139"/>
      <c r="X283" s="139">
        <f>IF(AD283&gt;AE283,0,IF(AF283&lt;AG283,P283,IF(AND(AF283&gt;=AG283,AF283&lt;=AE283),(P283-T283),IF(AND(AG283&lt;=AD283,AE283&gt;=AD283),0,IF(AF283&gt;AE283,((AG283-AD283)*12)*Q283,0)))))</f>
        <v>25795.88</v>
      </c>
      <c r="Y283" s="139">
        <f>X283*U283</f>
        <v>25795.88</v>
      </c>
      <c r="Z283" s="139">
        <v>1</v>
      </c>
      <c r="AA283" s="139">
        <f>Y283*Z283</f>
        <v>25795.88</v>
      </c>
      <c r="AB283" s="139">
        <f>IF(O283&gt;0,0,AA283+V283*Z283)*Z283</f>
        <v>25795.88</v>
      </c>
      <c r="AC283" s="139">
        <f>IF(O283&gt;0,(N283-AA283)/2,IF(AD283&gt;=AG283,(((N283*U283)*Z283)-AB283)/2,((((N283*U283)*Z283)-AA283)+(((N283*U283)*Z283)-AB283))/2))</f>
        <v>0</v>
      </c>
      <c r="AD283" s="115">
        <f>$E283+(($F283-1)/12)</f>
        <v>2005.1666666666667</v>
      </c>
      <c r="AE283" s="115">
        <f t="shared" si="93"/>
        <v>2018</v>
      </c>
      <c r="AF283" s="115">
        <f>$K283+(($F283-1)/12)</f>
        <v>2015.1666666666667</v>
      </c>
      <c r="AG283" s="115">
        <f t="shared" si="95"/>
        <v>2017</v>
      </c>
      <c r="AH283" s="115">
        <f>$L283+(($M283-1)/12)</f>
        <v>-8.3333333333333329E-2</v>
      </c>
    </row>
    <row r="284" spans="1:34">
      <c r="E284" s="175"/>
      <c r="F284" s="175"/>
      <c r="G284" s="175"/>
      <c r="I284" s="175"/>
      <c r="J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AB284" s="175"/>
      <c r="AC284" s="175"/>
      <c r="AD284" s="175"/>
      <c r="AE284" s="175"/>
      <c r="AF284" s="175"/>
      <c r="AG284" s="175"/>
      <c r="AH284" s="175"/>
    </row>
    <row r="285" spans="1:34">
      <c r="E285" s="175"/>
      <c r="F285" s="175"/>
      <c r="G285" s="175"/>
      <c r="I285" s="175"/>
      <c r="J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AB285" s="175"/>
      <c r="AC285" s="175"/>
      <c r="AD285" s="175"/>
      <c r="AE285" s="175"/>
      <c r="AF285" s="175"/>
      <c r="AG285" s="175"/>
      <c r="AH285" s="175"/>
    </row>
    <row r="286" spans="1:34">
      <c r="E286" s="175"/>
      <c r="F286" s="175"/>
      <c r="G286" s="175"/>
      <c r="I286" s="175"/>
      <c r="J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AB286" s="175"/>
      <c r="AC286" s="175"/>
      <c r="AD286" s="175"/>
      <c r="AE286" s="175"/>
      <c r="AF286" s="175"/>
      <c r="AG286" s="175"/>
      <c r="AH286" s="175"/>
    </row>
    <row r="287" spans="1:34">
      <c r="E287" s="175"/>
      <c r="F287" s="175"/>
      <c r="G287" s="175"/>
      <c r="I287" s="175"/>
      <c r="J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AB287" s="175"/>
      <c r="AC287" s="175"/>
      <c r="AD287" s="175"/>
      <c r="AE287" s="175"/>
      <c r="AF287" s="175"/>
      <c r="AG287" s="175"/>
      <c r="AH287" s="175"/>
    </row>
    <row r="288" spans="1:34">
      <c r="E288" s="175"/>
      <c r="F288" s="175"/>
      <c r="G288" s="175"/>
      <c r="I288" s="175"/>
      <c r="J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AB288" s="175"/>
      <c r="AC288" s="175"/>
      <c r="AD288" s="175"/>
      <c r="AE288" s="175"/>
      <c r="AF288" s="175"/>
      <c r="AG288" s="175"/>
      <c r="AH288" s="175"/>
    </row>
    <row r="289" spans="4:34">
      <c r="E289" s="175"/>
      <c r="F289" s="175"/>
      <c r="G289" s="175"/>
      <c r="I289" s="175"/>
      <c r="J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AB289" s="175"/>
      <c r="AC289" s="175"/>
      <c r="AD289" s="175"/>
      <c r="AE289" s="175"/>
      <c r="AF289" s="175"/>
      <c r="AG289" s="175"/>
      <c r="AH289" s="175"/>
    </row>
    <row r="290" spans="4:34">
      <c r="E290" s="175"/>
      <c r="F290" s="175"/>
      <c r="G290" s="175"/>
      <c r="I290" s="175"/>
      <c r="J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AB290" s="175"/>
      <c r="AC290" s="175"/>
      <c r="AD290" s="175"/>
      <c r="AE290" s="175"/>
      <c r="AF290" s="175"/>
      <c r="AG290" s="175"/>
      <c r="AH290" s="175"/>
    </row>
    <row r="291" spans="4:34">
      <c r="E291" s="175"/>
      <c r="F291" s="175"/>
      <c r="G291" s="175"/>
      <c r="I291" s="175"/>
      <c r="J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AB291" s="175"/>
      <c r="AC291" s="175"/>
      <c r="AD291" s="175"/>
      <c r="AE291" s="175"/>
      <c r="AF291" s="175"/>
      <c r="AG291" s="175"/>
      <c r="AH291" s="175"/>
    </row>
    <row r="292" spans="4:34">
      <c r="E292" s="175"/>
      <c r="F292" s="175"/>
      <c r="G292" s="175"/>
      <c r="I292" s="175"/>
      <c r="J292" s="175"/>
      <c r="L292" s="175"/>
      <c r="M292" s="175"/>
      <c r="N292" s="175"/>
      <c r="O292" s="175"/>
      <c r="P292" s="175"/>
      <c r="Q292" s="175"/>
      <c r="R292" s="175"/>
      <c r="S292" s="175"/>
      <c r="T292" s="175"/>
      <c r="U292" s="175"/>
      <c r="AA292" s="140"/>
      <c r="AB292" s="182"/>
      <c r="AC292" s="182"/>
      <c r="AD292" s="182"/>
      <c r="AE292" s="182"/>
      <c r="AF292" s="182"/>
      <c r="AG292" s="182"/>
      <c r="AH292" s="182"/>
    </row>
    <row r="293" spans="4:34">
      <c r="D293" s="140"/>
      <c r="E293" s="182"/>
      <c r="F293" s="182"/>
      <c r="G293" s="182"/>
      <c r="H293" s="140"/>
      <c r="I293" s="182"/>
      <c r="J293" s="182"/>
      <c r="K293" s="145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</row>
    <row r="294" spans="4:34">
      <c r="K294" s="145"/>
      <c r="L294" s="182"/>
      <c r="M294" s="182"/>
      <c r="N294" s="182"/>
      <c r="O294" s="182"/>
      <c r="P294" s="182"/>
      <c r="Q294" s="182"/>
      <c r="R294" s="182"/>
      <c r="AB294" s="175"/>
      <c r="AD294" s="175"/>
      <c r="AE294" s="175"/>
      <c r="AF294" s="175"/>
      <c r="AG294" s="175"/>
      <c r="AH294" s="175"/>
    </row>
    <row r="295" spans="4:34">
      <c r="AB295" s="175"/>
      <c r="AD295" s="175"/>
      <c r="AE295" s="175"/>
      <c r="AF295" s="175"/>
      <c r="AG295" s="175"/>
      <c r="AH295" s="175"/>
    </row>
    <row r="296" spans="4:34">
      <c r="AB296" s="175"/>
      <c r="AD296" s="175"/>
      <c r="AE296" s="175"/>
      <c r="AF296" s="175"/>
      <c r="AG296" s="175"/>
      <c r="AH296" s="175"/>
    </row>
    <row r="297" spans="4:34">
      <c r="AD297" s="175"/>
      <c r="AE297" s="175"/>
      <c r="AF297" s="175"/>
      <c r="AG297" s="175"/>
      <c r="AH297" s="175"/>
    </row>
    <row r="298" spans="4:34">
      <c r="AB298" s="175"/>
      <c r="AD298" s="175"/>
      <c r="AE298" s="175"/>
      <c r="AF298" s="175"/>
      <c r="AG298" s="175"/>
      <c r="AH298" s="175"/>
    </row>
  </sheetData>
  <sortState ref="A13:AH154">
    <sortCondition ref="E13:E154"/>
    <sortCondition ref="F13:F154"/>
  </sortState>
  <mergeCells count="3">
    <mergeCell ref="F1:G1"/>
    <mergeCell ref="F2:G2"/>
    <mergeCell ref="B3:C3"/>
  </mergeCells>
  <pageMargins left="0.25" right="0.25" top="0.75" bottom="0.75" header="0.3" footer="0.3"/>
  <pageSetup scale="68" fitToHeight="5" orientation="landscape" r:id="rId1"/>
  <headerFooter alignWithMargins="0"/>
  <rowBreaks count="3" manualBreakCount="3">
    <brk id="11" min="1" max="33" man="1"/>
    <brk id="208" min="1" max="33" man="1"/>
    <brk id="282" min="1" max="3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IM343"/>
  <sheetViews>
    <sheetView tabSelected="1" view="pageBreakPreview" zoomScaleNormal="100" zoomScaleSheetLayoutView="100" workbookViewId="0">
      <pane ySplit="11" topLeftCell="A84" activePane="bottomLeft" state="frozen"/>
      <selection activeCell="A50" sqref="A50:XFD71"/>
      <selection pane="bottomLeft" activeCell="A50" sqref="A50:XFD71"/>
    </sheetView>
  </sheetViews>
  <sheetFormatPr defaultColWidth="10.7109375" defaultRowHeight="11.25" outlineLevelCol="1"/>
  <cols>
    <col min="1" max="1" width="6.140625" style="5" hidden="1" customWidth="1" outlineLevel="1"/>
    <col min="2" max="2" width="7.85546875" style="5" customWidth="1" collapsed="1"/>
    <col min="3" max="3" width="7.85546875" style="7" customWidth="1"/>
    <col min="4" max="4" width="26.85546875" style="5" customWidth="1"/>
    <col min="5" max="5" width="6.5703125" style="5" customWidth="1"/>
    <col min="6" max="6" width="3.42578125" style="5" bestFit="1" customWidth="1"/>
    <col min="7" max="7" width="7" style="90" bestFit="1" customWidth="1"/>
    <col min="8" max="8" width="1.42578125" style="5" customWidth="1"/>
    <col min="9" max="9" width="6.42578125" style="5" customWidth="1"/>
    <col min="10" max="10" width="5.5703125" style="5" bestFit="1" customWidth="1"/>
    <col min="11" max="11" width="6.7109375" style="91" customWidth="1"/>
    <col min="12" max="12" width="5.7109375" style="5" hidden="1" customWidth="1"/>
    <col min="13" max="13" width="3.85546875" style="5" hidden="1" customWidth="1"/>
    <col min="14" max="14" width="8.7109375" style="93" customWidth="1"/>
    <col min="15" max="15" width="7" style="5" hidden="1" customWidth="1"/>
    <col min="16" max="16" width="9.140625" style="5" customWidth="1"/>
    <col min="17" max="17" width="7.85546875" style="5" customWidth="1"/>
    <col min="18" max="18" width="8" style="5" customWidth="1"/>
    <col min="19" max="19" width="6.85546875" style="5" hidden="1" customWidth="1"/>
    <col min="20" max="20" width="8.28515625" style="5" customWidth="1"/>
    <col min="21" max="21" width="5.140625" style="5" bestFit="1" customWidth="1"/>
    <col min="22" max="22" width="9.85546875" style="5" bestFit="1" customWidth="1"/>
    <col min="23" max="23" width="1.5703125" style="5" customWidth="1"/>
    <col min="24" max="24" width="10.28515625" style="5" customWidth="1"/>
    <col min="25" max="25" width="10.85546875" style="5" bestFit="1" customWidth="1"/>
    <col min="26" max="26" width="6" style="5" bestFit="1" customWidth="1"/>
    <col min="27" max="28" width="9.28515625" style="5" customWidth="1"/>
    <col min="29" max="29" width="9.42578125" style="5" customWidth="1"/>
    <col min="30" max="31" width="7" style="5" hidden="1" customWidth="1"/>
    <col min="32" max="32" width="7.28515625" style="5" hidden="1" customWidth="1"/>
    <col min="33" max="33" width="7" style="5" hidden="1" customWidth="1"/>
    <col min="34" max="34" width="4.5703125" style="5" hidden="1" customWidth="1"/>
    <col min="35" max="64" width="10.7109375" style="5" customWidth="1"/>
    <col min="65" max="65" width="1.85546875" style="5" bestFit="1" customWidth="1"/>
    <col min="66" max="66" width="35.7109375" style="5" bestFit="1" customWidth="1"/>
    <col min="67" max="68" width="10.7109375" style="5" customWidth="1"/>
    <col min="69" max="69" width="2.7109375" style="5" bestFit="1" customWidth="1"/>
    <col min="70" max="70" width="12.140625" style="5" bestFit="1" customWidth="1"/>
    <col min="71" max="246" width="10.7109375" style="5"/>
    <col min="247" max="247" width="7.85546875" style="5" bestFit="1" customWidth="1"/>
    <col min="248" max="248" width="5.28515625" style="5" customWidth="1"/>
    <col min="249" max="249" width="6.42578125" style="5" customWidth="1"/>
    <col min="250" max="250" width="22" style="5" customWidth="1"/>
    <col min="251" max="251" width="7.5703125" style="5" bestFit="1" customWidth="1"/>
    <col min="252" max="252" width="4.42578125" style="5" customWidth="1"/>
    <col min="253" max="253" width="7.42578125" style="5" bestFit="1" customWidth="1"/>
    <col min="254" max="254" width="2.85546875" style="5" bestFit="1" customWidth="1"/>
    <col min="255" max="255" width="7" style="5" bestFit="1" customWidth="1"/>
    <col min="256" max="256" width="5.7109375" style="5" bestFit="1" customWidth="1"/>
    <col min="257" max="257" width="7.85546875" style="5" bestFit="1" customWidth="1"/>
    <col min="258" max="259" width="0" style="5" hidden="1" customWidth="1"/>
    <col min="260" max="260" width="12.5703125" style="5" customWidth="1"/>
    <col min="261" max="261" width="0" style="5" hidden="1" customWidth="1"/>
    <col min="262" max="262" width="11" style="5" customWidth="1"/>
    <col min="263" max="263" width="9.140625" style="5" customWidth="1"/>
    <col min="264" max="264" width="9.85546875" style="5" customWidth="1"/>
    <col min="265" max="268" width="0" style="5" hidden="1" customWidth="1"/>
    <col min="269" max="269" width="1.5703125" style="5" customWidth="1"/>
    <col min="270" max="272" width="0" style="5" hidden="1" customWidth="1"/>
    <col min="273" max="273" width="10.42578125" style="5" customWidth="1"/>
    <col min="274" max="275" width="11" style="5" customWidth="1"/>
    <col min="276" max="276" width="9.42578125" style="5" customWidth="1"/>
    <col min="277" max="277" width="10" style="5" customWidth="1"/>
    <col min="278" max="278" width="11" style="5" customWidth="1"/>
    <col min="279" max="279" width="9.5703125" style="5" customWidth="1"/>
    <col min="280" max="280" width="10.140625" style="5" customWidth="1"/>
    <col min="281" max="320" width="10.7109375" style="5" customWidth="1"/>
    <col min="321" max="321" width="1.85546875" style="5" bestFit="1" customWidth="1"/>
    <col min="322" max="322" width="34.5703125" style="5" bestFit="1" customWidth="1"/>
    <col min="323" max="324" width="10.7109375" style="5" customWidth="1"/>
    <col min="325" max="325" width="2.7109375" style="5" bestFit="1" customWidth="1"/>
    <col min="326" max="326" width="11.5703125" style="5" bestFit="1" customWidth="1"/>
    <col min="327" max="503" width="10.7109375" style="5"/>
    <col min="504" max="504" width="5.28515625" style="5" customWidth="1"/>
    <col min="505" max="505" width="6.42578125" style="5" customWidth="1"/>
    <col min="506" max="506" width="22" style="5" customWidth="1"/>
    <col min="507" max="507" width="7.5703125" style="5" bestFit="1" customWidth="1"/>
    <col min="508" max="508" width="4.42578125" style="5" customWidth="1"/>
    <col min="509" max="509" width="7.42578125" style="5" bestFit="1" customWidth="1"/>
    <col min="510" max="510" width="2.85546875" style="5" bestFit="1" customWidth="1"/>
    <col min="511" max="511" width="7" style="5" bestFit="1" customWidth="1"/>
    <col min="512" max="512" width="5.7109375" style="5" bestFit="1" customWidth="1"/>
    <col min="513" max="513" width="7.85546875" style="5" bestFit="1" customWidth="1"/>
    <col min="514" max="515" width="0" style="5" hidden="1" customWidth="1"/>
    <col min="516" max="516" width="12.5703125" style="5" customWidth="1"/>
    <col min="517" max="517" width="0" style="5" hidden="1" customWidth="1"/>
    <col min="518" max="518" width="11" style="5" customWidth="1"/>
    <col min="519" max="519" width="9.140625" style="5" customWidth="1"/>
    <col min="520" max="520" width="9.85546875" style="5" customWidth="1"/>
    <col min="521" max="524" width="0" style="5" hidden="1" customWidth="1"/>
    <col min="525" max="525" width="1.5703125" style="5" customWidth="1"/>
    <col min="526" max="528" width="0" style="5" hidden="1" customWidth="1"/>
    <col min="529" max="529" width="10.42578125" style="5" customWidth="1"/>
    <col min="530" max="531" width="11" style="5" customWidth="1"/>
    <col min="532" max="532" width="9.42578125" style="5" customWidth="1"/>
    <col min="533" max="533" width="10" style="5" customWidth="1"/>
    <col min="534" max="534" width="11" style="5" customWidth="1"/>
    <col min="535" max="535" width="9.5703125" style="5" customWidth="1"/>
    <col min="536" max="536" width="10.140625" style="5" customWidth="1"/>
    <col min="537" max="576" width="10.7109375" style="5" customWidth="1"/>
    <col min="577" max="577" width="1.85546875" style="5" bestFit="1" customWidth="1"/>
    <col min="578" max="578" width="34.5703125" style="5" bestFit="1" customWidth="1"/>
    <col min="579" max="580" width="10.7109375" style="5" customWidth="1"/>
    <col min="581" max="581" width="2.7109375" style="5" bestFit="1" customWidth="1"/>
    <col min="582" max="582" width="11.5703125" style="5" bestFit="1" customWidth="1"/>
    <col min="583" max="759" width="10.7109375" style="5"/>
    <col min="760" max="760" width="5.28515625" style="5" customWidth="1"/>
    <col min="761" max="761" width="6.42578125" style="5" customWidth="1"/>
    <col min="762" max="762" width="22" style="5" customWidth="1"/>
    <col min="763" max="763" width="7.5703125" style="5" bestFit="1" customWidth="1"/>
    <col min="764" max="764" width="4.42578125" style="5" customWidth="1"/>
    <col min="765" max="765" width="7.42578125" style="5" bestFit="1" customWidth="1"/>
    <col min="766" max="766" width="2.85546875" style="5" bestFit="1" customWidth="1"/>
    <col min="767" max="767" width="7" style="5" bestFit="1" customWidth="1"/>
    <col min="768" max="768" width="5.7109375" style="5" bestFit="1" customWidth="1"/>
    <col min="769" max="769" width="7.85546875" style="5" bestFit="1" customWidth="1"/>
    <col min="770" max="771" width="0" style="5" hidden="1" customWidth="1"/>
    <col min="772" max="772" width="12.5703125" style="5" customWidth="1"/>
    <col min="773" max="773" width="0" style="5" hidden="1" customWidth="1"/>
    <col min="774" max="774" width="11" style="5" customWidth="1"/>
    <col min="775" max="775" width="9.140625" style="5" customWidth="1"/>
    <col min="776" max="776" width="9.85546875" style="5" customWidth="1"/>
    <col min="777" max="780" width="0" style="5" hidden="1" customWidth="1"/>
    <col min="781" max="781" width="1.5703125" style="5" customWidth="1"/>
    <col min="782" max="784" width="0" style="5" hidden="1" customWidth="1"/>
    <col min="785" max="785" width="10.42578125" style="5" customWidth="1"/>
    <col min="786" max="787" width="11" style="5" customWidth="1"/>
    <col min="788" max="788" width="9.42578125" style="5" customWidth="1"/>
    <col min="789" max="789" width="10" style="5" customWidth="1"/>
    <col min="790" max="790" width="11" style="5" customWidth="1"/>
    <col min="791" max="791" width="9.5703125" style="5" customWidth="1"/>
    <col min="792" max="792" width="10.140625" style="5" customWidth="1"/>
    <col min="793" max="832" width="10.7109375" style="5" customWidth="1"/>
    <col min="833" max="833" width="1.85546875" style="5" bestFit="1" customWidth="1"/>
    <col min="834" max="834" width="34.5703125" style="5" bestFit="1" customWidth="1"/>
    <col min="835" max="836" width="10.7109375" style="5" customWidth="1"/>
    <col min="837" max="837" width="2.7109375" style="5" bestFit="1" customWidth="1"/>
    <col min="838" max="838" width="11.5703125" style="5" bestFit="1" customWidth="1"/>
    <col min="839" max="1015" width="10.7109375" style="5"/>
    <col min="1016" max="1016" width="5.28515625" style="5" customWidth="1"/>
    <col min="1017" max="1017" width="6.42578125" style="5" customWidth="1"/>
    <col min="1018" max="1018" width="22" style="5" customWidth="1"/>
    <col min="1019" max="1019" width="7.5703125" style="5" bestFit="1" customWidth="1"/>
    <col min="1020" max="1020" width="4.42578125" style="5" customWidth="1"/>
    <col min="1021" max="1021" width="7.42578125" style="5" bestFit="1" customWidth="1"/>
    <col min="1022" max="1022" width="2.85546875" style="5" bestFit="1" customWidth="1"/>
    <col min="1023" max="1023" width="7" style="5" bestFit="1" customWidth="1"/>
    <col min="1024" max="1024" width="5.7109375" style="5" bestFit="1" customWidth="1"/>
    <col min="1025" max="1025" width="7.85546875" style="5" bestFit="1" customWidth="1"/>
    <col min="1026" max="1027" width="0" style="5" hidden="1" customWidth="1"/>
    <col min="1028" max="1028" width="12.5703125" style="5" customWidth="1"/>
    <col min="1029" max="1029" width="0" style="5" hidden="1" customWidth="1"/>
    <col min="1030" max="1030" width="11" style="5" customWidth="1"/>
    <col min="1031" max="1031" width="9.140625" style="5" customWidth="1"/>
    <col min="1032" max="1032" width="9.85546875" style="5" customWidth="1"/>
    <col min="1033" max="1036" width="0" style="5" hidden="1" customWidth="1"/>
    <col min="1037" max="1037" width="1.5703125" style="5" customWidth="1"/>
    <col min="1038" max="1040" width="0" style="5" hidden="1" customWidth="1"/>
    <col min="1041" max="1041" width="10.42578125" style="5" customWidth="1"/>
    <col min="1042" max="1043" width="11" style="5" customWidth="1"/>
    <col min="1044" max="1044" width="9.42578125" style="5" customWidth="1"/>
    <col min="1045" max="1045" width="10" style="5" customWidth="1"/>
    <col min="1046" max="1046" width="11" style="5" customWidth="1"/>
    <col min="1047" max="1047" width="9.5703125" style="5" customWidth="1"/>
    <col min="1048" max="1048" width="10.140625" style="5" customWidth="1"/>
    <col min="1049" max="1088" width="10.7109375" style="5" customWidth="1"/>
    <col min="1089" max="1089" width="1.85546875" style="5" bestFit="1" customWidth="1"/>
    <col min="1090" max="1090" width="34.5703125" style="5" bestFit="1" customWidth="1"/>
    <col min="1091" max="1092" width="10.7109375" style="5" customWidth="1"/>
    <col min="1093" max="1093" width="2.7109375" style="5" bestFit="1" customWidth="1"/>
    <col min="1094" max="1094" width="11.5703125" style="5" bestFit="1" customWidth="1"/>
    <col min="1095" max="1271" width="10.7109375" style="5"/>
    <col min="1272" max="1272" width="5.28515625" style="5" customWidth="1"/>
    <col min="1273" max="1273" width="6.42578125" style="5" customWidth="1"/>
    <col min="1274" max="1274" width="22" style="5" customWidth="1"/>
    <col min="1275" max="1275" width="7.5703125" style="5" bestFit="1" customWidth="1"/>
    <col min="1276" max="1276" width="4.42578125" style="5" customWidth="1"/>
    <col min="1277" max="1277" width="7.42578125" style="5" bestFit="1" customWidth="1"/>
    <col min="1278" max="1278" width="2.85546875" style="5" bestFit="1" customWidth="1"/>
    <col min="1279" max="1279" width="7" style="5" bestFit="1" customWidth="1"/>
    <col min="1280" max="1280" width="5.7109375" style="5" bestFit="1" customWidth="1"/>
    <col min="1281" max="1281" width="7.85546875" style="5" bestFit="1" customWidth="1"/>
    <col min="1282" max="1283" width="0" style="5" hidden="1" customWidth="1"/>
    <col min="1284" max="1284" width="12.5703125" style="5" customWidth="1"/>
    <col min="1285" max="1285" width="0" style="5" hidden="1" customWidth="1"/>
    <col min="1286" max="1286" width="11" style="5" customWidth="1"/>
    <col min="1287" max="1287" width="9.140625" style="5" customWidth="1"/>
    <col min="1288" max="1288" width="9.85546875" style="5" customWidth="1"/>
    <col min="1289" max="1292" width="0" style="5" hidden="1" customWidth="1"/>
    <col min="1293" max="1293" width="1.5703125" style="5" customWidth="1"/>
    <col min="1294" max="1296" width="0" style="5" hidden="1" customWidth="1"/>
    <col min="1297" max="1297" width="10.42578125" style="5" customWidth="1"/>
    <col min="1298" max="1299" width="11" style="5" customWidth="1"/>
    <col min="1300" max="1300" width="9.42578125" style="5" customWidth="1"/>
    <col min="1301" max="1301" width="10" style="5" customWidth="1"/>
    <col min="1302" max="1302" width="11" style="5" customWidth="1"/>
    <col min="1303" max="1303" width="9.5703125" style="5" customWidth="1"/>
    <col min="1304" max="1304" width="10.140625" style="5" customWidth="1"/>
    <col min="1305" max="1344" width="10.7109375" style="5" customWidth="1"/>
    <col min="1345" max="1345" width="1.85546875" style="5" bestFit="1" customWidth="1"/>
    <col min="1346" max="1346" width="34.5703125" style="5" bestFit="1" customWidth="1"/>
    <col min="1347" max="1348" width="10.7109375" style="5" customWidth="1"/>
    <col min="1349" max="1349" width="2.7109375" style="5" bestFit="1" customWidth="1"/>
    <col min="1350" max="1350" width="11.5703125" style="5" bestFit="1" customWidth="1"/>
    <col min="1351" max="1527" width="10.7109375" style="5"/>
    <col min="1528" max="1528" width="5.28515625" style="5" customWidth="1"/>
    <col min="1529" max="1529" width="6.42578125" style="5" customWidth="1"/>
    <col min="1530" max="1530" width="22" style="5" customWidth="1"/>
    <col min="1531" max="1531" width="7.5703125" style="5" bestFit="1" customWidth="1"/>
    <col min="1532" max="1532" width="4.42578125" style="5" customWidth="1"/>
    <col min="1533" max="1533" width="7.42578125" style="5" bestFit="1" customWidth="1"/>
    <col min="1534" max="1534" width="2.85546875" style="5" bestFit="1" customWidth="1"/>
    <col min="1535" max="1535" width="7" style="5" bestFit="1" customWidth="1"/>
    <col min="1536" max="1536" width="5.7109375" style="5" bestFit="1" customWidth="1"/>
    <col min="1537" max="1537" width="7.85546875" style="5" bestFit="1" customWidth="1"/>
    <col min="1538" max="1539" width="0" style="5" hidden="1" customWidth="1"/>
    <col min="1540" max="1540" width="12.5703125" style="5" customWidth="1"/>
    <col min="1541" max="1541" width="0" style="5" hidden="1" customWidth="1"/>
    <col min="1542" max="1542" width="11" style="5" customWidth="1"/>
    <col min="1543" max="1543" width="9.140625" style="5" customWidth="1"/>
    <col min="1544" max="1544" width="9.85546875" style="5" customWidth="1"/>
    <col min="1545" max="1548" width="0" style="5" hidden="1" customWidth="1"/>
    <col min="1549" max="1549" width="1.5703125" style="5" customWidth="1"/>
    <col min="1550" max="1552" width="0" style="5" hidden="1" customWidth="1"/>
    <col min="1553" max="1553" width="10.42578125" style="5" customWidth="1"/>
    <col min="1554" max="1555" width="11" style="5" customWidth="1"/>
    <col min="1556" max="1556" width="9.42578125" style="5" customWidth="1"/>
    <col min="1557" max="1557" width="10" style="5" customWidth="1"/>
    <col min="1558" max="1558" width="11" style="5" customWidth="1"/>
    <col min="1559" max="1559" width="9.5703125" style="5" customWidth="1"/>
    <col min="1560" max="1560" width="10.140625" style="5" customWidth="1"/>
    <col min="1561" max="1600" width="10.7109375" style="5" customWidth="1"/>
    <col min="1601" max="1601" width="1.85546875" style="5" bestFit="1" customWidth="1"/>
    <col min="1602" max="1602" width="34.5703125" style="5" bestFit="1" customWidth="1"/>
    <col min="1603" max="1604" width="10.7109375" style="5" customWidth="1"/>
    <col min="1605" max="1605" width="2.7109375" style="5" bestFit="1" customWidth="1"/>
    <col min="1606" max="1606" width="11.5703125" style="5" bestFit="1" customWidth="1"/>
    <col min="1607" max="1783" width="10.7109375" style="5"/>
    <col min="1784" max="1784" width="5.28515625" style="5" customWidth="1"/>
    <col min="1785" max="1785" width="6.42578125" style="5" customWidth="1"/>
    <col min="1786" max="1786" width="22" style="5" customWidth="1"/>
    <col min="1787" max="1787" width="7.5703125" style="5" bestFit="1" customWidth="1"/>
    <col min="1788" max="1788" width="4.42578125" style="5" customWidth="1"/>
    <col min="1789" max="1789" width="7.42578125" style="5" bestFit="1" customWidth="1"/>
    <col min="1790" max="1790" width="2.85546875" style="5" bestFit="1" customWidth="1"/>
    <col min="1791" max="1791" width="7" style="5" bestFit="1" customWidth="1"/>
    <col min="1792" max="1792" width="5.7109375" style="5" bestFit="1" customWidth="1"/>
    <col min="1793" max="1793" width="7.85546875" style="5" bestFit="1" customWidth="1"/>
    <col min="1794" max="1795" width="0" style="5" hidden="1" customWidth="1"/>
    <col min="1796" max="1796" width="12.5703125" style="5" customWidth="1"/>
    <col min="1797" max="1797" width="0" style="5" hidden="1" customWidth="1"/>
    <col min="1798" max="1798" width="11" style="5" customWidth="1"/>
    <col min="1799" max="1799" width="9.140625" style="5" customWidth="1"/>
    <col min="1800" max="1800" width="9.85546875" style="5" customWidth="1"/>
    <col min="1801" max="1804" width="0" style="5" hidden="1" customWidth="1"/>
    <col min="1805" max="1805" width="1.5703125" style="5" customWidth="1"/>
    <col min="1806" max="1808" width="0" style="5" hidden="1" customWidth="1"/>
    <col min="1809" max="1809" width="10.42578125" style="5" customWidth="1"/>
    <col min="1810" max="1811" width="11" style="5" customWidth="1"/>
    <col min="1812" max="1812" width="9.42578125" style="5" customWidth="1"/>
    <col min="1813" max="1813" width="10" style="5" customWidth="1"/>
    <col min="1814" max="1814" width="11" style="5" customWidth="1"/>
    <col min="1815" max="1815" width="9.5703125" style="5" customWidth="1"/>
    <col min="1816" max="1816" width="10.140625" style="5" customWidth="1"/>
    <col min="1817" max="1856" width="10.7109375" style="5" customWidth="1"/>
    <col min="1857" max="1857" width="1.85546875" style="5" bestFit="1" customWidth="1"/>
    <col min="1858" max="1858" width="34.5703125" style="5" bestFit="1" customWidth="1"/>
    <col min="1859" max="1860" width="10.7109375" style="5" customWidth="1"/>
    <col min="1861" max="1861" width="2.7109375" style="5" bestFit="1" customWidth="1"/>
    <col min="1862" max="1862" width="11.5703125" style="5" bestFit="1" customWidth="1"/>
    <col min="1863" max="2039" width="10.7109375" style="5"/>
    <col min="2040" max="2040" width="5.28515625" style="5" customWidth="1"/>
    <col min="2041" max="2041" width="6.42578125" style="5" customWidth="1"/>
    <col min="2042" max="2042" width="22" style="5" customWidth="1"/>
    <col min="2043" max="2043" width="7.5703125" style="5" bestFit="1" customWidth="1"/>
    <col min="2044" max="2044" width="4.42578125" style="5" customWidth="1"/>
    <col min="2045" max="2045" width="7.42578125" style="5" bestFit="1" customWidth="1"/>
    <col min="2046" max="2046" width="2.85546875" style="5" bestFit="1" customWidth="1"/>
    <col min="2047" max="2047" width="7" style="5" bestFit="1" customWidth="1"/>
    <col min="2048" max="2048" width="5.7109375" style="5" bestFit="1" customWidth="1"/>
    <col min="2049" max="2049" width="7.85546875" style="5" bestFit="1" customWidth="1"/>
    <col min="2050" max="2051" width="0" style="5" hidden="1" customWidth="1"/>
    <col min="2052" max="2052" width="12.5703125" style="5" customWidth="1"/>
    <col min="2053" max="2053" width="0" style="5" hidden="1" customWidth="1"/>
    <col min="2054" max="2054" width="11" style="5" customWidth="1"/>
    <col min="2055" max="2055" width="9.140625" style="5" customWidth="1"/>
    <col min="2056" max="2056" width="9.85546875" style="5" customWidth="1"/>
    <col min="2057" max="2060" width="0" style="5" hidden="1" customWidth="1"/>
    <col min="2061" max="2061" width="1.5703125" style="5" customWidth="1"/>
    <col min="2062" max="2064" width="0" style="5" hidden="1" customWidth="1"/>
    <col min="2065" max="2065" width="10.42578125" style="5" customWidth="1"/>
    <col min="2066" max="2067" width="11" style="5" customWidth="1"/>
    <col min="2068" max="2068" width="9.42578125" style="5" customWidth="1"/>
    <col min="2069" max="2069" width="10" style="5" customWidth="1"/>
    <col min="2070" max="2070" width="11" style="5" customWidth="1"/>
    <col min="2071" max="2071" width="9.5703125" style="5" customWidth="1"/>
    <col min="2072" max="2072" width="10.140625" style="5" customWidth="1"/>
    <col min="2073" max="2112" width="10.7109375" style="5" customWidth="1"/>
    <col min="2113" max="2113" width="1.85546875" style="5" bestFit="1" customWidth="1"/>
    <col min="2114" max="2114" width="34.5703125" style="5" bestFit="1" customWidth="1"/>
    <col min="2115" max="2116" width="10.7109375" style="5" customWidth="1"/>
    <col min="2117" max="2117" width="2.7109375" style="5" bestFit="1" customWidth="1"/>
    <col min="2118" max="2118" width="11.5703125" style="5" bestFit="1" customWidth="1"/>
    <col min="2119" max="2295" width="10.7109375" style="5"/>
    <col min="2296" max="2296" width="5.28515625" style="5" customWidth="1"/>
    <col min="2297" max="2297" width="6.42578125" style="5" customWidth="1"/>
    <col min="2298" max="2298" width="22" style="5" customWidth="1"/>
    <col min="2299" max="2299" width="7.5703125" style="5" bestFit="1" customWidth="1"/>
    <col min="2300" max="2300" width="4.42578125" style="5" customWidth="1"/>
    <col min="2301" max="2301" width="7.42578125" style="5" bestFit="1" customWidth="1"/>
    <col min="2302" max="2302" width="2.85546875" style="5" bestFit="1" customWidth="1"/>
    <col min="2303" max="2303" width="7" style="5" bestFit="1" customWidth="1"/>
    <col min="2304" max="2304" width="5.7109375" style="5" bestFit="1" customWidth="1"/>
    <col min="2305" max="2305" width="7.85546875" style="5" bestFit="1" customWidth="1"/>
    <col min="2306" max="2307" width="0" style="5" hidden="1" customWidth="1"/>
    <col min="2308" max="2308" width="12.5703125" style="5" customWidth="1"/>
    <col min="2309" max="2309" width="0" style="5" hidden="1" customWidth="1"/>
    <col min="2310" max="2310" width="11" style="5" customWidth="1"/>
    <col min="2311" max="2311" width="9.140625" style="5" customWidth="1"/>
    <col min="2312" max="2312" width="9.85546875" style="5" customWidth="1"/>
    <col min="2313" max="2316" width="0" style="5" hidden="1" customWidth="1"/>
    <col min="2317" max="2317" width="1.5703125" style="5" customWidth="1"/>
    <col min="2318" max="2320" width="0" style="5" hidden="1" customWidth="1"/>
    <col min="2321" max="2321" width="10.42578125" style="5" customWidth="1"/>
    <col min="2322" max="2323" width="11" style="5" customWidth="1"/>
    <col min="2324" max="2324" width="9.42578125" style="5" customWidth="1"/>
    <col min="2325" max="2325" width="10" style="5" customWidth="1"/>
    <col min="2326" max="2326" width="11" style="5" customWidth="1"/>
    <col min="2327" max="2327" width="9.5703125" style="5" customWidth="1"/>
    <col min="2328" max="2328" width="10.140625" style="5" customWidth="1"/>
    <col min="2329" max="2368" width="10.7109375" style="5" customWidth="1"/>
    <col min="2369" max="2369" width="1.85546875" style="5" bestFit="1" customWidth="1"/>
    <col min="2370" max="2370" width="34.5703125" style="5" bestFit="1" customWidth="1"/>
    <col min="2371" max="2372" width="10.7109375" style="5" customWidth="1"/>
    <col min="2373" max="2373" width="2.7109375" style="5" bestFit="1" customWidth="1"/>
    <col min="2374" max="2374" width="11.5703125" style="5" bestFit="1" customWidth="1"/>
    <col min="2375" max="2551" width="10.7109375" style="5"/>
    <col min="2552" max="2552" width="5.28515625" style="5" customWidth="1"/>
    <col min="2553" max="2553" width="6.42578125" style="5" customWidth="1"/>
    <col min="2554" max="2554" width="22" style="5" customWidth="1"/>
    <col min="2555" max="2555" width="7.5703125" style="5" bestFit="1" customWidth="1"/>
    <col min="2556" max="2556" width="4.42578125" style="5" customWidth="1"/>
    <col min="2557" max="2557" width="7.42578125" style="5" bestFit="1" customWidth="1"/>
    <col min="2558" max="2558" width="2.85546875" style="5" bestFit="1" customWidth="1"/>
    <col min="2559" max="2559" width="7" style="5" bestFit="1" customWidth="1"/>
    <col min="2560" max="2560" width="5.7109375" style="5" bestFit="1" customWidth="1"/>
    <col min="2561" max="2561" width="7.85546875" style="5" bestFit="1" customWidth="1"/>
    <col min="2562" max="2563" width="0" style="5" hidden="1" customWidth="1"/>
    <col min="2564" max="2564" width="12.5703125" style="5" customWidth="1"/>
    <col min="2565" max="2565" width="0" style="5" hidden="1" customWidth="1"/>
    <col min="2566" max="2566" width="11" style="5" customWidth="1"/>
    <col min="2567" max="2567" width="9.140625" style="5" customWidth="1"/>
    <col min="2568" max="2568" width="9.85546875" style="5" customWidth="1"/>
    <col min="2569" max="2572" width="0" style="5" hidden="1" customWidth="1"/>
    <col min="2573" max="2573" width="1.5703125" style="5" customWidth="1"/>
    <col min="2574" max="2576" width="0" style="5" hidden="1" customWidth="1"/>
    <col min="2577" max="2577" width="10.42578125" style="5" customWidth="1"/>
    <col min="2578" max="2579" width="11" style="5" customWidth="1"/>
    <col min="2580" max="2580" width="9.42578125" style="5" customWidth="1"/>
    <col min="2581" max="2581" width="10" style="5" customWidth="1"/>
    <col min="2582" max="2582" width="11" style="5" customWidth="1"/>
    <col min="2583" max="2583" width="9.5703125" style="5" customWidth="1"/>
    <col min="2584" max="2584" width="10.140625" style="5" customWidth="1"/>
    <col min="2585" max="2624" width="10.7109375" style="5" customWidth="1"/>
    <col min="2625" max="2625" width="1.85546875" style="5" bestFit="1" customWidth="1"/>
    <col min="2626" max="2626" width="34.5703125" style="5" bestFit="1" customWidth="1"/>
    <col min="2627" max="2628" width="10.7109375" style="5" customWidth="1"/>
    <col min="2629" max="2629" width="2.7109375" style="5" bestFit="1" customWidth="1"/>
    <col min="2630" max="2630" width="11.5703125" style="5" bestFit="1" customWidth="1"/>
    <col min="2631" max="2807" width="10.7109375" style="5"/>
    <col min="2808" max="2808" width="5.28515625" style="5" customWidth="1"/>
    <col min="2809" max="2809" width="6.42578125" style="5" customWidth="1"/>
    <col min="2810" max="2810" width="22" style="5" customWidth="1"/>
    <col min="2811" max="2811" width="7.5703125" style="5" bestFit="1" customWidth="1"/>
    <col min="2812" max="2812" width="4.42578125" style="5" customWidth="1"/>
    <col min="2813" max="2813" width="7.42578125" style="5" bestFit="1" customWidth="1"/>
    <col min="2814" max="2814" width="2.85546875" style="5" bestFit="1" customWidth="1"/>
    <col min="2815" max="2815" width="7" style="5" bestFit="1" customWidth="1"/>
    <col min="2816" max="2816" width="5.7109375" style="5" bestFit="1" customWidth="1"/>
    <col min="2817" max="2817" width="7.85546875" style="5" bestFit="1" customWidth="1"/>
    <col min="2818" max="2819" width="0" style="5" hidden="1" customWidth="1"/>
    <col min="2820" max="2820" width="12.5703125" style="5" customWidth="1"/>
    <col min="2821" max="2821" width="0" style="5" hidden="1" customWidth="1"/>
    <col min="2822" max="2822" width="11" style="5" customWidth="1"/>
    <col min="2823" max="2823" width="9.140625" style="5" customWidth="1"/>
    <col min="2824" max="2824" width="9.85546875" style="5" customWidth="1"/>
    <col min="2825" max="2828" width="0" style="5" hidden="1" customWidth="1"/>
    <col min="2829" max="2829" width="1.5703125" style="5" customWidth="1"/>
    <col min="2830" max="2832" width="0" style="5" hidden="1" customWidth="1"/>
    <col min="2833" max="2833" width="10.42578125" style="5" customWidth="1"/>
    <col min="2834" max="2835" width="11" style="5" customWidth="1"/>
    <col min="2836" max="2836" width="9.42578125" style="5" customWidth="1"/>
    <col min="2837" max="2837" width="10" style="5" customWidth="1"/>
    <col min="2838" max="2838" width="11" style="5" customWidth="1"/>
    <col min="2839" max="2839" width="9.5703125" style="5" customWidth="1"/>
    <col min="2840" max="2840" width="10.140625" style="5" customWidth="1"/>
    <col min="2841" max="2880" width="10.7109375" style="5" customWidth="1"/>
    <col min="2881" max="2881" width="1.85546875" style="5" bestFit="1" customWidth="1"/>
    <col min="2882" max="2882" width="34.5703125" style="5" bestFit="1" customWidth="1"/>
    <col min="2883" max="2884" width="10.7109375" style="5" customWidth="1"/>
    <col min="2885" max="2885" width="2.7109375" style="5" bestFit="1" customWidth="1"/>
    <col min="2886" max="2886" width="11.5703125" style="5" bestFit="1" customWidth="1"/>
    <col min="2887" max="3063" width="10.7109375" style="5"/>
    <col min="3064" max="3064" width="5.28515625" style="5" customWidth="1"/>
    <col min="3065" max="3065" width="6.42578125" style="5" customWidth="1"/>
    <col min="3066" max="3066" width="22" style="5" customWidth="1"/>
    <col min="3067" max="3067" width="7.5703125" style="5" bestFit="1" customWidth="1"/>
    <col min="3068" max="3068" width="4.42578125" style="5" customWidth="1"/>
    <col min="3069" max="3069" width="7.42578125" style="5" bestFit="1" customWidth="1"/>
    <col min="3070" max="3070" width="2.85546875" style="5" bestFit="1" customWidth="1"/>
    <col min="3071" max="3071" width="7" style="5" bestFit="1" customWidth="1"/>
    <col min="3072" max="3072" width="5.7109375" style="5" bestFit="1" customWidth="1"/>
    <col min="3073" max="3073" width="7.85546875" style="5" bestFit="1" customWidth="1"/>
    <col min="3074" max="3075" width="0" style="5" hidden="1" customWidth="1"/>
    <col min="3076" max="3076" width="12.5703125" style="5" customWidth="1"/>
    <col min="3077" max="3077" width="0" style="5" hidden="1" customWidth="1"/>
    <col min="3078" max="3078" width="11" style="5" customWidth="1"/>
    <col min="3079" max="3079" width="9.140625" style="5" customWidth="1"/>
    <col min="3080" max="3080" width="9.85546875" style="5" customWidth="1"/>
    <col min="3081" max="3084" width="0" style="5" hidden="1" customWidth="1"/>
    <col min="3085" max="3085" width="1.5703125" style="5" customWidth="1"/>
    <col min="3086" max="3088" width="0" style="5" hidden="1" customWidth="1"/>
    <col min="3089" max="3089" width="10.42578125" style="5" customWidth="1"/>
    <col min="3090" max="3091" width="11" style="5" customWidth="1"/>
    <col min="3092" max="3092" width="9.42578125" style="5" customWidth="1"/>
    <col min="3093" max="3093" width="10" style="5" customWidth="1"/>
    <col min="3094" max="3094" width="11" style="5" customWidth="1"/>
    <col min="3095" max="3095" width="9.5703125" style="5" customWidth="1"/>
    <col min="3096" max="3096" width="10.140625" style="5" customWidth="1"/>
    <col min="3097" max="3136" width="10.7109375" style="5" customWidth="1"/>
    <col min="3137" max="3137" width="1.85546875" style="5" bestFit="1" customWidth="1"/>
    <col min="3138" max="3138" width="34.5703125" style="5" bestFit="1" customWidth="1"/>
    <col min="3139" max="3140" width="10.7109375" style="5" customWidth="1"/>
    <col min="3141" max="3141" width="2.7109375" style="5" bestFit="1" customWidth="1"/>
    <col min="3142" max="3142" width="11.5703125" style="5" bestFit="1" customWidth="1"/>
    <col min="3143" max="3319" width="10.7109375" style="5"/>
    <col min="3320" max="3320" width="5.28515625" style="5" customWidth="1"/>
    <col min="3321" max="3321" width="6.42578125" style="5" customWidth="1"/>
    <col min="3322" max="3322" width="22" style="5" customWidth="1"/>
    <col min="3323" max="3323" width="7.5703125" style="5" bestFit="1" customWidth="1"/>
    <col min="3324" max="3324" width="4.42578125" style="5" customWidth="1"/>
    <col min="3325" max="3325" width="7.42578125" style="5" bestFit="1" customWidth="1"/>
    <col min="3326" max="3326" width="2.85546875" style="5" bestFit="1" customWidth="1"/>
    <col min="3327" max="3327" width="7" style="5" bestFit="1" customWidth="1"/>
    <col min="3328" max="3328" width="5.7109375" style="5" bestFit="1" customWidth="1"/>
    <col min="3329" max="3329" width="7.85546875" style="5" bestFit="1" customWidth="1"/>
    <col min="3330" max="3331" width="0" style="5" hidden="1" customWidth="1"/>
    <col min="3332" max="3332" width="12.5703125" style="5" customWidth="1"/>
    <col min="3333" max="3333" width="0" style="5" hidden="1" customWidth="1"/>
    <col min="3334" max="3334" width="11" style="5" customWidth="1"/>
    <col min="3335" max="3335" width="9.140625" style="5" customWidth="1"/>
    <col min="3336" max="3336" width="9.85546875" style="5" customWidth="1"/>
    <col min="3337" max="3340" width="0" style="5" hidden="1" customWidth="1"/>
    <col min="3341" max="3341" width="1.5703125" style="5" customWidth="1"/>
    <col min="3342" max="3344" width="0" style="5" hidden="1" customWidth="1"/>
    <col min="3345" max="3345" width="10.42578125" style="5" customWidth="1"/>
    <col min="3346" max="3347" width="11" style="5" customWidth="1"/>
    <col min="3348" max="3348" width="9.42578125" style="5" customWidth="1"/>
    <col min="3349" max="3349" width="10" style="5" customWidth="1"/>
    <col min="3350" max="3350" width="11" style="5" customWidth="1"/>
    <col min="3351" max="3351" width="9.5703125" style="5" customWidth="1"/>
    <col min="3352" max="3352" width="10.140625" style="5" customWidth="1"/>
    <col min="3353" max="3392" width="10.7109375" style="5" customWidth="1"/>
    <col min="3393" max="3393" width="1.85546875" style="5" bestFit="1" customWidth="1"/>
    <col min="3394" max="3394" width="34.5703125" style="5" bestFit="1" customWidth="1"/>
    <col min="3395" max="3396" width="10.7109375" style="5" customWidth="1"/>
    <col min="3397" max="3397" width="2.7109375" style="5" bestFit="1" customWidth="1"/>
    <col min="3398" max="3398" width="11.5703125" style="5" bestFit="1" customWidth="1"/>
    <col min="3399" max="3575" width="10.7109375" style="5"/>
    <col min="3576" max="3576" width="5.28515625" style="5" customWidth="1"/>
    <col min="3577" max="3577" width="6.42578125" style="5" customWidth="1"/>
    <col min="3578" max="3578" width="22" style="5" customWidth="1"/>
    <col min="3579" max="3579" width="7.5703125" style="5" bestFit="1" customWidth="1"/>
    <col min="3580" max="3580" width="4.42578125" style="5" customWidth="1"/>
    <col min="3581" max="3581" width="7.42578125" style="5" bestFit="1" customWidth="1"/>
    <col min="3582" max="3582" width="2.85546875" style="5" bestFit="1" customWidth="1"/>
    <col min="3583" max="3583" width="7" style="5" bestFit="1" customWidth="1"/>
    <col min="3584" max="3584" width="5.7109375" style="5" bestFit="1" customWidth="1"/>
    <col min="3585" max="3585" width="7.85546875" style="5" bestFit="1" customWidth="1"/>
    <col min="3586" max="3587" width="0" style="5" hidden="1" customWidth="1"/>
    <col min="3588" max="3588" width="12.5703125" style="5" customWidth="1"/>
    <col min="3589" max="3589" width="0" style="5" hidden="1" customWidth="1"/>
    <col min="3590" max="3590" width="11" style="5" customWidth="1"/>
    <col min="3591" max="3591" width="9.140625" style="5" customWidth="1"/>
    <col min="3592" max="3592" width="9.85546875" style="5" customWidth="1"/>
    <col min="3593" max="3596" width="0" style="5" hidden="1" customWidth="1"/>
    <col min="3597" max="3597" width="1.5703125" style="5" customWidth="1"/>
    <col min="3598" max="3600" width="0" style="5" hidden="1" customWidth="1"/>
    <col min="3601" max="3601" width="10.42578125" style="5" customWidth="1"/>
    <col min="3602" max="3603" width="11" style="5" customWidth="1"/>
    <col min="3604" max="3604" width="9.42578125" style="5" customWidth="1"/>
    <col min="3605" max="3605" width="10" style="5" customWidth="1"/>
    <col min="3606" max="3606" width="11" style="5" customWidth="1"/>
    <col min="3607" max="3607" width="9.5703125" style="5" customWidth="1"/>
    <col min="3608" max="3608" width="10.140625" style="5" customWidth="1"/>
    <col min="3609" max="3648" width="10.7109375" style="5" customWidth="1"/>
    <col min="3649" max="3649" width="1.85546875" style="5" bestFit="1" customWidth="1"/>
    <col min="3650" max="3650" width="34.5703125" style="5" bestFit="1" customWidth="1"/>
    <col min="3651" max="3652" width="10.7109375" style="5" customWidth="1"/>
    <col min="3653" max="3653" width="2.7109375" style="5" bestFit="1" customWidth="1"/>
    <col min="3654" max="3654" width="11.5703125" style="5" bestFit="1" customWidth="1"/>
    <col min="3655" max="3831" width="10.7109375" style="5"/>
    <col min="3832" max="3832" width="5.28515625" style="5" customWidth="1"/>
    <col min="3833" max="3833" width="6.42578125" style="5" customWidth="1"/>
    <col min="3834" max="3834" width="22" style="5" customWidth="1"/>
    <col min="3835" max="3835" width="7.5703125" style="5" bestFit="1" customWidth="1"/>
    <col min="3836" max="3836" width="4.42578125" style="5" customWidth="1"/>
    <col min="3837" max="3837" width="7.42578125" style="5" bestFit="1" customWidth="1"/>
    <col min="3838" max="3838" width="2.85546875" style="5" bestFit="1" customWidth="1"/>
    <col min="3839" max="3839" width="7" style="5" bestFit="1" customWidth="1"/>
    <col min="3840" max="3840" width="5.7109375" style="5" bestFit="1" customWidth="1"/>
    <col min="3841" max="3841" width="7.85546875" style="5" bestFit="1" customWidth="1"/>
    <col min="3842" max="3843" width="0" style="5" hidden="1" customWidth="1"/>
    <col min="3844" max="3844" width="12.5703125" style="5" customWidth="1"/>
    <col min="3845" max="3845" width="0" style="5" hidden="1" customWidth="1"/>
    <col min="3846" max="3846" width="11" style="5" customWidth="1"/>
    <col min="3847" max="3847" width="9.140625" style="5" customWidth="1"/>
    <col min="3848" max="3848" width="9.85546875" style="5" customWidth="1"/>
    <col min="3849" max="3852" width="0" style="5" hidden="1" customWidth="1"/>
    <col min="3853" max="3853" width="1.5703125" style="5" customWidth="1"/>
    <col min="3854" max="3856" width="0" style="5" hidden="1" customWidth="1"/>
    <col min="3857" max="3857" width="10.42578125" style="5" customWidth="1"/>
    <col min="3858" max="3859" width="11" style="5" customWidth="1"/>
    <col min="3860" max="3860" width="9.42578125" style="5" customWidth="1"/>
    <col min="3861" max="3861" width="10" style="5" customWidth="1"/>
    <col min="3862" max="3862" width="11" style="5" customWidth="1"/>
    <col min="3863" max="3863" width="9.5703125" style="5" customWidth="1"/>
    <col min="3864" max="3864" width="10.140625" style="5" customWidth="1"/>
    <col min="3865" max="3904" width="10.7109375" style="5" customWidth="1"/>
    <col min="3905" max="3905" width="1.85546875" style="5" bestFit="1" customWidth="1"/>
    <col min="3906" max="3906" width="34.5703125" style="5" bestFit="1" customWidth="1"/>
    <col min="3907" max="3908" width="10.7109375" style="5" customWidth="1"/>
    <col min="3909" max="3909" width="2.7109375" style="5" bestFit="1" customWidth="1"/>
    <col min="3910" max="3910" width="11.5703125" style="5" bestFit="1" customWidth="1"/>
    <col min="3911" max="4087" width="10.7109375" style="5"/>
    <col min="4088" max="4088" width="5.28515625" style="5" customWidth="1"/>
    <col min="4089" max="4089" width="6.42578125" style="5" customWidth="1"/>
    <col min="4090" max="4090" width="22" style="5" customWidth="1"/>
    <col min="4091" max="4091" width="7.5703125" style="5" bestFit="1" customWidth="1"/>
    <col min="4092" max="4092" width="4.42578125" style="5" customWidth="1"/>
    <col min="4093" max="4093" width="7.42578125" style="5" bestFit="1" customWidth="1"/>
    <col min="4094" max="4094" width="2.85546875" style="5" bestFit="1" customWidth="1"/>
    <col min="4095" max="4095" width="7" style="5" bestFit="1" customWidth="1"/>
    <col min="4096" max="4096" width="5.7109375" style="5" bestFit="1" customWidth="1"/>
    <col min="4097" max="4097" width="7.85546875" style="5" bestFit="1" customWidth="1"/>
    <col min="4098" max="4099" width="0" style="5" hidden="1" customWidth="1"/>
    <col min="4100" max="4100" width="12.5703125" style="5" customWidth="1"/>
    <col min="4101" max="4101" width="0" style="5" hidden="1" customWidth="1"/>
    <col min="4102" max="4102" width="11" style="5" customWidth="1"/>
    <col min="4103" max="4103" width="9.140625" style="5" customWidth="1"/>
    <col min="4104" max="4104" width="9.85546875" style="5" customWidth="1"/>
    <col min="4105" max="4108" width="0" style="5" hidden="1" customWidth="1"/>
    <col min="4109" max="4109" width="1.5703125" style="5" customWidth="1"/>
    <col min="4110" max="4112" width="0" style="5" hidden="1" customWidth="1"/>
    <col min="4113" max="4113" width="10.42578125" style="5" customWidth="1"/>
    <col min="4114" max="4115" width="11" style="5" customWidth="1"/>
    <col min="4116" max="4116" width="9.42578125" style="5" customWidth="1"/>
    <col min="4117" max="4117" width="10" style="5" customWidth="1"/>
    <col min="4118" max="4118" width="11" style="5" customWidth="1"/>
    <col min="4119" max="4119" width="9.5703125" style="5" customWidth="1"/>
    <col min="4120" max="4120" width="10.140625" style="5" customWidth="1"/>
    <col min="4121" max="4160" width="10.7109375" style="5" customWidth="1"/>
    <col min="4161" max="4161" width="1.85546875" style="5" bestFit="1" customWidth="1"/>
    <col min="4162" max="4162" width="34.5703125" style="5" bestFit="1" customWidth="1"/>
    <col min="4163" max="4164" width="10.7109375" style="5" customWidth="1"/>
    <col min="4165" max="4165" width="2.7109375" style="5" bestFit="1" customWidth="1"/>
    <col min="4166" max="4166" width="11.5703125" style="5" bestFit="1" customWidth="1"/>
    <col min="4167" max="4343" width="10.7109375" style="5"/>
    <col min="4344" max="4344" width="5.28515625" style="5" customWidth="1"/>
    <col min="4345" max="4345" width="6.42578125" style="5" customWidth="1"/>
    <col min="4346" max="4346" width="22" style="5" customWidth="1"/>
    <col min="4347" max="4347" width="7.5703125" style="5" bestFit="1" customWidth="1"/>
    <col min="4348" max="4348" width="4.42578125" style="5" customWidth="1"/>
    <col min="4349" max="4349" width="7.42578125" style="5" bestFit="1" customWidth="1"/>
    <col min="4350" max="4350" width="2.85546875" style="5" bestFit="1" customWidth="1"/>
    <col min="4351" max="4351" width="7" style="5" bestFit="1" customWidth="1"/>
    <col min="4352" max="4352" width="5.7109375" style="5" bestFit="1" customWidth="1"/>
    <col min="4353" max="4353" width="7.85546875" style="5" bestFit="1" customWidth="1"/>
    <col min="4354" max="4355" width="0" style="5" hidden="1" customWidth="1"/>
    <col min="4356" max="4356" width="12.5703125" style="5" customWidth="1"/>
    <col min="4357" max="4357" width="0" style="5" hidden="1" customWidth="1"/>
    <col min="4358" max="4358" width="11" style="5" customWidth="1"/>
    <col min="4359" max="4359" width="9.140625" style="5" customWidth="1"/>
    <col min="4360" max="4360" width="9.85546875" style="5" customWidth="1"/>
    <col min="4361" max="4364" width="0" style="5" hidden="1" customWidth="1"/>
    <col min="4365" max="4365" width="1.5703125" style="5" customWidth="1"/>
    <col min="4366" max="4368" width="0" style="5" hidden="1" customWidth="1"/>
    <col min="4369" max="4369" width="10.42578125" style="5" customWidth="1"/>
    <col min="4370" max="4371" width="11" style="5" customWidth="1"/>
    <col min="4372" max="4372" width="9.42578125" style="5" customWidth="1"/>
    <col min="4373" max="4373" width="10" style="5" customWidth="1"/>
    <col min="4374" max="4374" width="11" style="5" customWidth="1"/>
    <col min="4375" max="4375" width="9.5703125" style="5" customWidth="1"/>
    <col min="4376" max="4376" width="10.140625" style="5" customWidth="1"/>
    <col min="4377" max="4416" width="10.7109375" style="5" customWidth="1"/>
    <col min="4417" max="4417" width="1.85546875" style="5" bestFit="1" customWidth="1"/>
    <col min="4418" max="4418" width="34.5703125" style="5" bestFit="1" customWidth="1"/>
    <col min="4419" max="4420" width="10.7109375" style="5" customWidth="1"/>
    <col min="4421" max="4421" width="2.7109375" style="5" bestFit="1" customWidth="1"/>
    <col min="4422" max="4422" width="11.5703125" style="5" bestFit="1" customWidth="1"/>
    <col min="4423" max="4599" width="10.7109375" style="5"/>
    <col min="4600" max="4600" width="5.28515625" style="5" customWidth="1"/>
    <col min="4601" max="4601" width="6.42578125" style="5" customWidth="1"/>
    <col min="4602" max="4602" width="22" style="5" customWidth="1"/>
    <col min="4603" max="4603" width="7.5703125" style="5" bestFit="1" customWidth="1"/>
    <col min="4604" max="4604" width="4.42578125" style="5" customWidth="1"/>
    <col min="4605" max="4605" width="7.42578125" style="5" bestFit="1" customWidth="1"/>
    <col min="4606" max="4606" width="2.85546875" style="5" bestFit="1" customWidth="1"/>
    <col min="4607" max="4607" width="7" style="5" bestFit="1" customWidth="1"/>
    <col min="4608" max="4608" width="5.7109375" style="5" bestFit="1" customWidth="1"/>
    <col min="4609" max="4609" width="7.85546875" style="5" bestFit="1" customWidth="1"/>
    <col min="4610" max="4611" width="0" style="5" hidden="1" customWidth="1"/>
    <col min="4612" max="4612" width="12.5703125" style="5" customWidth="1"/>
    <col min="4613" max="4613" width="0" style="5" hidden="1" customWidth="1"/>
    <col min="4614" max="4614" width="11" style="5" customWidth="1"/>
    <col min="4615" max="4615" width="9.140625" style="5" customWidth="1"/>
    <col min="4616" max="4616" width="9.85546875" style="5" customWidth="1"/>
    <col min="4617" max="4620" width="0" style="5" hidden="1" customWidth="1"/>
    <col min="4621" max="4621" width="1.5703125" style="5" customWidth="1"/>
    <col min="4622" max="4624" width="0" style="5" hidden="1" customWidth="1"/>
    <col min="4625" max="4625" width="10.42578125" style="5" customWidth="1"/>
    <col min="4626" max="4627" width="11" style="5" customWidth="1"/>
    <col min="4628" max="4628" width="9.42578125" style="5" customWidth="1"/>
    <col min="4629" max="4629" width="10" style="5" customWidth="1"/>
    <col min="4630" max="4630" width="11" style="5" customWidth="1"/>
    <col min="4631" max="4631" width="9.5703125" style="5" customWidth="1"/>
    <col min="4632" max="4632" width="10.140625" style="5" customWidth="1"/>
    <col min="4633" max="4672" width="10.7109375" style="5" customWidth="1"/>
    <col min="4673" max="4673" width="1.85546875" style="5" bestFit="1" customWidth="1"/>
    <col min="4674" max="4674" width="34.5703125" style="5" bestFit="1" customWidth="1"/>
    <col min="4675" max="4676" width="10.7109375" style="5" customWidth="1"/>
    <col min="4677" max="4677" width="2.7109375" style="5" bestFit="1" customWidth="1"/>
    <col min="4678" max="4678" width="11.5703125" style="5" bestFit="1" customWidth="1"/>
    <col min="4679" max="4855" width="10.7109375" style="5"/>
    <col min="4856" max="4856" width="5.28515625" style="5" customWidth="1"/>
    <col min="4857" max="4857" width="6.42578125" style="5" customWidth="1"/>
    <col min="4858" max="4858" width="22" style="5" customWidth="1"/>
    <col min="4859" max="4859" width="7.5703125" style="5" bestFit="1" customWidth="1"/>
    <col min="4860" max="4860" width="4.42578125" style="5" customWidth="1"/>
    <col min="4861" max="4861" width="7.42578125" style="5" bestFit="1" customWidth="1"/>
    <col min="4862" max="4862" width="2.85546875" style="5" bestFit="1" customWidth="1"/>
    <col min="4863" max="4863" width="7" style="5" bestFit="1" customWidth="1"/>
    <col min="4864" max="4864" width="5.7109375" style="5" bestFit="1" customWidth="1"/>
    <col min="4865" max="4865" width="7.85546875" style="5" bestFit="1" customWidth="1"/>
    <col min="4866" max="4867" width="0" style="5" hidden="1" customWidth="1"/>
    <col min="4868" max="4868" width="12.5703125" style="5" customWidth="1"/>
    <col min="4869" max="4869" width="0" style="5" hidden="1" customWidth="1"/>
    <col min="4870" max="4870" width="11" style="5" customWidth="1"/>
    <col min="4871" max="4871" width="9.140625" style="5" customWidth="1"/>
    <col min="4872" max="4872" width="9.85546875" style="5" customWidth="1"/>
    <col min="4873" max="4876" width="0" style="5" hidden="1" customWidth="1"/>
    <col min="4877" max="4877" width="1.5703125" style="5" customWidth="1"/>
    <col min="4878" max="4880" width="0" style="5" hidden="1" customWidth="1"/>
    <col min="4881" max="4881" width="10.42578125" style="5" customWidth="1"/>
    <col min="4882" max="4883" width="11" style="5" customWidth="1"/>
    <col min="4884" max="4884" width="9.42578125" style="5" customWidth="1"/>
    <col min="4885" max="4885" width="10" style="5" customWidth="1"/>
    <col min="4886" max="4886" width="11" style="5" customWidth="1"/>
    <col min="4887" max="4887" width="9.5703125" style="5" customWidth="1"/>
    <col min="4888" max="4888" width="10.140625" style="5" customWidth="1"/>
    <col min="4889" max="4928" width="10.7109375" style="5" customWidth="1"/>
    <col min="4929" max="4929" width="1.85546875" style="5" bestFit="1" customWidth="1"/>
    <col min="4930" max="4930" width="34.5703125" style="5" bestFit="1" customWidth="1"/>
    <col min="4931" max="4932" width="10.7109375" style="5" customWidth="1"/>
    <col min="4933" max="4933" width="2.7109375" style="5" bestFit="1" customWidth="1"/>
    <col min="4934" max="4934" width="11.5703125" style="5" bestFit="1" customWidth="1"/>
    <col min="4935" max="5111" width="10.7109375" style="5"/>
    <col min="5112" max="5112" width="5.28515625" style="5" customWidth="1"/>
    <col min="5113" max="5113" width="6.42578125" style="5" customWidth="1"/>
    <col min="5114" max="5114" width="22" style="5" customWidth="1"/>
    <col min="5115" max="5115" width="7.5703125" style="5" bestFit="1" customWidth="1"/>
    <col min="5116" max="5116" width="4.42578125" style="5" customWidth="1"/>
    <col min="5117" max="5117" width="7.42578125" style="5" bestFit="1" customWidth="1"/>
    <col min="5118" max="5118" width="2.85546875" style="5" bestFit="1" customWidth="1"/>
    <col min="5119" max="5119" width="7" style="5" bestFit="1" customWidth="1"/>
    <col min="5120" max="5120" width="5.7109375" style="5" bestFit="1" customWidth="1"/>
    <col min="5121" max="5121" width="7.85546875" style="5" bestFit="1" customWidth="1"/>
    <col min="5122" max="5123" width="0" style="5" hidden="1" customWidth="1"/>
    <col min="5124" max="5124" width="12.5703125" style="5" customWidth="1"/>
    <col min="5125" max="5125" width="0" style="5" hidden="1" customWidth="1"/>
    <col min="5126" max="5126" width="11" style="5" customWidth="1"/>
    <col min="5127" max="5127" width="9.140625" style="5" customWidth="1"/>
    <col min="5128" max="5128" width="9.85546875" style="5" customWidth="1"/>
    <col min="5129" max="5132" width="0" style="5" hidden="1" customWidth="1"/>
    <col min="5133" max="5133" width="1.5703125" style="5" customWidth="1"/>
    <col min="5134" max="5136" width="0" style="5" hidden="1" customWidth="1"/>
    <col min="5137" max="5137" width="10.42578125" style="5" customWidth="1"/>
    <col min="5138" max="5139" width="11" style="5" customWidth="1"/>
    <col min="5140" max="5140" width="9.42578125" style="5" customWidth="1"/>
    <col min="5141" max="5141" width="10" style="5" customWidth="1"/>
    <col min="5142" max="5142" width="11" style="5" customWidth="1"/>
    <col min="5143" max="5143" width="9.5703125" style="5" customWidth="1"/>
    <col min="5144" max="5144" width="10.140625" style="5" customWidth="1"/>
    <col min="5145" max="5184" width="10.7109375" style="5" customWidth="1"/>
    <col min="5185" max="5185" width="1.85546875" style="5" bestFit="1" customWidth="1"/>
    <col min="5186" max="5186" width="34.5703125" style="5" bestFit="1" customWidth="1"/>
    <col min="5187" max="5188" width="10.7109375" style="5" customWidth="1"/>
    <col min="5189" max="5189" width="2.7109375" style="5" bestFit="1" customWidth="1"/>
    <col min="5190" max="5190" width="11.5703125" style="5" bestFit="1" customWidth="1"/>
    <col min="5191" max="5367" width="10.7109375" style="5"/>
    <col min="5368" max="5368" width="5.28515625" style="5" customWidth="1"/>
    <col min="5369" max="5369" width="6.42578125" style="5" customWidth="1"/>
    <col min="5370" max="5370" width="22" style="5" customWidth="1"/>
    <col min="5371" max="5371" width="7.5703125" style="5" bestFit="1" customWidth="1"/>
    <col min="5372" max="5372" width="4.42578125" style="5" customWidth="1"/>
    <col min="5373" max="5373" width="7.42578125" style="5" bestFit="1" customWidth="1"/>
    <col min="5374" max="5374" width="2.85546875" style="5" bestFit="1" customWidth="1"/>
    <col min="5375" max="5375" width="7" style="5" bestFit="1" customWidth="1"/>
    <col min="5376" max="5376" width="5.7109375" style="5" bestFit="1" customWidth="1"/>
    <col min="5377" max="5377" width="7.85546875" style="5" bestFit="1" customWidth="1"/>
    <col min="5378" max="5379" width="0" style="5" hidden="1" customWidth="1"/>
    <col min="5380" max="5380" width="12.5703125" style="5" customWidth="1"/>
    <col min="5381" max="5381" width="0" style="5" hidden="1" customWidth="1"/>
    <col min="5382" max="5382" width="11" style="5" customWidth="1"/>
    <col min="5383" max="5383" width="9.140625" style="5" customWidth="1"/>
    <col min="5384" max="5384" width="9.85546875" style="5" customWidth="1"/>
    <col min="5385" max="5388" width="0" style="5" hidden="1" customWidth="1"/>
    <col min="5389" max="5389" width="1.5703125" style="5" customWidth="1"/>
    <col min="5390" max="5392" width="0" style="5" hidden="1" customWidth="1"/>
    <col min="5393" max="5393" width="10.42578125" style="5" customWidth="1"/>
    <col min="5394" max="5395" width="11" style="5" customWidth="1"/>
    <col min="5396" max="5396" width="9.42578125" style="5" customWidth="1"/>
    <col min="5397" max="5397" width="10" style="5" customWidth="1"/>
    <col min="5398" max="5398" width="11" style="5" customWidth="1"/>
    <col min="5399" max="5399" width="9.5703125" style="5" customWidth="1"/>
    <col min="5400" max="5400" width="10.140625" style="5" customWidth="1"/>
    <col min="5401" max="5440" width="10.7109375" style="5" customWidth="1"/>
    <col min="5441" max="5441" width="1.85546875" style="5" bestFit="1" customWidth="1"/>
    <col min="5442" max="5442" width="34.5703125" style="5" bestFit="1" customWidth="1"/>
    <col min="5443" max="5444" width="10.7109375" style="5" customWidth="1"/>
    <col min="5445" max="5445" width="2.7109375" style="5" bestFit="1" customWidth="1"/>
    <col min="5446" max="5446" width="11.5703125" style="5" bestFit="1" customWidth="1"/>
    <col min="5447" max="5623" width="10.7109375" style="5"/>
    <col min="5624" max="5624" width="5.28515625" style="5" customWidth="1"/>
    <col min="5625" max="5625" width="6.42578125" style="5" customWidth="1"/>
    <col min="5626" max="5626" width="22" style="5" customWidth="1"/>
    <col min="5627" max="5627" width="7.5703125" style="5" bestFit="1" customWidth="1"/>
    <col min="5628" max="5628" width="4.42578125" style="5" customWidth="1"/>
    <col min="5629" max="5629" width="7.42578125" style="5" bestFit="1" customWidth="1"/>
    <col min="5630" max="5630" width="2.85546875" style="5" bestFit="1" customWidth="1"/>
    <col min="5631" max="5631" width="7" style="5" bestFit="1" customWidth="1"/>
    <col min="5632" max="5632" width="5.7109375" style="5" bestFit="1" customWidth="1"/>
    <col min="5633" max="5633" width="7.85546875" style="5" bestFit="1" customWidth="1"/>
    <col min="5634" max="5635" width="0" style="5" hidden="1" customWidth="1"/>
    <col min="5636" max="5636" width="12.5703125" style="5" customWidth="1"/>
    <col min="5637" max="5637" width="0" style="5" hidden="1" customWidth="1"/>
    <col min="5638" max="5638" width="11" style="5" customWidth="1"/>
    <col min="5639" max="5639" width="9.140625" style="5" customWidth="1"/>
    <col min="5640" max="5640" width="9.85546875" style="5" customWidth="1"/>
    <col min="5641" max="5644" width="0" style="5" hidden="1" customWidth="1"/>
    <col min="5645" max="5645" width="1.5703125" style="5" customWidth="1"/>
    <col min="5646" max="5648" width="0" style="5" hidden="1" customWidth="1"/>
    <col min="5649" max="5649" width="10.42578125" style="5" customWidth="1"/>
    <col min="5650" max="5651" width="11" style="5" customWidth="1"/>
    <col min="5652" max="5652" width="9.42578125" style="5" customWidth="1"/>
    <col min="5653" max="5653" width="10" style="5" customWidth="1"/>
    <col min="5654" max="5654" width="11" style="5" customWidth="1"/>
    <col min="5655" max="5655" width="9.5703125" style="5" customWidth="1"/>
    <col min="5656" max="5656" width="10.140625" style="5" customWidth="1"/>
    <col min="5657" max="5696" width="10.7109375" style="5" customWidth="1"/>
    <col min="5697" max="5697" width="1.85546875" style="5" bestFit="1" customWidth="1"/>
    <col min="5698" max="5698" width="34.5703125" style="5" bestFit="1" customWidth="1"/>
    <col min="5699" max="5700" width="10.7109375" style="5" customWidth="1"/>
    <col min="5701" max="5701" width="2.7109375" style="5" bestFit="1" customWidth="1"/>
    <col min="5702" max="5702" width="11.5703125" style="5" bestFit="1" customWidth="1"/>
    <col min="5703" max="5879" width="10.7109375" style="5"/>
    <col min="5880" max="5880" width="5.28515625" style="5" customWidth="1"/>
    <col min="5881" max="5881" width="6.42578125" style="5" customWidth="1"/>
    <col min="5882" max="5882" width="22" style="5" customWidth="1"/>
    <col min="5883" max="5883" width="7.5703125" style="5" bestFit="1" customWidth="1"/>
    <col min="5884" max="5884" width="4.42578125" style="5" customWidth="1"/>
    <col min="5885" max="5885" width="7.42578125" style="5" bestFit="1" customWidth="1"/>
    <col min="5886" max="5886" width="2.85546875" style="5" bestFit="1" customWidth="1"/>
    <col min="5887" max="5887" width="7" style="5" bestFit="1" customWidth="1"/>
    <col min="5888" max="5888" width="5.7109375" style="5" bestFit="1" customWidth="1"/>
    <col min="5889" max="5889" width="7.85546875" style="5" bestFit="1" customWidth="1"/>
    <col min="5890" max="5891" width="0" style="5" hidden="1" customWidth="1"/>
    <col min="5892" max="5892" width="12.5703125" style="5" customWidth="1"/>
    <col min="5893" max="5893" width="0" style="5" hidden="1" customWidth="1"/>
    <col min="5894" max="5894" width="11" style="5" customWidth="1"/>
    <col min="5895" max="5895" width="9.140625" style="5" customWidth="1"/>
    <col min="5896" max="5896" width="9.85546875" style="5" customWidth="1"/>
    <col min="5897" max="5900" width="0" style="5" hidden="1" customWidth="1"/>
    <col min="5901" max="5901" width="1.5703125" style="5" customWidth="1"/>
    <col min="5902" max="5904" width="0" style="5" hidden="1" customWidth="1"/>
    <col min="5905" max="5905" width="10.42578125" style="5" customWidth="1"/>
    <col min="5906" max="5907" width="11" style="5" customWidth="1"/>
    <col min="5908" max="5908" width="9.42578125" style="5" customWidth="1"/>
    <col min="5909" max="5909" width="10" style="5" customWidth="1"/>
    <col min="5910" max="5910" width="11" style="5" customWidth="1"/>
    <col min="5911" max="5911" width="9.5703125" style="5" customWidth="1"/>
    <col min="5912" max="5912" width="10.140625" style="5" customWidth="1"/>
    <col min="5913" max="5952" width="10.7109375" style="5" customWidth="1"/>
    <col min="5953" max="5953" width="1.85546875" style="5" bestFit="1" customWidth="1"/>
    <col min="5954" max="5954" width="34.5703125" style="5" bestFit="1" customWidth="1"/>
    <col min="5955" max="5956" width="10.7109375" style="5" customWidth="1"/>
    <col min="5957" max="5957" width="2.7109375" style="5" bestFit="1" customWidth="1"/>
    <col min="5958" max="5958" width="11.5703125" style="5" bestFit="1" customWidth="1"/>
    <col min="5959" max="6135" width="10.7109375" style="5"/>
    <col min="6136" max="6136" width="5.28515625" style="5" customWidth="1"/>
    <col min="6137" max="6137" width="6.42578125" style="5" customWidth="1"/>
    <col min="6138" max="6138" width="22" style="5" customWidth="1"/>
    <col min="6139" max="6139" width="7.5703125" style="5" bestFit="1" customWidth="1"/>
    <col min="6140" max="6140" width="4.42578125" style="5" customWidth="1"/>
    <col min="6141" max="6141" width="7.42578125" style="5" bestFit="1" customWidth="1"/>
    <col min="6142" max="6142" width="2.85546875" style="5" bestFit="1" customWidth="1"/>
    <col min="6143" max="6143" width="7" style="5" bestFit="1" customWidth="1"/>
    <col min="6144" max="6144" width="5.7109375" style="5" bestFit="1" customWidth="1"/>
    <col min="6145" max="6145" width="7.85546875" style="5" bestFit="1" customWidth="1"/>
    <col min="6146" max="6147" width="0" style="5" hidden="1" customWidth="1"/>
    <col min="6148" max="6148" width="12.5703125" style="5" customWidth="1"/>
    <col min="6149" max="6149" width="0" style="5" hidden="1" customWidth="1"/>
    <col min="6150" max="6150" width="11" style="5" customWidth="1"/>
    <col min="6151" max="6151" width="9.140625" style="5" customWidth="1"/>
    <col min="6152" max="6152" width="9.85546875" style="5" customWidth="1"/>
    <col min="6153" max="6156" width="0" style="5" hidden="1" customWidth="1"/>
    <col min="6157" max="6157" width="1.5703125" style="5" customWidth="1"/>
    <col min="6158" max="6160" width="0" style="5" hidden="1" customWidth="1"/>
    <col min="6161" max="6161" width="10.42578125" style="5" customWidth="1"/>
    <col min="6162" max="6163" width="11" style="5" customWidth="1"/>
    <col min="6164" max="6164" width="9.42578125" style="5" customWidth="1"/>
    <col min="6165" max="6165" width="10" style="5" customWidth="1"/>
    <col min="6166" max="6166" width="11" style="5" customWidth="1"/>
    <col min="6167" max="6167" width="9.5703125" style="5" customWidth="1"/>
    <col min="6168" max="6168" width="10.140625" style="5" customWidth="1"/>
    <col min="6169" max="6208" width="10.7109375" style="5" customWidth="1"/>
    <col min="6209" max="6209" width="1.85546875" style="5" bestFit="1" customWidth="1"/>
    <col min="6210" max="6210" width="34.5703125" style="5" bestFit="1" customWidth="1"/>
    <col min="6211" max="6212" width="10.7109375" style="5" customWidth="1"/>
    <col min="6213" max="6213" width="2.7109375" style="5" bestFit="1" customWidth="1"/>
    <col min="6214" max="6214" width="11.5703125" style="5" bestFit="1" customWidth="1"/>
    <col min="6215" max="6391" width="10.7109375" style="5"/>
    <col min="6392" max="6392" width="5.28515625" style="5" customWidth="1"/>
    <col min="6393" max="6393" width="6.42578125" style="5" customWidth="1"/>
    <col min="6394" max="6394" width="22" style="5" customWidth="1"/>
    <col min="6395" max="6395" width="7.5703125" style="5" bestFit="1" customWidth="1"/>
    <col min="6396" max="6396" width="4.42578125" style="5" customWidth="1"/>
    <col min="6397" max="6397" width="7.42578125" style="5" bestFit="1" customWidth="1"/>
    <col min="6398" max="6398" width="2.85546875" style="5" bestFit="1" customWidth="1"/>
    <col min="6399" max="6399" width="7" style="5" bestFit="1" customWidth="1"/>
    <col min="6400" max="6400" width="5.7109375" style="5" bestFit="1" customWidth="1"/>
    <col min="6401" max="6401" width="7.85546875" style="5" bestFit="1" customWidth="1"/>
    <col min="6402" max="6403" width="0" style="5" hidden="1" customWidth="1"/>
    <col min="6404" max="6404" width="12.5703125" style="5" customWidth="1"/>
    <col min="6405" max="6405" width="0" style="5" hidden="1" customWidth="1"/>
    <col min="6406" max="6406" width="11" style="5" customWidth="1"/>
    <col min="6407" max="6407" width="9.140625" style="5" customWidth="1"/>
    <col min="6408" max="6408" width="9.85546875" style="5" customWidth="1"/>
    <col min="6409" max="6412" width="0" style="5" hidden="1" customWidth="1"/>
    <col min="6413" max="6413" width="1.5703125" style="5" customWidth="1"/>
    <col min="6414" max="6416" width="0" style="5" hidden="1" customWidth="1"/>
    <col min="6417" max="6417" width="10.42578125" style="5" customWidth="1"/>
    <col min="6418" max="6419" width="11" style="5" customWidth="1"/>
    <col min="6420" max="6420" width="9.42578125" style="5" customWidth="1"/>
    <col min="6421" max="6421" width="10" style="5" customWidth="1"/>
    <col min="6422" max="6422" width="11" style="5" customWidth="1"/>
    <col min="6423" max="6423" width="9.5703125" style="5" customWidth="1"/>
    <col min="6424" max="6424" width="10.140625" style="5" customWidth="1"/>
    <col min="6425" max="6464" width="10.7109375" style="5" customWidth="1"/>
    <col min="6465" max="6465" width="1.85546875" style="5" bestFit="1" customWidth="1"/>
    <col min="6466" max="6466" width="34.5703125" style="5" bestFit="1" customWidth="1"/>
    <col min="6467" max="6468" width="10.7109375" style="5" customWidth="1"/>
    <col min="6469" max="6469" width="2.7109375" style="5" bestFit="1" customWidth="1"/>
    <col min="6470" max="6470" width="11.5703125" style="5" bestFit="1" customWidth="1"/>
    <col min="6471" max="6647" width="10.7109375" style="5"/>
    <col min="6648" max="6648" width="5.28515625" style="5" customWidth="1"/>
    <col min="6649" max="6649" width="6.42578125" style="5" customWidth="1"/>
    <col min="6650" max="6650" width="22" style="5" customWidth="1"/>
    <col min="6651" max="6651" width="7.5703125" style="5" bestFit="1" customWidth="1"/>
    <col min="6652" max="6652" width="4.42578125" style="5" customWidth="1"/>
    <col min="6653" max="6653" width="7.42578125" style="5" bestFit="1" customWidth="1"/>
    <col min="6654" max="6654" width="2.85546875" style="5" bestFit="1" customWidth="1"/>
    <col min="6655" max="6655" width="7" style="5" bestFit="1" customWidth="1"/>
    <col min="6656" max="6656" width="5.7109375" style="5" bestFit="1" customWidth="1"/>
    <col min="6657" max="6657" width="7.85546875" style="5" bestFit="1" customWidth="1"/>
    <col min="6658" max="6659" width="0" style="5" hidden="1" customWidth="1"/>
    <col min="6660" max="6660" width="12.5703125" style="5" customWidth="1"/>
    <col min="6661" max="6661" width="0" style="5" hidden="1" customWidth="1"/>
    <col min="6662" max="6662" width="11" style="5" customWidth="1"/>
    <col min="6663" max="6663" width="9.140625" style="5" customWidth="1"/>
    <col min="6664" max="6664" width="9.85546875" style="5" customWidth="1"/>
    <col min="6665" max="6668" width="0" style="5" hidden="1" customWidth="1"/>
    <col min="6669" max="6669" width="1.5703125" style="5" customWidth="1"/>
    <col min="6670" max="6672" width="0" style="5" hidden="1" customWidth="1"/>
    <col min="6673" max="6673" width="10.42578125" style="5" customWidth="1"/>
    <col min="6674" max="6675" width="11" style="5" customWidth="1"/>
    <col min="6676" max="6676" width="9.42578125" style="5" customWidth="1"/>
    <col min="6677" max="6677" width="10" style="5" customWidth="1"/>
    <col min="6678" max="6678" width="11" style="5" customWidth="1"/>
    <col min="6679" max="6679" width="9.5703125" style="5" customWidth="1"/>
    <col min="6680" max="6680" width="10.140625" style="5" customWidth="1"/>
    <col min="6681" max="6720" width="10.7109375" style="5" customWidth="1"/>
    <col min="6721" max="6721" width="1.85546875" style="5" bestFit="1" customWidth="1"/>
    <col min="6722" max="6722" width="34.5703125" style="5" bestFit="1" customWidth="1"/>
    <col min="6723" max="6724" width="10.7109375" style="5" customWidth="1"/>
    <col min="6725" max="6725" width="2.7109375" style="5" bestFit="1" customWidth="1"/>
    <col min="6726" max="6726" width="11.5703125" style="5" bestFit="1" customWidth="1"/>
    <col min="6727" max="6903" width="10.7109375" style="5"/>
    <col min="6904" max="6904" width="5.28515625" style="5" customWidth="1"/>
    <col min="6905" max="6905" width="6.42578125" style="5" customWidth="1"/>
    <col min="6906" max="6906" width="22" style="5" customWidth="1"/>
    <col min="6907" max="6907" width="7.5703125" style="5" bestFit="1" customWidth="1"/>
    <col min="6908" max="6908" width="4.42578125" style="5" customWidth="1"/>
    <col min="6909" max="6909" width="7.42578125" style="5" bestFit="1" customWidth="1"/>
    <col min="6910" max="6910" width="2.85546875" style="5" bestFit="1" customWidth="1"/>
    <col min="6911" max="6911" width="7" style="5" bestFit="1" customWidth="1"/>
    <col min="6912" max="6912" width="5.7109375" style="5" bestFit="1" customWidth="1"/>
    <col min="6913" max="6913" width="7.85546875" style="5" bestFit="1" customWidth="1"/>
    <col min="6914" max="6915" width="0" style="5" hidden="1" customWidth="1"/>
    <col min="6916" max="6916" width="12.5703125" style="5" customWidth="1"/>
    <col min="6917" max="6917" width="0" style="5" hidden="1" customWidth="1"/>
    <col min="6918" max="6918" width="11" style="5" customWidth="1"/>
    <col min="6919" max="6919" width="9.140625" style="5" customWidth="1"/>
    <col min="6920" max="6920" width="9.85546875" style="5" customWidth="1"/>
    <col min="6921" max="6924" width="0" style="5" hidden="1" customWidth="1"/>
    <col min="6925" max="6925" width="1.5703125" style="5" customWidth="1"/>
    <col min="6926" max="6928" width="0" style="5" hidden="1" customWidth="1"/>
    <col min="6929" max="6929" width="10.42578125" style="5" customWidth="1"/>
    <col min="6930" max="6931" width="11" style="5" customWidth="1"/>
    <col min="6932" max="6932" width="9.42578125" style="5" customWidth="1"/>
    <col min="6933" max="6933" width="10" style="5" customWidth="1"/>
    <col min="6934" max="6934" width="11" style="5" customWidth="1"/>
    <col min="6935" max="6935" width="9.5703125" style="5" customWidth="1"/>
    <col min="6936" max="6936" width="10.140625" style="5" customWidth="1"/>
    <col min="6937" max="6976" width="10.7109375" style="5" customWidth="1"/>
    <col min="6977" max="6977" width="1.85546875" style="5" bestFit="1" customWidth="1"/>
    <col min="6978" max="6978" width="34.5703125" style="5" bestFit="1" customWidth="1"/>
    <col min="6979" max="6980" width="10.7109375" style="5" customWidth="1"/>
    <col min="6981" max="6981" width="2.7109375" style="5" bestFit="1" customWidth="1"/>
    <col min="6982" max="6982" width="11.5703125" style="5" bestFit="1" customWidth="1"/>
    <col min="6983" max="7159" width="10.7109375" style="5"/>
    <col min="7160" max="7160" width="5.28515625" style="5" customWidth="1"/>
    <col min="7161" max="7161" width="6.42578125" style="5" customWidth="1"/>
    <col min="7162" max="7162" width="22" style="5" customWidth="1"/>
    <col min="7163" max="7163" width="7.5703125" style="5" bestFit="1" customWidth="1"/>
    <col min="7164" max="7164" width="4.42578125" style="5" customWidth="1"/>
    <col min="7165" max="7165" width="7.42578125" style="5" bestFit="1" customWidth="1"/>
    <col min="7166" max="7166" width="2.85546875" style="5" bestFit="1" customWidth="1"/>
    <col min="7167" max="7167" width="7" style="5" bestFit="1" customWidth="1"/>
    <col min="7168" max="7168" width="5.7109375" style="5" bestFit="1" customWidth="1"/>
    <col min="7169" max="7169" width="7.85546875" style="5" bestFit="1" customWidth="1"/>
    <col min="7170" max="7171" width="0" style="5" hidden="1" customWidth="1"/>
    <col min="7172" max="7172" width="12.5703125" style="5" customWidth="1"/>
    <col min="7173" max="7173" width="0" style="5" hidden="1" customWidth="1"/>
    <col min="7174" max="7174" width="11" style="5" customWidth="1"/>
    <col min="7175" max="7175" width="9.140625" style="5" customWidth="1"/>
    <col min="7176" max="7176" width="9.85546875" style="5" customWidth="1"/>
    <col min="7177" max="7180" width="0" style="5" hidden="1" customWidth="1"/>
    <col min="7181" max="7181" width="1.5703125" style="5" customWidth="1"/>
    <col min="7182" max="7184" width="0" style="5" hidden="1" customWidth="1"/>
    <col min="7185" max="7185" width="10.42578125" style="5" customWidth="1"/>
    <col min="7186" max="7187" width="11" style="5" customWidth="1"/>
    <col min="7188" max="7188" width="9.42578125" style="5" customWidth="1"/>
    <col min="7189" max="7189" width="10" style="5" customWidth="1"/>
    <col min="7190" max="7190" width="11" style="5" customWidth="1"/>
    <col min="7191" max="7191" width="9.5703125" style="5" customWidth="1"/>
    <col min="7192" max="7192" width="10.140625" style="5" customWidth="1"/>
    <col min="7193" max="7232" width="10.7109375" style="5" customWidth="1"/>
    <col min="7233" max="7233" width="1.85546875" style="5" bestFit="1" customWidth="1"/>
    <col min="7234" max="7234" width="34.5703125" style="5" bestFit="1" customWidth="1"/>
    <col min="7235" max="7236" width="10.7109375" style="5" customWidth="1"/>
    <col min="7237" max="7237" width="2.7109375" style="5" bestFit="1" customWidth="1"/>
    <col min="7238" max="7238" width="11.5703125" style="5" bestFit="1" customWidth="1"/>
    <col min="7239" max="7415" width="10.7109375" style="5"/>
    <col min="7416" max="7416" width="5.28515625" style="5" customWidth="1"/>
    <col min="7417" max="7417" width="6.42578125" style="5" customWidth="1"/>
    <col min="7418" max="7418" width="22" style="5" customWidth="1"/>
    <col min="7419" max="7419" width="7.5703125" style="5" bestFit="1" customWidth="1"/>
    <col min="7420" max="7420" width="4.42578125" style="5" customWidth="1"/>
    <col min="7421" max="7421" width="7.42578125" style="5" bestFit="1" customWidth="1"/>
    <col min="7422" max="7422" width="2.85546875" style="5" bestFit="1" customWidth="1"/>
    <col min="7423" max="7423" width="7" style="5" bestFit="1" customWidth="1"/>
    <col min="7424" max="7424" width="5.7109375" style="5" bestFit="1" customWidth="1"/>
    <col min="7425" max="7425" width="7.85546875" style="5" bestFit="1" customWidth="1"/>
    <col min="7426" max="7427" width="0" style="5" hidden="1" customWidth="1"/>
    <col min="7428" max="7428" width="12.5703125" style="5" customWidth="1"/>
    <col min="7429" max="7429" width="0" style="5" hidden="1" customWidth="1"/>
    <col min="7430" max="7430" width="11" style="5" customWidth="1"/>
    <col min="7431" max="7431" width="9.140625" style="5" customWidth="1"/>
    <col min="7432" max="7432" width="9.85546875" style="5" customWidth="1"/>
    <col min="7433" max="7436" width="0" style="5" hidden="1" customWidth="1"/>
    <col min="7437" max="7437" width="1.5703125" style="5" customWidth="1"/>
    <col min="7438" max="7440" width="0" style="5" hidden="1" customWidth="1"/>
    <col min="7441" max="7441" width="10.42578125" style="5" customWidth="1"/>
    <col min="7442" max="7443" width="11" style="5" customWidth="1"/>
    <col min="7444" max="7444" width="9.42578125" style="5" customWidth="1"/>
    <col min="7445" max="7445" width="10" style="5" customWidth="1"/>
    <col min="7446" max="7446" width="11" style="5" customWidth="1"/>
    <col min="7447" max="7447" width="9.5703125" style="5" customWidth="1"/>
    <col min="7448" max="7448" width="10.140625" style="5" customWidth="1"/>
    <col min="7449" max="7488" width="10.7109375" style="5" customWidth="1"/>
    <col min="7489" max="7489" width="1.85546875" style="5" bestFit="1" customWidth="1"/>
    <col min="7490" max="7490" width="34.5703125" style="5" bestFit="1" customWidth="1"/>
    <col min="7491" max="7492" width="10.7109375" style="5" customWidth="1"/>
    <col min="7493" max="7493" width="2.7109375" style="5" bestFit="1" customWidth="1"/>
    <col min="7494" max="7494" width="11.5703125" style="5" bestFit="1" customWidth="1"/>
    <col min="7495" max="7671" width="10.7109375" style="5"/>
    <col min="7672" max="7672" width="5.28515625" style="5" customWidth="1"/>
    <col min="7673" max="7673" width="6.42578125" style="5" customWidth="1"/>
    <col min="7674" max="7674" width="22" style="5" customWidth="1"/>
    <col min="7675" max="7675" width="7.5703125" style="5" bestFit="1" customWidth="1"/>
    <col min="7676" max="7676" width="4.42578125" style="5" customWidth="1"/>
    <col min="7677" max="7677" width="7.42578125" style="5" bestFit="1" customWidth="1"/>
    <col min="7678" max="7678" width="2.85546875" style="5" bestFit="1" customWidth="1"/>
    <col min="7679" max="7679" width="7" style="5" bestFit="1" customWidth="1"/>
    <col min="7680" max="7680" width="5.7109375" style="5" bestFit="1" customWidth="1"/>
    <col min="7681" max="7681" width="7.85546875" style="5" bestFit="1" customWidth="1"/>
    <col min="7682" max="7683" width="0" style="5" hidden="1" customWidth="1"/>
    <col min="7684" max="7684" width="12.5703125" style="5" customWidth="1"/>
    <col min="7685" max="7685" width="0" style="5" hidden="1" customWidth="1"/>
    <col min="7686" max="7686" width="11" style="5" customWidth="1"/>
    <col min="7687" max="7687" width="9.140625" style="5" customWidth="1"/>
    <col min="7688" max="7688" width="9.85546875" style="5" customWidth="1"/>
    <col min="7689" max="7692" width="0" style="5" hidden="1" customWidth="1"/>
    <col min="7693" max="7693" width="1.5703125" style="5" customWidth="1"/>
    <col min="7694" max="7696" width="0" style="5" hidden="1" customWidth="1"/>
    <col min="7697" max="7697" width="10.42578125" style="5" customWidth="1"/>
    <col min="7698" max="7699" width="11" style="5" customWidth="1"/>
    <col min="7700" max="7700" width="9.42578125" style="5" customWidth="1"/>
    <col min="7701" max="7701" width="10" style="5" customWidth="1"/>
    <col min="7702" max="7702" width="11" style="5" customWidth="1"/>
    <col min="7703" max="7703" width="9.5703125" style="5" customWidth="1"/>
    <col min="7704" max="7704" width="10.140625" style="5" customWidth="1"/>
    <col min="7705" max="7744" width="10.7109375" style="5" customWidth="1"/>
    <col min="7745" max="7745" width="1.85546875" style="5" bestFit="1" customWidth="1"/>
    <col min="7746" max="7746" width="34.5703125" style="5" bestFit="1" customWidth="1"/>
    <col min="7747" max="7748" width="10.7109375" style="5" customWidth="1"/>
    <col min="7749" max="7749" width="2.7109375" style="5" bestFit="1" customWidth="1"/>
    <col min="7750" max="7750" width="11.5703125" style="5" bestFit="1" customWidth="1"/>
    <col min="7751" max="7927" width="10.7109375" style="5"/>
    <col min="7928" max="7928" width="5.28515625" style="5" customWidth="1"/>
    <col min="7929" max="7929" width="6.42578125" style="5" customWidth="1"/>
    <col min="7930" max="7930" width="22" style="5" customWidth="1"/>
    <col min="7931" max="7931" width="7.5703125" style="5" bestFit="1" customWidth="1"/>
    <col min="7932" max="7932" width="4.42578125" style="5" customWidth="1"/>
    <col min="7933" max="7933" width="7.42578125" style="5" bestFit="1" customWidth="1"/>
    <col min="7934" max="7934" width="2.85546875" style="5" bestFit="1" customWidth="1"/>
    <col min="7935" max="7935" width="7" style="5" bestFit="1" customWidth="1"/>
    <col min="7936" max="7936" width="5.7109375" style="5" bestFit="1" customWidth="1"/>
    <col min="7937" max="7937" width="7.85546875" style="5" bestFit="1" customWidth="1"/>
    <col min="7938" max="7939" width="0" style="5" hidden="1" customWidth="1"/>
    <col min="7940" max="7940" width="12.5703125" style="5" customWidth="1"/>
    <col min="7941" max="7941" width="0" style="5" hidden="1" customWidth="1"/>
    <col min="7942" max="7942" width="11" style="5" customWidth="1"/>
    <col min="7943" max="7943" width="9.140625" style="5" customWidth="1"/>
    <col min="7944" max="7944" width="9.85546875" style="5" customWidth="1"/>
    <col min="7945" max="7948" width="0" style="5" hidden="1" customWidth="1"/>
    <col min="7949" max="7949" width="1.5703125" style="5" customWidth="1"/>
    <col min="7950" max="7952" width="0" style="5" hidden="1" customWidth="1"/>
    <col min="7953" max="7953" width="10.42578125" style="5" customWidth="1"/>
    <col min="7954" max="7955" width="11" style="5" customWidth="1"/>
    <col min="7956" max="7956" width="9.42578125" style="5" customWidth="1"/>
    <col min="7957" max="7957" width="10" style="5" customWidth="1"/>
    <col min="7958" max="7958" width="11" style="5" customWidth="1"/>
    <col min="7959" max="7959" width="9.5703125" style="5" customWidth="1"/>
    <col min="7960" max="7960" width="10.140625" style="5" customWidth="1"/>
    <col min="7961" max="8000" width="10.7109375" style="5" customWidth="1"/>
    <col min="8001" max="8001" width="1.85546875" style="5" bestFit="1" customWidth="1"/>
    <col min="8002" max="8002" width="34.5703125" style="5" bestFit="1" customWidth="1"/>
    <col min="8003" max="8004" width="10.7109375" style="5" customWidth="1"/>
    <col min="8005" max="8005" width="2.7109375" style="5" bestFit="1" customWidth="1"/>
    <col min="8006" max="8006" width="11.5703125" style="5" bestFit="1" customWidth="1"/>
    <col min="8007" max="8183" width="10.7109375" style="5"/>
    <col min="8184" max="8184" width="5.28515625" style="5" customWidth="1"/>
    <col min="8185" max="8185" width="6.42578125" style="5" customWidth="1"/>
    <col min="8186" max="8186" width="22" style="5" customWidth="1"/>
    <col min="8187" max="8187" width="7.5703125" style="5" bestFit="1" customWidth="1"/>
    <col min="8188" max="8188" width="4.42578125" style="5" customWidth="1"/>
    <col min="8189" max="8189" width="7.42578125" style="5" bestFit="1" customWidth="1"/>
    <col min="8190" max="8190" width="2.85546875" style="5" bestFit="1" customWidth="1"/>
    <col min="8191" max="8191" width="7" style="5" bestFit="1" customWidth="1"/>
    <col min="8192" max="8192" width="5.7109375" style="5" bestFit="1" customWidth="1"/>
    <col min="8193" max="8193" width="7.85546875" style="5" bestFit="1" customWidth="1"/>
    <col min="8194" max="8195" width="0" style="5" hidden="1" customWidth="1"/>
    <col min="8196" max="8196" width="12.5703125" style="5" customWidth="1"/>
    <col min="8197" max="8197" width="0" style="5" hidden="1" customWidth="1"/>
    <col min="8198" max="8198" width="11" style="5" customWidth="1"/>
    <col min="8199" max="8199" width="9.140625" style="5" customWidth="1"/>
    <col min="8200" max="8200" width="9.85546875" style="5" customWidth="1"/>
    <col min="8201" max="8204" width="0" style="5" hidden="1" customWidth="1"/>
    <col min="8205" max="8205" width="1.5703125" style="5" customWidth="1"/>
    <col min="8206" max="8208" width="0" style="5" hidden="1" customWidth="1"/>
    <col min="8209" max="8209" width="10.42578125" style="5" customWidth="1"/>
    <col min="8210" max="8211" width="11" style="5" customWidth="1"/>
    <col min="8212" max="8212" width="9.42578125" style="5" customWidth="1"/>
    <col min="8213" max="8213" width="10" style="5" customWidth="1"/>
    <col min="8214" max="8214" width="11" style="5" customWidth="1"/>
    <col min="8215" max="8215" width="9.5703125" style="5" customWidth="1"/>
    <col min="8216" max="8216" width="10.140625" style="5" customWidth="1"/>
    <col min="8217" max="8256" width="10.7109375" style="5" customWidth="1"/>
    <col min="8257" max="8257" width="1.85546875" style="5" bestFit="1" customWidth="1"/>
    <col min="8258" max="8258" width="34.5703125" style="5" bestFit="1" customWidth="1"/>
    <col min="8259" max="8260" width="10.7109375" style="5" customWidth="1"/>
    <col min="8261" max="8261" width="2.7109375" style="5" bestFit="1" customWidth="1"/>
    <col min="8262" max="8262" width="11.5703125" style="5" bestFit="1" customWidth="1"/>
    <col min="8263" max="8439" width="10.7109375" style="5"/>
    <col min="8440" max="8440" width="5.28515625" style="5" customWidth="1"/>
    <col min="8441" max="8441" width="6.42578125" style="5" customWidth="1"/>
    <col min="8442" max="8442" width="22" style="5" customWidth="1"/>
    <col min="8443" max="8443" width="7.5703125" style="5" bestFit="1" customWidth="1"/>
    <col min="8444" max="8444" width="4.42578125" style="5" customWidth="1"/>
    <col min="8445" max="8445" width="7.42578125" style="5" bestFit="1" customWidth="1"/>
    <col min="8446" max="8446" width="2.85546875" style="5" bestFit="1" customWidth="1"/>
    <col min="8447" max="8447" width="7" style="5" bestFit="1" customWidth="1"/>
    <col min="8448" max="8448" width="5.7109375" style="5" bestFit="1" customWidth="1"/>
    <col min="8449" max="8449" width="7.85546875" style="5" bestFit="1" customWidth="1"/>
    <col min="8450" max="8451" width="0" style="5" hidden="1" customWidth="1"/>
    <col min="8452" max="8452" width="12.5703125" style="5" customWidth="1"/>
    <col min="8453" max="8453" width="0" style="5" hidden="1" customWidth="1"/>
    <col min="8454" max="8454" width="11" style="5" customWidth="1"/>
    <col min="8455" max="8455" width="9.140625" style="5" customWidth="1"/>
    <col min="8456" max="8456" width="9.85546875" style="5" customWidth="1"/>
    <col min="8457" max="8460" width="0" style="5" hidden="1" customWidth="1"/>
    <col min="8461" max="8461" width="1.5703125" style="5" customWidth="1"/>
    <col min="8462" max="8464" width="0" style="5" hidden="1" customWidth="1"/>
    <col min="8465" max="8465" width="10.42578125" style="5" customWidth="1"/>
    <col min="8466" max="8467" width="11" style="5" customWidth="1"/>
    <col min="8468" max="8468" width="9.42578125" style="5" customWidth="1"/>
    <col min="8469" max="8469" width="10" style="5" customWidth="1"/>
    <col min="8470" max="8470" width="11" style="5" customWidth="1"/>
    <col min="8471" max="8471" width="9.5703125" style="5" customWidth="1"/>
    <col min="8472" max="8472" width="10.140625" style="5" customWidth="1"/>
    <col min="8473" max="8512" width="10.7109375" style="5" customWidth="1"/>
    <col min="8513" max="8513" width="1.85546875" style="5" bestFit="1" customWidth="1"/>
    <col min="8514" max="8514" width="34.5703125" style="5" bestFit="1" customWidth="1"/>
    <col min="8515" max="8516" width="10.7109375" style="5" customWidth="1"/>
    <col min="8517" max="8517" width="2.7109375" style="5" bestFit="1" customWidth="1"/>
    <col min="8518" max="8518" width="11.5703125" style="5" bestFit="1" customWidth="1"/>
    <col min="8519" max="8695" width="10.7109375" style="5"/>
    <col min="8696" max="8696" width="5.28515625" style="5" customWidth="1"/>
    <col min="8697" max="8697" width="6.42578125" style="5" customWidth="1"/>
    <col min="8698" max="8698" width="22" style="5" customWidth="1"/>
    <col min="8699" max="8699" width="7.5703125" style="5" bestFit="1" customWidth="1"/>
    <col min="8700" max="8700" width="4.42578125" style="5" customWidth="1"/>
    <col min="8701" max="8701" width="7.42578125" style="5" bestFit="1" customWidth="1"/>
    <col min="8702" max="8702" width="2.85546875" style="5" bestFit="1" customWidth="1"/>
    <col min="8703" max="8703" width="7" style="5" bestFit="1" customWidth="1"/>
    <col min="8704" max="8704" width="5.7109375" style="5" bestFit="1" customWidth="1"/>
    <col min="8705" max="8705" width="7.85546875" style="5" bestFit="1" customWidth="1"/>
    <col min="8706" max="8707" width="0" style="5" hidden="1" customWidth="1"/>
    <col min="8708" max="8708" width="12.5703125" style="5" customWidth="1"/>
    <col min="8709" max="8709" width="0" style="5" hidden="1" customWidth="1"/>
    <col min="8710" max="8710" width="11" style="5" customWidth="1"/>
    <col min="8711" max="8711" width="9.140625" style="5" customWidth="1"/>
    <col min="8712" max="8712" width="9.85546875" style="5" customWidth="1"/>
    <col min="8713" max="8716" width="0" style="5" hidden="1" customWidth="1"/>
    <col min="8717" max="8717" width="1.5703125" style="5" customWidth="1"/>
    <col min="8718" max="8720" width="0" style="5" hidden="1" customWidth="1"/>
    <col min="8721" max="8721" width="10.42578125" style="5" customWidth="1"/>
    <col min="8722" max="8723" width="11" style="5" customWidth="1"/>
    <col min="8724" max="8724" width="9.42578125" style="5" customWidth="1"/>
    <col min="8725" max="8725" width="10" style="5" customWidth="1"/>
    <col min="8726" max="8726" width="11" style="5" customWidth="1"/>
    <col min="8727" max="8727" width="9.5703125" style="5" customWidth="1"/>
    <col min="8728" max="8728" width="10.140625" style="5" customWidth="1"/>
    <col min="8729" max="8768" width="10.7109375" style="5" customWidth="1"/>
    <col min="8769" max="8769" width="1.85546875" style="5" bestFit="1" customWidth="1"/>
    <col min="8770" max="8770" width="34.5703125" style="5" bestFit="1" customWidth="1"/>
    <col min="8771" max="8772" width="10.7109375" style="5" customWidth="1"/>
    <col min="8773" max="8773" width="2.7109375" style="5" bestFit="1" customWidth="1"/>
    <col min="8774" max="8774" width="11.5703125" style="5" bestFit="1" customWidth="1"/>
    <col min="8775" max="8951" width="10.7109375" style="5"/>
    <col min="8952" max="8952" width="5.28515625" style="5" customWidth="1"/>
    <col min="8953" max="8953" width="6.42578125" style="5" customWidth="1"/>
    <col min="8954" max="8954" width="22" style="5" customWidth="1"/>
    <col min="8955" max="8955" width="7.5703125" style="5" bestFit="1" customWidth="1"/>
    <col min="8956" max="8956" width="4.42578125" style="5" customWidth="1"/>
    <col min="8957" max="8957" width="7.42578125" style="5" bestFit="1" customWidth="1"/>
    <col min="8958" max="8958" width="2.85546875" style="5" bestFit="1" customWidth="1"/>
    <col min="8959" max="8959" width="7" style="5" bestFit="1" customWidth="1"/>
    <col min="8960" max="8960" width="5.7109375" style="5" bestFit="1" customWidth="1"/>
    <col min="8961" max="8961" width="7.85546875" style="5" bestFit="1" customWidth="1"/>
    <col min="8962" max="8963" width="0" style="5" hidden="1" customWidth="1"/>
    <col min="8964" max="8964" width="12.5703125" style="5" customWidth="1"/>
    <col min="8965" max="8965" width="0" style="5" hidden="1" customWidth="1"/>
    <col min="8966" max="8966" width="11" style="5" customWidth="1"/>
    <col min="8967" max="8967" width="9.140625" style="5" customWidth="1"/>
    <col min="8968" max="8968" width="9.85546875" style="5" customWidth="1"/>
    <col min="8969" max="8972" width="0" style="5" hidden="1" customWidth="1"/>
    <col min="8973" max="8973" width="1.5703125" style="5" customWidth="1"/>
    <col min="8974" max="8976" width="0" style="5" hidden="1" customWidth="1"/>
    <col min="8977" max="8977" width="10.42578125" style="5" customWidth="1"/>
    <col min="8978" max="8979" width="11" style="5" customWidth="1"/>
    <col min="8980" max="8980" width="9.42578125" style="5" customWidth="1"/>
    <col min="8981" max="8981" width="10" style="5" customWidth="1"/>
    <col min="8982" max="8982" width="11" style="5" customWidth="1"/>
    <col min="8983" max="8983" width="9.5703125" style="5" customWidth="1"/>
    <col min="8984" max="8984" width="10.140625" style="5" customWidth="1"/>
    <col min="8985" max="9024" width="10.7109375" style="5" customWidth="1"/>
    <col min="9025" max="9025" width="1.85546875" style="5" bestFit="1" customWidth="1"/>
    <col min="9026" max="9026" width="34.5703125" style="5" bestFit="1" customWidth="1"/>
    <col min="9027" max="9028" width="10.7109375" style="5" customWidth="1"/>
    <col min="9029" max="9029" width="2.7109375" style="5" bestFit="1" customWidth="1"/>
    <col min="9030" max="9030" width="11.5703125" style="5" bestFit="1" customWidth="1"/>
    <col min="9031" max="9207" width="10.7109375" style="5"/>
    <col min="9208" max="9208" width="5.28515625" style="5" customWidth="1"/>
    <col min="9209" max="9209" width="6.42578125" style="5" customWidth="1"/>
    <col min="9210" max="9210" width="22" style="5" customWidth="1"/>
    <col min="9211" max="9211" width="7.5703125" style="5" bestFit="1" customWidth="1"/>
    <col min="9212" max="9212" width="4.42578125" style="5" customWidth="1"/>
    <col min="9213" max="9213" width="7.42578125" style="5" bestFit="1" customWidth="1"/>
    <col min="9214" max="9214" width="2.85546875" style="5" bestFit="1" customWidth="1"/>
    <col min="9215" max="9215" width="7" style="5" bestFit="1" customWidth="1"/>
    <col min="9216" max="9216" width="5.7109375" style="5" bestFit="1" customWidth="1"/>
    <col min="9217" max="9217" width="7.85546875" style="5" bestFit="1" customWidth="1"/>
    <col min="9218" max="9219" width="0" style="5" hidden="1" customWidth="1"/>
    <col min="9220" max="9220" width="12.5703125" style="5" customWidth="1"/>
    <col min="9221" max="9221" width="0" style="5" hidden="1" customWidth="1"/>
    <col min="9222" max="9222" width="11" style="5" customWidth="1"/>
    <col min="9223" max="9223" width="9.140625" style="5" customWidth="1"/>
    <col min="9224" max="9224" width="9.85546875" style="5" customWidth="1"/>
    <col min="9225" max="9228" width="0" style="5" hidden="1" customWidth="1"/>
    <col min="9229" max="9229" width="1.5703125" style="5" customWidth="1"/>
    <col min="9230" max="9232" width="0" style="5" hidden="1" customWidth="1"/>
    <col min="9233" max="9233" width="10.42578125" style="5" customWidth="1"/>
    <col min="9234" max="9235" width="11" style="5" customWidth="1"/>
    <col min="9236" max="9236" width="9.42578125" style="5" customWidth="1"/>
    <col min="9237" max="9237" width="10" style="5" customWidth="1"/>
    <col min="9238" max="9238" width="11" style="5" customWidth="1"/>
    <col min="9239" max="9239" width="9.5703125" style="5" customWidth="1"/>
    <col min="9240" max="9240" width="10.140625" style="5" customWidth="1"/>
    <col min="9241" max="9280" width="10.7109375" style="5" customWidth="1"/>
    <col min="9281" max="9281" width="1.85546875" style="5" bestFit="1" customWidth="1"/>
    <col min="9282" max="9282" width="34.5703125" style="5" bestFit="1" customWidth="1"/>
    <col min="9283" max="9284" width="10.7109375" style="5" customWidth="1"/>
    <col min="9285" max="9285" width="2.7109375" style="5" bestFit="1" customWidth="1"/>
    <col min="9286" max="9286" width="11.5703125" style="5" bestFit="1" customWidth="1"/>
    <col min="9287" max="9463" width="10.7109375" style="5"/>
    <col min="9464" max="9464" width="5.28515625" style="5" customWidth="1"/>
    <col min="9465" max="9465" width="6.42578125" style="5" customWidth="1"/>
    <col min="9466" max="9466" width="22" style="5" customWidth="1"/>
    <col min="9467" max="9467" width="7.5703125" style="5" bestFit="1" customWidth="1"/>
    <col min="9468" max="9468" width="4.42578125" style="5" customWidth="1"/>
    <col min="9469" max="9469" width="7.42578125" style="5" bestFit="1" customWidth="1"/>
    <col min="9470" max="9470" width="2.85546875" style="5" bestFit="1" customWidth="1"/>
    <col min="9471" max="9471" width="7" style="5" bestFit="1" customWidth="1"/>
    <col min="9472" max="9472" width="5.7109375" style="5" bestFit="1" customWidth="1"/>
    <col min="9473" max="9473" width="7.85546875" style="5" bestFit="1" customWidth="1"/>
    <col min="9474" max="9475" width="0" style="5" hidden="1" customWidth="1"/>
    <col min="9476" max="9476" width="12.5703125" style="5" customWidth="1"/>
    <col min="9477" max="9477" width="0" style="5" hidden="1" customWidth="1"/>
    <col min="9478" max="9478" width="11" style="5" customWidth="1"/>
    <col min="9479" max="9479" width="9.140625" style="5" customWidth="1"/>
    <col min="9480" max="9480" width="9.85546875" style="5" customWidth="1"/>
    <col min="9481" max="9484" width="0" style="5" hidden="1" customWidth="1"/>
    <col min="9485" max="9485" width="1.5703125" style="5" customWidth="1"/>
    <col min="9486" max="9488" width="0" style="5" hidden="1" customWidth="1"/>
    <col min="9489" max="9489" width="10.42578125" style="5" customWidth="1"/>
    <col min="9490" max="9491" width="11" style="5" customWidth="1"/>
    <col min="9492" max="9492" width="9.42578125" style="5" customWidth="1"/>
    <col min="9493" max="9493" width="10" style="5" customWidth="1"/>
    <col min="9494" max="9494" width="11" style="5" customWidth="1"/>
    <col min="9495" max="9495" width="9.5703125" style="5" customWidth="1"/>
    <col min="9496" max="9496" width="10.140625" style="5" customWidth="1"/>
    <col min="9497" max="9536" width="10.7109375" style="5" customWidth="1"/>
    <col min="9537" max="9537" width="1.85546875" style="5" bestFit="1" customWidth="1"/>
    <col min="9538" max="9538" width="34.5703125" style="5" bestFit="1" customWidth="1"/>
    <col min="9539" max="9540" width="10.7109375" style="5" customWidth="1"/>
    <col min="9541" max="9541" width="2.7109375" style="5" bestFit="1" customWidth="1"/>
    <col min="9542" max="9542" width="11.5703125" style="5" bestFit="1" customWidth="1"/>
    <col min="9543" max="9719" width="10.7109375" style="5"/>
    <col min="9720" max="9720" width="5.28515625" style="5" customWidth="1"/>
    <col min="9721" max="9721" width="6.42578125" style="5" customWidth="1"/>
    <col min="9722" max="9722" width="22" style="5" customWidth="1"/>
    <col min="9723" max="9723" width="7.5703125" style="5" bestFit="1" customWidth="1"/>
    <col min="9724" max="9724" width="4.42578125" style="5" customWidth="1"/>
    <col min="9725" max="9725" width="7.42578125" style="5" bestFit="1" customWidth="1"/>
    <col min="9726" max="9726" width="2.85546875" style="5" bestFit="1" customWidth="1"/>
    <col min="9727" max="9727" width="7" style="5" bestFit="1" customWidth="1"/>
    <col min="9728" max="9728" width="5.7109375" style="5" bestFit="1" customWidth="1"/>
    <col min="9729" max="9729" width="7.85546875" style="5" bestFit="1" customWidth="1"/>
    <col min="9730" max="9731" width="0" style="5" hidden="1" customWidth="1"/>
    <col min="9732" max="9732" width="12.5703125" style="5" customWidth="1"/>
    <col min="9733" max="9733" width="0" style="5" hidden="1" customWidth="1"/>
    <col min="9734" max="9734" width="11" style="5" customWidth="1"/>
    <col min="9735" max="9735" width="9.140625" style="5" customWidth="1"/>
    <col min="9736" max="9736" width="9.85546875" style="5" customWidth="1"/>
    <col min="9737" max="9740" width="0" style="5" hidden="1" customWidth="1"/>
    <col min="9741" max="9741" width="1.5703125" style="5" customWidth="1"/>
    <col min="9742" max="9744" width="0" style="5" hidden="1" customWidth="1"/>
    <col min="9745" max="9745" width="10.42578125" style="5" customWidth="1"/>
    <col min="9746" max="9747" width="11" style="5" customWidth="1"/>
    <col min="9748" max="9748" width="9.42578125" style="5" customWidth="1"/>
    <col min="9749" max="9749" width="10" style="5" customWidth="1"/>
    <col min="9750" max="9750" width="11" style="5" customWidth="1"/>
    <col min="9751" max="9751" width="9.5703125" style="5" customWidth="1"/>
    <col min="9752" max="9752" width="10.140625" style="5" customWidth="1"/>
    <col min="9753" max="9792" width="10.7109375" style="5" customWidth="1"/>
    <col min="9793" max="9793" width="1.85546875" style="5" bestFit="1" customWidth="1"/>
    <col min="9794" max="9794" width="34.5703125" style="5" bestFit="1" customWidth="1"/>
    <col min="9795" max="9796" width="10.7109375" style="5" customWidth="1"/>
    <col min="9797" max="9797" width="2.7109375" style="5" bestFit="1" customWidth="1"/>
    <col min="9798" max="9798" width="11.5703125" style="5" bestFit="1" customWidth="1"/>
    <col min="9799" max="9975" width="10.7109375" style="5"/>
    <col min="9976" max="9976" width="5.28515625" style="5" customWidth="1"/>
    <col min="9977" max="9977" width="6.42578125" style="5" customWidth="1"/>
    <col min="9978" max="9978" width="22" style="5" customWidth="1"/>
    <col min="9979" max="9979" width="7.5703125" style="5" bestFit="1" customWidth="1"/>
    <col min="9980" max="9980" width="4.42578125" style="5" customWidth="1"/>
    <col min="9981" max="9981" width="7.42578125" style="5" bestFit="1" customWidth="1"/>
    <col min="9982" max="9982" width="2.85546875" style="5" bestFit="1" customWidth="1"/>
    <col min="9983" max="9983" width="7" style="5" bestFit="1" customWidth="1"/>
    <col min="9984" max="9984" width="5.7109375" style="5" bestFit="1" customWidth="1"/>
    <col min="9985" max="9985" width="7.85546875" style="5" bestFit="1" customWidth="1"/>
    <col min="9986" max="9987" width="0" style="5" hidden="1" customWidth="1"/>
    <col min="9988" max="9988" width="12.5703125" style="5" customWidth="1"/>
    <col min="9989" max="9989" width="0" style="5" hidden="1" customWidth="1"/>
    <col min="9990" max="9990" width="11" style="5" customWidth="1"/>
    <col min="9991" max="9991" width="9.140625" style="5" customWidth="1"/>
    <col min="9992" max="9992" width="9.85546875" style="5" customWidth="1"/>
    <col min="9993" max="9996" width="0" style="5" hidden="1" customWidth="1"/>
    <col min="9997" max="9997" width="1.5703125" style="5" customWidth="1"/>
    <col min="9998" max="10000" width="0" style="5" hidden="1" customWidth="1"/>
    <col min="10001" max="10001" width="10.42578125" style="5" customWidth="1"/>
    <col min="10002" max="10003" width="11" style="5" customWidth="1"/>
    <col min="10004" max="10004" width="9.42578125" style="5" customWidth="1"/>
    <col min="10005" max="10005" width="10" style="5" customWidth="1"/>
    <col min="10006" max="10006" width="11" style="5" customWidth="1"/>
    <col min="10007" max="10007" width="9.5703125" style="5" customWidth="1"/>
    <col min="10008" max="10008" width="10.140625" style="5" customWidth="1"/>
    <col min="10009" max="10048" width="10.7109375" style="5" customWidth="1"/>
    <col min="10049" max="10049" width="1.85546875" style="5" bestFit="1" customWidth="1"/>
    <col min="10050" max="10050" width="34.5703125" style="5" bestFit="1" customWidth="1"/>
    <col min="10051" max="10052" width="10.7109375" style="5" customWidth="1"/>
    <col min="10053" max="10053" width="2.7109375" style="5" bestFit="1" customWidth="1"/>
    <col min="10054" max="10054" width="11.5703125" style="5" bestFit="1" customWidth="1"/>
    <col min="10055" max="10231" width="10.7109375" style="5"/>
    <col min="10232" max="10232" width="5.28515625" style="5" customWidth="1"/>
    <col min="10233" max="10233" width="6.42578125" style="5" customWidth="1"/>
    <col min="10234" max="10234" width="22" style="5" customWidth="1"/>
    <col min="10235" max="10235" width="7.5703125" style="5" bestFit="1" customWidth="1"/>
    <col min="10236" max="10236" width="4.42578125" style="5" customWidth="1"/>
    <col min="10237" max="10237" width="7.42578125" style="5" bestFit="1" customWidth="1"/>
    <col min="10238" max="10238" width="2.85546875" style="5" bestFit="1" customWidth="1"/>
    <col min="10239" max="10239" width="7" style="5" bestFit="1" customWidth="1"/>
    <col min="10240" max="10240" width="5.7109375" style="5" bestFit="1" customWidth="1"/>
    <col min="10241" max="10241" width="7.85546875" style="5" bestFit="1" customWidth="1"/>
    <col min="10242" max="10243" width="0" style="5" hidden="1" customWidth="1"/>
    <col min="10244" max="10244" width="12.5703125" style="5" customWidth="1"/>
    <col min="10245" max="10245" width="0" style="5" hidden="1" customWidth="1"/>
    <col min="10246" max="10246" width="11" style="5" customWidth="1"/>
    <col min="10247" max="10247" width="9.140625" style="5" customWidth="1"/>
    <col min="10248" max="10248" width="9.85546875" style="5" customWidth="1"/>
    <col min="10249" max="10252" width="0" style="5" hidden="1" customWidth="1"/>
    <col min="10253" max="10253" width="1.5703125" style="5" customWidth="1"/>
    <col min="10254" max="10256" width="0" style="5" hidden="1" customWidth="1"/>
    <col min="10257" max="10257" width="10.42578125" style="5" customWidth="1"/>
    <col min="10258" max="10259" width="11" style="5" customWidth="1"/>
    <col min="10260" max="10260" width="9.42578125" style="5" customWidth="1"/>
    <col min="10261" max="10261" width="10" style="5" customWidth="1"/>
    <col min="10262" max="10262" width="11" style="5" customWidth="1"/>
    <col min="10263" max="10263" width="9.5703125" style="5" customWidth="1"/>
    <col min="10264" max="10264" width="10.140625" style="5" customWidth="1"/>
    <col min="10265" max="10304" width="10.7109375" style="5" customWidth="1"/>
    <col min="10305" max="10305" width="1.85546875" style="5" bestFit="1" customWidth="1"/>
    <col min="10306" max="10306" width="34.5703125" style="5" bestFit="1" customWidth="1"/>
    <col min="10307" max="10308" width="10.7109375" style="5" customWidth="1"/>
    <col min="10309" max="10309" width="2.7109375" style="5" bestFit="1" customWidth="1"/>
    <col min="10310" max="10310" width="11.5703125" style="5" bestFit="1" customWidth="1"/>
    <col min="10311" max="10487" width="10.7109375" style="5"/>
    <col min="10488" max="10488" width="5.28515625" style="5" customWidth="1"/>
    <col min="10489" max="10489" width="6.42578125" style="5" customWidth="1"/>
    <col min="10490" max="10490" width="22" style="5" customWidth="1"/>
    <col min="10491" max="10491" width="7.5703125" style="5" bestFit="1" customWidth="1"/>
    <col min="10492" max="10492" width="4.42578125" style="5" customWidth="1"/>
    <col min="10493" max="10493" width="7.42578125" style="5" bestFit="1" customWidth="1"/>
    <col min="10494" max="10494" width="2.85546875" style="5" bestFit="1" customWidth="1"/>
    <col min="10495" max="10495" width="7" style="5" bestFit="1" customWidth="1"/>
    <col min="10496" max="10496" width="5.7109375" style="5" bestFit="1" customWidth="1"/>
    <col min="10497" max="10497" width="7.85546875" style="5" bestFit="1" customWidth="1"/>
    <col min="10498" max="10499" width="0" style="5" hidden="1" customWidth="1"/>
    <col min="10500" max="10500" width="12.5703125" style="5" customWidth="1"/>
    <col min="10501" max="10501" width="0" style="5" hidden="1" customWidth="1"/>
    <col min="10502" max="10502" width="11" style="5" customWidth="1"/>
    <col min="10503" max="10503" width="9.140625" style="5" customWidth="1"/>
    <col min="10504" max="10504" width="9.85546875" style="5" customWidth="1"/>
    <col min="10505" max="10508" width="0" style="5" hidden="1" customWidth="1"/>
    <col min="10509" max="10509" width="1.5703125" style="5" customWidth="1"/>
    <col min="10510" max="10512" width="0" style="5" hidden="1" customWidth="1"/>
    <col min="10513" max="10513" width="10.42578125" style="5" customWidth="1"/>
    <col min="10514" max="10515" width="11" style="5" customWidth="1"/>
    <col min="10516" max="10516" width="9.42578125" style="5" customWidth="1"/>
    <col min="10517" max="10517" width="10" style="5" customWidth="1"/>
    <col min="10518" max="10518" width="11" style="5" customWidth="1"/>
    <col min="10519" max="10519" width="9.5703125" style="5" customWidth="1"/>
    <col min="10520" max="10520" width="10.140625" style="5" customWidth="1"/>
    <col min="10521" max="10560" width="10.7109375" style="5" customWidth="1"/>
    <col min="10561" max="10561" width="1.85546875" style="5" bestFit="1" customWidth="1"/>
    <col min="10562" max="10562" width="34.5703125" style="5" bestFit="1" customWidth="1"/>
    <col min="10563" max="10564" width="10.7109375" style="5" customWidth="1"/>
    <col min="10565" max="10565" width="2.7109375" style="5" bestFit="1" customWidth="1"/>
    <col min="10566" max="10566" width="11.5703125" style="5" bestFit="1" customWidth="1"/>
    <col min="10567" max="10743" width="10.7109375" style="5"/>
    <col min="10744" max="10744" width="5.28515625" style="5" customWidth="1"/>
    <col min="10745" max="10745" width="6.42578125" style="5" customWidth="1"/>
    <col min="10746" max="10746" width="22" style="5" customWidth="1"/>
    <col min="10747" max="10747" width="7.5703125" style="5" bestFit="1" customWidth="1"/>
    <col min="10748" max="10748" width="4.42578125" style="5" customWidth="1"/>
    <col min="10749" max="10749" width="7.42578125" style="5" bestFit="1" customWidth="1"/>
    <col min="10750" max="10750" width="2.85546875" style="5" bestFit="1" customWidth="1"/>
    <col min="10751" max="10751" width="7" style="5" bestFit="1" customWidth="1"/>
    <col min="10752" max="10752" width="5.7109375" style="5" bestFit="1" customWidth="1"/>
    <col min="10753" max="10753" width="7.85546875" style="5" bestFit="1" customWidth="1"/>
    <col min="10754" max="10755" width="0" style="5" hidden="1" customWidth="1"/>
    <col min="10756" max="10756" width="12.5703125" style="5" customWidth="1"/>
    <col min="10757" max="10757" width="0" style="5" hidden="1" customWidth="1"/>
    <col min="10758" max="10758" width="11" style="5" customWidth="1"/>
    <col min="10759" max="10759" width="9.140625" style="5" customWidth="1"/>
    <col min="10760" max="10760" width="9.85546875" style="5" customWidth="1"/>
    <col min="10761" max="10764" width="0" style="5" hidden="1" customWidth="1"/>
    <col min="10765" max="10765" width="1.5703125" style="5" customWidth="1"/>
    <col min="10766" max="10768" width="0" style="5" hidden="1" customWidth="1"/>
    <col min="10769" max="10769" width="10.42578125" style="5" customWidth="1"/>
    <col min="10770" max="10771" width="11" style="5" customWidth="1"/>
    <col min="10772" max="10772" width="9.42578125" style="5" customWidth="1"/>
    <col min="10773" max="10773" width="10" style="5" customWidth="1"/>
    <col min="10774" max="10774" width="11" style="5" customWidth="1"/>
    <col min="10775" max="10775" width="9.5703125" style="5" customWidth="1"/>
    <col min="10776" max="10776" width="10.140625" style="5" customWidth="1"/>
    <col min="10777" max="10816" width="10.7109375" style="5" customWidth="1"/>
    <col min="10817" max="10817" width="1.85546875" style="5" bestFit="1" customWidth="1"/>
    <col min="10818" max="10818" width="34.5703125" style="5" bestFit="1" customWidth="1"/>
    <col min="10819" max="10820" width="10.7109375" style="5" customWidth="1"/>
    <col min="10821" max="10821" width="2.7109375" style="5" bestFit="1" customWidth="1"/>
    <col min="10822" max="10822" width="11.5703125" style="5" bestFit="1" customWidth="1"/>
    <col min="10823" max="10999" width="10.7109375" style="5"/>
    <col min="11000" max="11000" width="5.28515625" style="5" customWidth="1"/>
    <col min="11001" max="11001" width="6.42578125" style="5" customWidth="1"/>
    <col min="11002" max="11002" width="22" style="5" customWidth="1"/>
    <col min="11003" max="11003" width="7.5703125" style="5" bestFit="1" customWidth="1"/>
    <col min="11004" max="11004" width="4.42578125" style="5" customWidth="1"/>
    <col min="11005" max="11005" width="7.42578125" style="5" bestFit="1" customWidth="1"/>
    <col min="11006" max="11006" width="2.85546875" style="5" bestFit="1" customWidth="1"/>
    <col min="11007" max="11007" width="7" style="5" bestFit="1" customWidth="1"/>
    <col min="11008" max="11008" width="5.7109375" style="5" bestFit="1" customWidth="1"/>
    <col min="11009" max="11009" width="7.85546875" style="5" bestFit="1" customWidth="1"/>
    <col min="11010" max="11011" width="0" style="5" hidden="1" customWidth="1"/>
    <col min="11012" max="11012" width="12.5703125" style="5" customWidth="1"/>
    <col min="11013" max="11013" width="0" style="5" hidden="1" customWidth="1"/>
    <col min="11014" max="11014" width="11" style="5" customWidth="1"/>
    <col min="11015" max="11015" width="9.140625" style="5" customWidth="1"/>
    <col min="11016" max="11016" width="9.85546875" style="5" customWidth="1"/>
    <col min="11017" max="11020" width="0" style="5" hidden="1" customWidth="1"/>
    <col min="11021" max="11021" width="1.5703125" style="5" customWidth="1"/>
    <col min="11022" max="11024" width="0" style="5" hidden="1" customWidth="1"/>
    <col min="11025" max="11025" width="10.42578125" style="5" customWidth="1"/>
    <col min="11026" max="11027" width="11" style="5" customWidth="1"/>
    <col min="11028" max="11028" width="9.42578125" style="5" customWidth="1"/>
    <col min="11029" max="11029" width="10" style="5" customWidth="1"/>
    <col min="11030" max="11030" width="11" style="5" customWidth="1"/>
    <col min="11031" max="11031" width="9.5703125" style="5" customWidth="1"/>
    <col min="11032" max="11032" width="10.140625" style="5" customWidth="1"/>
    <col min="11033" max="11072" width="10.7109375" style="5" customWidth="1"/>
    <col min="11073" max="11073" width="1.85546875" style="5" bestFit="1" customWidth="1"/>
    <col min="11074" max="11074" width="34.5703125" style="5" bestFit="1" customWidth="1"/>
    <col min="11075" max="11076" width="10.7109375" style="5" customWidth="1"/>
    <col min="11077" max="11077" width="2.7109375" style="5" bestFit="1" customWidth="1"/>
    <col min="11078" max="11078" width="11.5703125" style="5" bestFit="1" customWidth="1"/>
    <col min="11079" max="11255" width="10.7109375" style="5"/>
    <col min="11256" max="11256" width="5.28515625" style="5" customWidth="1"/>
    <col min="11257" max="11257" width="6.42578125" style="5" customWidth="1"/>
    <col min="11258" max="11258" width="22" style="5" customWidth="1"/>
    <col min="11259" max="11259" width="7.5703125" style="5" bestFit="1" customWidth="1"/>
    <col min="11260" max="11260" width="4.42578125" style="5" customWidth="1"/>
    <col min="11261" max="11261" width="7.42578125" style="5" bestFit="1" customWidth="1"/>
    <col min="11262" max="11262" width="2.85546875" style="5" bestFit="1" customWidth="1"/>
    <col min="11263" max="11263" width="7" style="5" bestFit="1" customWidth="1"/>
    <col min="11264" max="11264" width="5.7109375" style="5" bestFit="1" customWidth="1"/>
    <col min="11265" max="11265" width="7.85546875" style="5" bestFit="1" customWidth="1"/>
    <col min="11266" max="11267" width="0" style="5" hidden="1" customWidth="1"/>
    <col min="11268" max="11268" width="12.5703125" style="5" customWidth="1"/>
    <col min="11269" max="11269" width="0" style="5" hidden="1" customWidth="1"/>
    <col min="11270" max="11270" width="11" style="5" customWidth="1"/>
    <col min="11271" max="11271" width="9.140625" style="5" customWidth="1"/>
    <col min="11272" max="11272" width="9.85546875" style="5" customWidth="1"/>
    <col min="11273" max="11276" width="0" style="5" hidden="1" customWidth="1"/>
    <col min="11277" max="11277" width="1.5703125" style="5" customWidth="1"/>
    <col min="11278" max="11280" width="0" style="5" hidden="1" customWidth="1"/>
    <col min="11281" max="11281" width="10.42578125" style="5" customWidth="1"/>
    <col min="11282" max="11283" width="11" style="5" customWidth="1"/>
    <col min="11284" max="11284" width="9.42578125" style="5" customWidth="1"/>
    <col min="11285" max="11285" width="10" style="5" customWidth="1"/>
    <col min="11286" max="11286" width="11" style="5" customWidth="1"/>
    <col min="11287" max="11287" width="9.5703125" style="5" customWidth="1"/>
    <col min="11288" max="11288" width="10.140625" style="5" customWidth="1"/>
    <col min="11289" max="11328" width="10.7109375" style="5" customWidth="1"/>
    <col min="11329" max="11329" width="1.85546875" style="5" bestFit="1" customWidth="1"/>
    <col min="11330" max="11330" width="34.5703125" style="5" bestFit="1" customWidth="1"/>
    <col min="11331" max="11332" width="10.7109375" style="5" customWidth="1"/>
    <col min="11333" max="11333" width="2.7109375" style="5" bestFit="1" customWidth="1"/>
    <col min="11334" max="11334" width="11.5703125" style="5" bestFit="1" customWidth="1"/>
    <col min="11335" max="11511" width="10.7109375" style="5"/>
    <col min="11512" max="11512" width="5.28515625" style="5" customWidth="1"/>
    <col min="11513" max="11513" width="6.42578125" style="5" customWidth="1"/>
    <col min="11514" max="11514" width="22" style="5" customWidth="1"/>
    <col min="11515" max="11515" width="7.5703125" style="5" bestFit="1" customWidth="1"/>
    <col min="11516" max="11516" width="4.42578125" style="5" customWidth="1"/>
    <col min="11517" max="11517" width="7.42578125" style="5" bestFit="1" customWidth="1"/>
    <col min="11518" max="11518" width="2.85546875" style="5" bestFit="1" customWidth="1"/>
    <col min="11519" max="11519" width="7" style="5" bestFit="1" customWidth="1"/>
    <col min="11520" max="11520" width="5.7109375" style="5" bestFit="1" customWidth="1"/>
    <col min="11521" max="11521" width="7.85546875" style="5" bestFit="1" customWidth="1"/>
    <col min="11522" max="11523" width="0" style="5" hidden="1" customWidth="1"/>
    <col min="11524" max="11524" width="12.5703125" style="5" customWidth="1"/>
    <col min="11525" max="11525" width="0" style="5" hidden="1" customWidth="1"/>
    <col min="11526" max="11526" width="11" style="5" customWidth="1"/>
    <col min="11527" max="11527" width="9.140625" style="5" customWidth="1"/>
    <col min="11528" max="11528" width="9.85546875" style="5" customWidth="1"/>
    <col min="11529" max="11532" width="0" style="5" hidden="1" customWidth="1"/>
    <col min="11533" max="11533" width="1.5703125" style="5" customWidth="1"/>
    <col min="11534" max="11536" width="0" style="5" hidden="1" customWidth="1"/>
    <col min="11537" max="11537" width="10.42578125" style="5" customWidth="1"/>
    <col min="11538" max="11539" width="11" style="5" customWidth="1"/>
    <col min="11540" max="11540" width="9.42578125" style="5" customWidth="1"/>
    <col min="11541" max="11541" width="10" style="5" customWidth="1"/>
    <col min="11542" max="11542" width="11" style="5" customWidth="1"/>
    <col min="11543" max="11543" width="9.5703125" style="5" customWidth="1"/>
    <col min="11544" max="11544" width="10.140625" style="5" customWidth="1"/>
    <col min="11545" max="11584" width="10.7109375" style="5" customWidth="1"/>
    <col min="11585" max="11585" width="1.85546875" style="5" bestFit="1" customWidth="1"/>
    <col min="11586" max="11586" width="34.5703125" style="5" bestFit="1" customWidth="1"/>
    <col min="11587" max="11588" width="10.7109375" style="5" customWidth="1"/>
    <col min="11589" max="11589" width="2.7109375" style="5" bestFit="1" customWidth="1"/>
    <col min="11590" max="11590" width="11.5703125" style="5" bestFit="1" customWidth="1"/>
    <col min="11591" max="11767" width="10.7109375" style="5"/>
    <col min="11768" max="11768" width="5.28515625" style="5" customWidth="1"/>
    <col min="11769" max="11769" width="6.42578125" style="5" customWidth="1"/>
    <col min="11770" max="11770" width="22" style="5" customWidth="1"/>
    <col min="11771" max="11771" width="7.5703125" style="5" bestFit="1" customWidth="1"/>
    <col min="11772" max="11772" width="4.42578125" style="5" customWidth="1"/>
    <col min="11773" max="11773" width="7.42578125" style="5" bestFit="1" customWidth="1"/>
    <col min="11774" max="11774" width="2.85546875" style="5" bestFit="1" customWidth="1"/>
    <col min="11775" max="11775" width="7" style="5" bestFit="1" customWidth="1"/>
    <col min="11776" max="11776" width="5.7109375" style="5" bestFit="1" customWidth="1"/>
    <col min="11777" max="11777" width="7.85546875" style="5" bestFit="1" customWidth="1"/>
    <col min="11778" max="11779" width="0" style="5" hidden="1" customWidth="1"/>
    <col min="11780" max="11780" width="12.5703125" style="5" customWidth="1"/>
    <col min="11781" max="11781" width="0" style="5" hidden="1" customWidth="1"/>
    <col min="11782" max="11782" width="11" style="5" customWidth="1"/>
    <col min="11783" max="11783" width="9.140625" style="5" customWidth="1"/>
    <col min="11784" max="11784" width="9.85546875" style="5" customWidth="1"/>
    <col min="11785" max="11788" width="0" style="5" hidden="1" customWidth="1"/>
    <col min="11789" max="11789" width="1.5703125" style="5" customWidth="1"/>
    <col min="11790" max="11792" width="0" style="5" hidden="1" customWidth="1"/>
    <col min="11793" max="11793" width="10.42578125" style="5" customWidth="1"/>
    <col min="11794" max="11795" width="11" style="5" customWidth="1"/>
    <col min="11796" max="11796" width="9.42578125" style="5" customWidth="1"/>
    <col min="11797" max="11797" width="10" style="5" customWidth="1"/>
    <col min="11798" max="11798" width="11" style="5" customWidth="1"/>
    <col min="11799" max="11799" width="9.5703125" style="5" customWidth="1"/>
    <col min="11800" max="11800" width="10.140625" style="5" customWidth="1"/>
    <col min="11801" max="11840" width="10.7109375" style="5" customWidth="1"/>
    <col min="11841" max="11841" width="1.85546875" style="5" bestFit="1" customWidth="1"/>
    <col min="11842" max="11842" width="34.5703125" style="5" bestFit="1" customWidth="1"/>
    <col min="11843" max="11844" width="10.7109375" style="5" customWidth="1"/>
    <col min="11845" max="11845" width="2.7109375" style="5" bestFit="1" customWidth="1"/>
    <col min="11846" max="11846" width="11.5703125" style="5" bestFit="1" customWidth="1"/>
    <col min="11847" max="12023" width="10.7109375" style="5"/>
    <col min="12024" max="12024" width="5.28515625" style="5" customWidth="1"/>
    <col min="12025" max="12025" width="6.42578125" style="5" customWidth="1"/>
    <col min="12026" max="12026" width="22" style="5" customWidth="1"/>
    <col min="12027" max="12027" width="7.5703125" style="5" bestFit="1" customWidth="1"/>
    <col min="12028" max="12028" width="4.42578125" style="5" customWidth="1"/>
    <col min="12029" max="12029" width="7.42578125" style="5" bestFit="1" customWidth="1"/>
    <col min="12030" max="12030" width="2.85546875" style="5" bestFit="1" customWidth="1"/>
    <col min="12031" max="12031" width="7" style="5" bestFit="1" customWidth="1"/>
    <col min="12032" max="12032" width="5.7109375" style="5" bestFit="1" customWidth="1"/>
    <col min="12033" max="12033" width="7.85546875" style="5" bestFit="1" customWidth="1"/>
    <col min="12034" max="12035" width="0" style="5" hidden="1" customWidth="1"/>
    <col min="12036" max="12036" width="12.5703125" style="5" customWidth="1"/>
    <col min="12037" max="12037" width="0" style="5" hidden="1" customWidth="1"/>
    <col min="12038" max="12038" width="11" style="5" customWidth="1"/>
    <col min="12039" max="12039" width="9.140625" style="5" customWidth="1"/>
    <col min="12040" max="12040" width="9.85546875" style="5" customWidth="1"/>
    <col min="12041" max="12044" width="0" style="5" hidden="1" customWidth="1"/>
    <col min="12045" max="12045" width="1.5703125" style="5" customWidth="1"/>
    <col min="12046" max="12048" width="0" style="5" hidden="1" customWidth="1"/>
    <col min="12049" max="12049" width="10.42578125" style="5" customWidth="1"/>
    <col min="12050" max="12051" width="11" style="5" customWidth="1"/>
    <col min="12052" max="12052" width="9.42578125" style="5" customWidth="1"/>
    <col min="12053" max="12053" width="10" style="5" customWidth="1"/>
    <col min="12054" max="12054" width="11" style="5" customWidth="1"/>
    <col min="12055" max="12055" width="9.5703125" style="5" customWidth="1"/>
    <col min="12056" max="12056" width="10.140625" style="5" customWidth="1"/>
    <col min="12057" max="12096" width="10.7109375" style="5" customWidth="1"/>
    <col min="12097" max="12097" width="1.85546875" style="5" bestFit="1" customWidth="1"/>
    <col min="12098" max="12098" width="34.5703125" style="5" bestFit="1" customWidth="1"/>
    <col min="12099" max="12100" width="10.7109375" style="5" customWidth="1"/>
    <col min="12101" max="12101" width="2.7109375" style="5" bestFit="1" customWidth="1"/>
    <col min="12102" max="12102" width="11.5703125" style="5" bestFit="1" customWidth="1"/>
    <col min="12103" max="12279" width="10.7109375" style="5"/>
    <col min="12280" max="12280" width="5.28515625" style="5" customWidth="1"/>
    <col min="12281" max="12281" width="6.42578125" style="5" customWidth="1"/>
    <col min="12282" max="12282" width="22" style="5" customWidth="1"/>
    <col min="12283" max="12283" width="7.5703125" style="5" bestFit="1" customWidth="1"/>
    <col min="12284" max="12284" width="4.42578125" style="5" customWidth="1"/>
    <col min="12285" max="12285" width="7.42578125" style="5" bestFit="1" customWidth="1"/>
    <col min="12286" max="12286" width="2.85546875" style="5" bestFit="1" customWidth="1"/>
    <col min="12287" max="12287" width="7" style="5" bestFit="1" customWidth="1"/>
    <col min="12288" max="12288" width="5.7109375" style="5" bestFit="1" customWidth="1"/>
    <col min="12289" max="12289" width="7.85546875" style="5" bestFit="1" customWidth="1"/>
    <col min="12290" max="12291" width="0" style="5" hidden="1" customWidth="1"/>
    <col min="12292" max="12292" width="12.5703125" style="5" customWidth="1"/>
    <col min="12293" max="12293" width="0" style="5" hidden="1" customWidth="1"/>
    <col min="12294" max="12294" width="11" style="5" customWidth="1"/>
    <col min="12295" max="12295" width="9.140625" style="5" customWidth="1"/>
    <col min="12296" max="12296" width="9.85546875" style="5" customWidth="1"/>
    <col min="12297" max="12300" width="0" style="5" hidden="1" customWidth="1"/>
    <col min="12301" max="12301" width="1.5703125" style="5" customWidth="1"/>
    <col min="12302" max="12304" width="0" style="5" hidden="1" customWidth="1"/>
    <col min="12305" max="12305" width="10.42578125" style="5" customWidth="1"/>
    <col min="12306" max="12307" width="11" style="5" customWidth="1"/>
    <col min="12308" max="12308" width="9.42578125" style="5" customWidth="1"/>
    <col min="12309" max="12309" width="10" style="5" customWidth="1"/>
    <col min="12310" max="12310" width="11" style="5" customWidth="1"/>
    <col min="12311" max="12311" width="9.5703125" style="5" customWidth="1"/>
    <col min="12312" max="12312" width="10.140625" style="5" customWidth="1"/>
    <col min="12313" max="12352" width="10.7109375" style="5" customWidth="1"/>
    <col min="12353" max="12353" width="1.85546875" style="5" bestFit="1" customWidth="1"/>
    <col min="12354" max="12354" width="34.5703125" style="5" bestFit="1" customWidth="1"/>
    <col min="12355" max="12356" width="10.7109375" style="5" customWidth="1"/>
    <col min="12357" max="12357" width="2.7109375" style="5" bestFit="1" customWidth="1"/>
    <col min="12358" max="12358" width="11.5703125" style="5" bestFit="1" customWidth="1"/>
    <col min="12359" max="12535" width="10.7109375" style="5"/>
    <col min="12536" max="12536" width="5.28515625" style="5" customWidth="1"/>
    <col min="12537" max="12537" width="6.42578125" style="5" customWidth="1"/>
    <col min="12538" max="12538" width="22" style="5" customWidth="1"/>
    <col min="12539" max="12539" width="7.5703125" style="5" bestFit="1" customWidth="1"/>
    <col min="12540" max="12540" width="4.42578125" style="5" customWidth="1"/>
    <col min="12541" max="12541" width="7.42578125" style="5" bestFit="1" customWidth="1"/>
    <col min="12542" max="12542" width="2.85546875" style="5" bestFit="1" customWidth="1"/>
    <col min="12543" max="12543" width="7" style="5" bestFit="1" customWidth="1"/>
    <col min="12544" max="12544" width="5.7109375" style="5" bestFit="1" customWidth="1"/>
    <col min="12545" max="12545" width="7.85546875" style="5" bestFit="1" customWidth="1"/>
    <col min="12546" max="12547" width="0" style="5" hidden="1" customWidth="1"/>
    <col min="12548" max="12548" width="12.5703125" style="5" customWidth="1"/>
    <col min="12549" max="12549" width="0" style="5" hidden="1" customWidth="1"/>
    <col min="12550" max="12550" width="11" style="5" customWidth="1"/>
    <col min="12551" max="12551" width="9.140625" style="5" customWidth="1"/>
    <col min="12552" max="12552" width="9.85546875" style="5" customWidth="1"/>
    <col min="12553" max="12556" width="0" style="5" hidden="1" customWidth="1"/>
    <col min="12557" max="12557" width="1.5703125" style="5" customWidth="1"/>
    <col min="12558" max="12560" width="0" style="5" hidden="1" customWidth="1"/>
    <col min="12561" max="12561" width="10.42578125" style="5" customWidth="1"/>
    <col min="12562" max="12563" width="11" style="5" customWidth="1"/>
    <col min="12564" max="12564" width="9.42578125" style="5" customWidth="1"/>
    <col min="12565" max="12565" width="10" style="5" customWidth="1"/>
    <col min="12566" max="12566" width="11" style="5" customWidth="1"/>
    <col min="12567" max="12567" width="9.5703125" style="5" customWidth="1"/>
    <col min="12568" max="12568" width="10.140625" style="5" customWidth="1"/>
    <col min="12569" max="12608" width="10.7109375" style="5" customWidth="1"/>
    <col min="12609" max="12609" width="1.85546875" style="5" bestFit="1" customWidth="1"/>
    <col min="12610" max="12610" width="34.5703125" style="5" bestFit="1" customWidth="1"/>
    <col min="12611" max="12612" width="10.7109375" style="5" customWidth="1"/>
    <col min="12613" max="12613" width="2.7109375" style="5" bestFit="1" customWidth="1"/>
    <col min="12614" max="12614" width="11.5703125" style="5" bestFit="1" customWidth="1"/>
    <col min="12615" max="12791" width="10.7109375" style="5"/>
    <col min="12792" max="12792" width="5.28515625" style="5" customWidth="1"/>
    <col min="12793" max="12793" width="6.42578125" style="5" customWidth="1"/>
    <col min="12794" max="12794" width="22" style="5" customWidth="1"/>
    <col min="12795" max="12795" width="7.5703125" style="5" bestFit="1" customWidth="1"/>
    <col min="12796" max="12796" width="4.42578125" style="5" customWidth="1"/>
    <col min="12797" max="12797" width="7.42578125" style="5" bestFit="1" customWidth="1"/>
    <col min="12798" max="12798" width="2.85546875" style="5" bestFit="1" customWidth="1"/>
    <col min="12799" max="12799" width="7" style="5" bestFit="1" customWidth="1"/>
    <col min="12800" max="12800" width="5.7109375" style="5" bestFit="1" customWidth="1"/>
    <col min="12801" max="12801" width="7.85546875" style="5" bestFit="1" customWidth="1"/>
    <col min="12802" max="12803" width="0" style="5" hidden="1" customWidth="1"/>
    <col min="12804" max="12804" width="12.5703125" style="5" customWidth="1"/>
    <col min="12805" max="12805" width="0" style="5" hidden="1" customWidth="1"/>
    <col min="12806" max="12806" width="11" style="5" customWidth="1"/>
    <col min="12807" max="12807" width="9.140625" style="5" customWidth="1"/>
    <col min="12808" max="12808" width="9.85546875" style="5" customWidth="1"/>
    <col min="12809" max="12812" width="0" style="5" hidden="1" customWidth="1"/>
    <col min="12813" max="12813" width="1.5703125" style="5" customWidth="1"/>
    <col min="12814" max="12816" width="0" style="5" hidden="1" customWidth="1"/>
    <col min="12817" max="12817" width="10.42578125" style="5" customWidth="1"/>
    <col min="12818" max="12819" width="11" style="5" customWidth="1"/>
    <col min="12820" max="12820" width="9.42578125" style="5" customWidth="1"/>
    <col min="12821" max="12821" width="10" style="5" customWidth="1"/>
    <col min="12822" max="12822" width="11" style="5" customWidth="1"/>
    <col min="12823" max="12823" width="9.5703125" style="5" customWidth="1"/>
    <col min="12824" max="12824" width="10.140625" style="5" customWidth="1"/>
    <col min="12825" max="12864" width="10.7109375" style="5" customWidth="1"/>
    <col min="12865" max="12865" width="1.85546875" style="5" bestFit="1" customWidth="1"/>
    <col min="12866" max="12866" width="34.5703125" style="5" bestFit="1" customWidth="1"/>
    <col min="12867" max="12868" width="10.7109375" style="5" customWidth="1"/>
    <col min="12869" max="12869" width="2.7109375" style="5" bestFit="1" customWidth="1"/>
    <col min="12870" max="12870" width="11.5703125" style="5" bestFit="1" customWidth="1"/>
    <col min="12871" max="13047" width="10.7109375" style="5"/>
    <col min="13048" max="13048" width="5.28515625" style="5" customWidth="1"/>
    <col min="13049" max="13049" width="6.42578125" style="5" customWidth="1"/>
    <col min="13050" max="13050" width="22" style="5" customWidth="1"/>
    <col min="13051" max="13051" width="7.5703125" style="5" bestFit="1" customWidth="1"/>
    <col min="13052" max="13052" width="4.42578125" style="5" customWidth="1"/>
    <col min="13053" max="13053" width="7.42578125" style="5" bestFit="1" customWidth="1"/>
    <col min="13054" max="13054" width="2.85546875" style="5" bestFit="1" customWidth="1"/>
    <col min="13055" max="13055" width="7" style="5" bestFit="1" customWidth="1"/>
    <col min="13056" max="13056" width="5.7109375" style="5" bestFit="1" customWidth="1"/>
    <col min="13057" max="13057" width="7.85546875" style="5" bestFit="1" customWidth="1"/>
    <col min="13058" max="13059" width="0" style="5" hidden="1" customWidth="1"/>
    <col min="13060" max="13060" width="12.5703125" style="5" customWidth="1"/>
    <col min="13061" max="13061" width="0" style="5" hidden="1" customWidth="1"/>
    <col min="13062" max="13062" width="11" style="5" customWidth="1"/>
    <col min="13063" max="13063" width="9.140625" style="5" customWidth="1"/>
    <col min="13064" max="13064" width="9.85546875" style="5" customWidth="1"/>
    <col min="13065" max="13068" width="0" style="5" hidden="1" customWidth="1"/>
    <col min="13069" max="13069" width="1.5703125" style="5" customWidth="1"/>
    <col min="13070" max="13072" width="0" style="5" hidden="1" customWidth="1"/>
    <col min="13073" max="13073" width="10.42578125" style="5" customWidth="1"/>
    <col min="13074" max="13075" width="11" style="5" customWidth="1"/>
    <col min="13076" max="13076" width="9.42578125" style="5" customWidth="1"/>
    <col min="13077" max="13077" width="10" style="5" customWidth="1"/>
    <col min="13078" max="13078" width="11" style="5" customWidth="1"/>
    <col min="13079" max="13079" width="9.5703125" style="5" customWidth="1"/>
    <col min="13080" max="13080" width="10.140625" style="5" customWidth="1"/>
    <col min="13081" max="13120" width="10.7109375" style="5" customWidth="1"/>
    <col min="13121" max="13121" width="1.85546875" style="5" bestFit="1" customWidth="1"/>
    <col min="13122" max="13122" width="34.5703125" style="5" bestFit="1" customWidth="1"/>
    <col min="13123" max="13124" width="10.7109375" style="5" customWidth="1"/>
    <col min="13125" max="13125" width="2.7109375" style="5" bestFit="1" customWidth="1"/>
    <col min="13126" max="13126" width="11.5703125" style="5" bestFit="1" customWidth="1"/>
    <col min="13127" max="13303" width="10.7109375" style="5"/>
    <col min="13304" max="13304" width="5.28515625" style="5" customWidth="1"/>
    <col min="13305" max="13305" width="6.42578125" style="5" customWidth="1"/>
    <col min="13306" max="13306" width="22" style="5" customWidth="1"/>
    <col min="13307" max="13307" width="7.5703125" style="5" bestFit="1" customWidth="1"/>
    <col min="13308" max="13308" width="4.42578125" style="5" customWidth="1"/>
    <col min="13309" max="13309" width="7.42578125" style="5" bestFit="1" customWidth="1"/>
    <col min="13310" max="13310" width="2.85546875" style="5" bestFit="1" customWidth="1"/>
    <col min="13311" max="13311" width="7" style="5" bestFit="1" customWidth="1"/>
    <col min="13312" max="13312" width="5.7109375" style="5" bestFit="1" customWidth="1"/>
    <col min="13313" max="13313" width="7.85546875" style="5" bestFit="1" customWidth="1"/>
    <col min="13314" max="13315" width="0" style="5" hidden="1" customWidth="1"/>
    <col min="13316" max="13316" width="12.5703125" style="5" customWidth="1"/>
    <col min="13317" max="13317" width="0" style="5" hidden="1" customWidth="1"/>
    <col min="13318" max="13318" width="11" style="5" customWidth="1"/>
    <col min="13319" max="13319" width="9.140625" style="5" customWidth="1"/>
    <col min="13320" max="13320" width="9.85546875" style="5" customWidth="1"/>
    <col min="13321" max="13324" width="0" style="5" hidden="1" customWidth="1"/>
    <col min="13325" max="13325" width="1.5703125" style="5" customWidth="1"/>
    <col min="13326" max="13328" width="0" style="5" hidden="1" customWidth="1"/>
    <col min="13329" max="13329" width="10.42578125" style="5" customWidth="1"/>
    <col min="13330" max="13331" width="11" style="5" customWidth="1"/>
    <col min="13332" max="13332" width="9.42578125" style="5" customWidth="1"/>
    <col min="13333" max="13333" width="10" style="5" customWidth="1"/>
    <col min="13334" max="13334" width="11" style="5" customWidth="1"/>
    <col min="13335" max="13335" width="9.5703125" style="5" customWidth="1"/>
    <col min="13336" max="13336" width="10.140625" style="5" customWidth="1"/>
    <col min="13337" max="13376" width="10.7109375" style="5" customWidth="1"/>
    <col min="13377" max="13377" width="1.85546875" style="5" bestFit="1" customWidth="1"/>
    <col min="13378" max="13378" width="34.5703125" style="5" bestFit="1" customWidth="1"/>
    <col min="13379" max="13380" width="10.7109375" style="5" customWidth="1"/>
    <col min="13381" max="13381" width="2.7109375" style="5" bestFit="1" customWidth="1"/>
    <col min="13382" max="13382" width="11.5703125" style="5" bestFit="1" customWidth="1"/>
    <col min="13383" max="13559" width="10.7109375" style="5"/>
    <col min="13560" max="13560" width="5.28515625" style="5" customWidth="1"/>
    <col min="13561" max="13561" width="6.42578125" style="5" customWidth="1"/>
    <col min="13562" max="13562" width="22" style="5" customWidth="1"/>
    <col min="13563" max="13563" width="7.5703125" style="5" bestFit="1" customWidth="1"/>
    <col min="13564" max="13564" width="4.42578125" style="5" customWidth="1"/>
    <col min="13565" max="13565" width="7.42578125" style="5" bestFit="1" customWidth="1"/>
    <col min="13566" max="13566" width="2.85546875" style="5" bestFit="1" customWidth="1"/>
    <col min="13567" max="13567" width="7" style="5" bestFit="1" customWidth="1"/>
    <col min="13568" max="13568" width="5.7109375" style="5" bestFit="1" customWidth="1"/>
    <col min="13569" max="13569" width="7.85546875" style="5" bestFit="1" customWidth="1"/>
    <col min="13570" max="13571" width="0" style="5" hidden="1" customWidth="1"/>
    <col min="13572" max="13572" width="12.5703125" style="5" customWidth="1"/>
    <col min="13573" max="13573" width="0" style="5" hidden="1" customWidth="1"/>
    <col min="13574" max="13574" width="11" style="5" customWidth="1"/>
    <col min="13575" max="13575" width="9.140625" style="5" customWidth="1"/>
    <col min="13576" max="13576" width="9.85546875" style="5" customWidth="1"/>
    <col min="13577" max="13580" width="0" style="5" hidden="1" customWidth="1"/>
    <col min="13581" max="13581" width="1.5703125" style="5" customWidth="1"/>
    <col min="13582" max="13584" width="0" style="5" hidden="1" customWidth="1"/>
    <col min="13585" max="13585" width="10.42578125" style="5" customWidth="1"/>
    <col min="13586" max="13587" width="11" style="5" customWidth="1"/>
    <col min="13588" max="13588" width="9.42578125" style="5" customWidth="1"/>
    <col min="13589" max="13589" width="10" style="5" customWidth="1"/>
    <col min="13590" max="13590" width="11" style="5" customWidth="1"/>
    <col min="13591" max="13591" width="9.5703125" style="5" customWidth="1"/>
    <col min="13592" max="13592" width="10.140625" style="5" customWidth="1"/>
    <col min="13593" max="13632" width="10.7109375" style="5" customWidth="1"/>
    <col min="13633" max="13633" width="1.85546875" style="5" bestFit="1" customWidth="1"/>
    <col min="13634" max="13634" width="34.5703125" style="5" bestFit="1" customWidth="1"/>
    <col min="13635" max="13636" width="10.7109375" style="5" customWidth="1"/>
    <col min="13637" max="13637" width="2.7109375" style="5" bestFit="1" customWidth="1"/>
    <col min="13638" max="13638" width="11.5703125" style="5" bestFit="1" customWidth="1"/>
    <col min="13639" max="13815" width="10.7109375" style="5"/>
    <col min="13816" max="13816" width="5.28515625" style="5" customWidth="1"/>
    <col min="13817" max="13817" width="6.42578125" style="5" customWidth="1"/>
    <col min="13818" max="13818" width="22" style="5" customWidth="1"/>
    <col min="13819" max="13819" width="7.5703125" style="5" bestFit="1" customWidth="1"/>
    <col min="13820" max="13820" width="4.42578125" style="5" customWidth="1"/>
    <col min="13821" max="13821" width="7.42578125" style="5" bestFit="1" customWidth="1"/>
    <col min="13822" max="13822" width="2.85546875" style="5" bestFit="1" customWidth="1"/>
    <col min="13823" max="13823" width="7" style="5" bestFit="1" customWidth="1"/>
    <col min="13824" max="13824" width="5.7109375" style="5" bestFit="1" customWidth="1"/>
    <col min="13825" max="13825" width="7.85546875" style="5" bestFit="1" customWidth="1"/>
    <col min="13826" max="13827" width="0" style="5" hidden="1" customWidth="1"/>
    <col min="13828" max="13828" width="12.5703125" style="5" customWidth="1"/>
    <col min="13829" max="13829" width="0" style="5" hidden="1" customWidth="1"/>
    <col min="13830" max="13830" width="11" style="5" customWidth="1"/>
    <col min="13831" max="13831" width="9.140625" style="5" customWidth="1"/>
    <col min="13832" max="13832" width="9.85546875" style="5" customWidth="1"/>
    <col min="13833" max="13836" width="0" style="5" hidden="1" customWidth="1"/>
    <col min="13837" max="13837" width="1.5703125" style="5" customWidth="1"/>
    <col min="13838" max="13840" width="0" style="5" hidden="1" customWidth="1"/>
    <col min="13841" max="13841" width="10.42578125" style="5" customWidth="1"/>
    <col min="13842" max="13843" width="11" style="5" customWidth="1"/>
    <col min="13844" max="13844" width="9.42578125" style="5" customWidth="1"/>
    <col min="13845" max="13845" width="10" style="5" customWidth="1"/>
    <col min="13846" max="13846" width="11" style="5" customWidth="1"/>
    <col min="13847" max="13847" width="9.5703125" style="5" customWidth="1"/>
    <col min="13848" max="13848" width="10.140625" style="5" customWidth="1"/>
    <col min="13849" max="13888" width="10.7109375" style="5" customWidth="1"/>
    <col min="13889" max="13889" width="1.85546875" style="5" bestFit="1" customWidth="1"/>
    <col min="13890" max="13890" width="34.5703125" style="5" bestFit="1" customWidth="1"/>
    <col min="13891" max="13892" width="10.7109375" style="5" customWidth="1"/>
    <col min="13893" max="13893" width="2.7109375" style="5" bestFit="1" customWidth="1"/>
    <col min="13894" max="13894" width="11.5703125" style="5" bestFit="1" customWidth="1"/>
    <col min="13895" max="14071" width="10.7109375" style="5"/>
    <col min="14072" max="14072" width="5.28515625" style="5" customWidth="1"/>
    <col min="14073" max="14073" width="6.42578125" style="5" customWidth="1"/>
    <col min="14074" max="14074" width="22" style="5" customWidth="1"/>
    <col min="14075" max="14075" width="7.5703125" style="5" bestFit="1" customWidth="1"/>
    <col min="14076" max="14076" width="4.42578125" style="5" customWidth="1"/>
    <col min="14077" max="14077" width="7.42578125" style="5" bestFit="1" customWidth="1"/>
    <col min="14078" max="14078" width="2.85546875" style="5" bestFit="1" customWidth="1"/>
    <col min="14079" max="14079" width="7" style="5" bestFit="1" customWidth="1"/>
    <col min="14080" max="14080" width="5.7109375" style="5" bestFit="1" customWidth="1"/>
    <col min="14081" max="14081" width="7.85546875" style="5" bestFit="1" customWidth="1"/>
    <col min="14082" max="14083" width="0" style="5" hidden="1" customWidth="1"/>
    <col min="14084" max="14084" width="12.5703125" style="5" customWidth="1"/>
    <col min="14085" max="14085" width="0" style="5" hidden="1" customWidth="1"/>
    <col min="14086" max="14086" width="11" style="5" customWidth="1"/>
    <col min="14087" max="14087" width="9.140625" style="5" customWidth="1"/>
    <col min="14088" max="14088" width="9.85546875" style="5" customWidth="1"/>
    <col min="14089" max="14092" width="0" style="5" hidden="1" customWidth="1"/>
    <col min="14093" max="14093" width="1.5703125" style="5" customWidth="1"/>
    <col min="14094" max="14096" width="0" style="5" hidden="1" customWidth="1"/>
    <col min="14097" max="14097" width="10.42578125" style="5" customWidth="1"/>
    <col min="14098" max="14099" width="11" style="5" customWidth="1"/>
    <col min="14100" max="14100" width="9.42578125" style="5" customWidth="1"/>
    <col min="14101" max="14101" width="10" style="5" customWidth="1"/>
    <col min="14102" max="14102" width="11" style="5" customWidth="1"/>
    <col min="14103" max="14103" width="9.5703125" style="5" customWidth="1"/>
    <col min="14104" max="14104" width="10.140625" style="5" customWidth="1"/>
    <col min="14105" max="14144" width="10.7109375" style="5" customWidth="1"/>
    <col min="14145" max="14145" width="1.85546875" style="5" bestFit="1" customWidth="1"/>
    <col min="14146" max="14146" width="34.5703125" style="5" bestFit="1" customWidth="1"/>
    <col min="14147" max="14148" width="10.7109375" style="5" customWidth="1"/>
    <col min="14149" max="14149" width="2.7109375" style="5" bestFit="1" customWidth="1"/>
    <col min="14150" max="14150" width="11.5703125" style="5" bestFit="1" customWidth="1"/>
    <col min="14151" max="14327" width="10.7109375" style="5"/>
    <col min="14328" max="14328" width="5.28515625" style="5" customWidth="1"/>
    <col min="14329" max="14329" width="6.42578125" style="5" customWidth="1"/>
    <col min="14330" max="14330" width="22" style="5" customWidth="1"/>
    <col min="14331" max="14331" width="7.5703125" style="5" bestFit="1" customWidth="1"/>
    <col min="14332" max="14332" width="4.42578125" style="5" customWidth="1"/>
    <col min="14333" max="14333" width="7.42578125" style="5" bestFit="1" customWidth="1"/>
    <col min="14334" max="14334" width="2.85546875" style="5" bestFit="1" customWidth="1"/>
    <col min="14335" max="14335" width="7" style="5" bestFit="1" customWidth="1"/>
    <col min="14336" max="14336" width="5.7109375" style="5" bestFit="1" customWidth="1"/>
    <col min="14337" max="14337" width="7.85546875" style="5" bestFit="1" customWidth="1"/>
    <col min="14338" max="14339" width="0" style="5" hidden="1" customWidth="1"/>
    <col min="14340" max="14340" width="12.5703125" style="5" customWidth="1"/>
    <col min="14341" max="14341" width="0" style="5" hidden="1" customWidth="1"/>
    <col min="14342" max="14342" width="11" style="5" customWidth="1"/>
    <col min="14343" max="14343" width="9.140625" style="5" customWidth="1"/>
    <col min="14344" max="14344" width="9.85546875" style="5" customWidth="1"/>
    <col min="14345" max="14348" width="0" style="5" hidden="1" customWidth="1"/>
    <col min="14349" max="14349" width="1.5703125" style="5" customWidth="1"/>
    <col min="14350" max="14352" width="0" style="5" hidden="1" customWidth="1"/>
    <col min="14353" max="14353" width="10.42578125" style="5" customWidth="1"/>
    <col min="14354" max="14355" width="11" style="5" customWidth="1"/>
    <col min="14356" max="14356" width="9.42578125" style="5" customWidth="1"/>
    <col min="14357" max="14357" width="10" style="5" customWidth="1"/>
    <col min="14358" max="14358" width="11" style="5" customWidth="1"/>
    <col min="14359" max="14359" width="9.5703125" style="5" customWidth="1"/>
    <col min="14360" max="14360" width="10.140625" style="5" customWidth="1"/>
    <col min="14361" max="14400" width="10.7109375" style="5" customWidth="1"/>
    <col min="14401" max="14401" width="1.85546875" style="5" bestFit="1" customWidth="1"/>
    <col min="14402" max="14402" width="34.5703125" style="5" bestFit="1" customWidth="1"/>
    <col min="14403" max="14404" width="10.7109375" style="5" customWidth="1"/>
    <col min="14405" max="14405" width="2.7109375" style="5" bestFit="1" customWidth="1"/>
    <col min="14406" max="14406" width="11.5703125" style="5" bestFit="1" customWidth="1"/>
    <col min="14407" max="14583" width="10.7109375" style="5"/>
    <col min="14584" max="14584" width="5.28515625" style="5" customWidth="1"/>
    <col min="14585" max="14585" width="6.42578125" style="5" customWidth="1"/>
    <col min="14586" max="14586" width="22" style="5" customWidth="1"/>
    <col min="14587" max="14587" width="7.5703125" style="5" bestFit="1" customWidth="1"/>
    <col min="14588" max="14588" width="4.42578125" style="5" customWidth="1"/>
    <col min="14589" max="14589" width="7.42578125" style="5" bestFit="1" customWidth="1"/>
    <col min="14590" max="14590" width="2.85546875" style="5" bestFit="1" customWidth="1"/>
    <col min="14591" max="14591" width="7" style="5" bestFit="1" customWidth="1"/>
    <col min="14592" max="14592" width="5.7109375" style="5" bestFit="1" customWidth="1"/>
    <col min="14593" max="14593" width="7.85546875" style="5" bestFit="1" customWidth="1"/>
    <col min="14594" max="14595" width="0" style="5" hidden="1" customWidth="1"/>
    <col min="14596" max="14596" width="12.5703125" style="5" customWidth="1"/>
    <col min="14597" max="14597" width="0" style="5" hidden="1" customWidth="1"/>
    <col min="14598" max="14598" width="11" style="5" customWidth="1"/>
    <col min="14599" max="14599" width="9.140625" style="5" customWidth="1"/>
    <col min="14600" max="14600" width="9.85546875" style="5" customWidth="1"/>
    <col min="14601" max="14604" width="0" style="5" hidden="1" customWidth="1"/>
    <col min="14605" max="14605" width="1.5703125" style="5" customWidth="1"/>
    <col min="14606" max="14608" width="0" style="5" hidden="1" customWidth="1"/>
    <col min="14609" max="14609" width="10.42578125" style="5" customWidth="1"/>
    <col min="14610" max="14611" width="11" style="5" customWidth="1"/>
    <col min="14612" max="14612" width="9.42578125" style="5" customWidth="1"/>
    <col min="14613" max="14613" width="10" style="5" customWidth="1"/>
    <col min="14614" max="14614" width="11" style="5" customWidth="1"/>
    <col min="14615" max="14615" width="9.5703125" style="5" customWidth="1"/>
    <col min="14616" max="14616" width="10.140625" style="5" customWidth="1"/>
    <col min="14617" max="14656" width="10.7109375" style="5" customWidth="1"/>
    <col min="14657" max="14657" width="1.85546875" style="5" bestFit="1" customWidth="1"/>
    <col min="14658" max="14658" width="34.5703125" style="5" bestFit="1" customWidth="1"/>
    <col min="14659" max="14660" width="10.7109375" style="5" customWidth="1"/>
    <col min="14661" max="14661" width="2.7109375" style="5" bestFit="1" customWidth="1"/>
    <col min="14662" max="14662" width="11.5703125" style="5" bestFit="1" customWidth="1"/>
    <col min="14663" max="14839" width="10.7109375" style="5"/>
    <col min="14840" max="14840" width="5.28515625" style="5" customWidth="1"/>
    <col min="14841" max="14841" width="6.42578125" style="5" customWidth="1"/>
    <col min="14842" max="14842" width="22" style="5" customWidth="1"/>
    <col min="14843" max="14843" width="7.5703125" style="5" bestFit="1" customWidth="1"/>
    <col min="14844" max="14844" width="4.42578125" style="5" customWidth="1"/>
    <col min="14845" max="14845" width="7.42578125" style="5" bestFit="1" customWidth="1"/>
    <col min="14846" max="14846" width="2.85546875" style="5" bestFit="1" customWidth="1"/>
    <col min="14847" max="14847" width="7" style="5" bestFit="1" customWidth="1"/>
    <col min="14848" max="14848" width="5.7109375" style="5" bestFit="1" customWidth="1"/>
    <col min="14849" max="14849" width="7.85546875" style="5" bestFit="1" customWidth="1"/>
    <col min="14850" max="14851" width="0" style="5" hidden="1" customWidth="1"/>
    <col min="14852" max="14852" width="12.5703125" style="5" customWidth="1"/>
    <col min="14853" max="14853" width="0" style="5" hidden="1" customWidth="1"/>
    <col min="14854" max="14854" width="11" style="5" customWidth="1"/>
    <col min="14855" max="14855" width="9.140625" style="5" customWidth="1"/>
    <col min="14856" max="14856" width="9.85546875" style="5" customWidth="1"/>
    <col min="14857" max="14860" width="0" style="5" hidden="1" customWidth="1"/>
    <col min="14861" max="14861" width="1.5703125" style="5" customWidth="1"/>
    <col min="14862" max="14864" width="0" style="5" hidden="1" customWidth="1"/>
    <col min="14865" max="14865" width="10.42578125" style="5" customWidth="1"/>
    <col min="14866" max="14867" width="11" style="5" customWidth="1"/>
    <col min="14868" max="14868" width="9.42578125" style="5" customWidth="1"/>
    <col min="14869" max="14869" width="10" style="5" customWidth="1"/>
    <col min="14870" max="14870" width="11" style="5" customWidth="1"/>
    <col min="14871" max="14871" width="9.5703125" style="5" customWidth="1"/>
    <col min="14872" max="14872" width="10.140625" style="5" customWidth="1"/>
    <col min="14873" max="14912" width="10.7109375" style="5" customWidth="1"/>
    <col min="14913" max="14913" width="1.85546875" style="5" bestFit="1" customWidth="1"/>
    <col min="14914" max="14914" width="34.5703125" style="5" bestFit="1" customWidth="1"/>
    <col min="14915" max="14916" width="10.7109375" style="5" customWidth="1"/>
    <col min="14917" max="14917" width="2.7109375" style="5" bestFit="1" customWidth="1"/>
    <col min="14918" max="14918" width="11.5703125" style="5" bestFit="1" customWidth="1"/>
    <col min="14919" max="15095" width="10.7109375" style="5"/>
    <col min="15096" max="15096" width="5.28515625" style="5" customWidth="1"/>
    <col min="15097" max="15097" width="6.42578125" style="5" customWidth="1"/>
    <col min="15098" max="15098" width="22" style="5" customWidth="1"/>
    <col min="15099" max="15099" width="7.5703125" style="5" bestFit="1" customWidth="1"/>
    <col min="15100" max="15100" width="4.42578125" style="5" customWidth="1"/>
    <col min="15101" max="15101" width="7.42578125" style="5" bestFit="1" customWidth="1"/>
    <col min="15102" max="15102" width="2.85546875" style="5" bestFit="1" customWidth="1"/>
    <col min="15103" max="15103" width="7" style="5" bestFit="1" customWidth="1"/>
    <col min="15104" max="15104" width="5.7109375" style="5" bestFit="1" customWidth="1"/>
    <col min="15105" max="15105" width="7.85546875" style="5" bestFit="1" customWidth="1"/>
    <col min="15106" max="15107" width="0" style="5" hidden="1" customWidth="1"/>
    <col min="15108" max="15108" width="12.5703125" style="5" customWidth="1"/>
    <col min="15109" max="15109" width="0" style="5" hidden="1" customWidth="1"/>
    <col min="15110" max="15110" width="11" style="5" customWidth="1"/>
    <col min="15111" max="15111" width="9.140625" style="5" customWidth="1"/>
    <col min="15112" max="15112" width="9.85546875" style="5" customWidth="1"/>
    <col min="15113" max="15116" width="0" style="5" hidden="1" customWidth="1"/>
    <col min="15117" max="15117" width="1.5703125" style="5" customWidth="1"/>
    <col min="15118" max="15120" width="0" style="5" hidden="1" customWidth="1"/>
    <col min="15121" max="15121" width="10.42578125" style="5" customWidth="1"/>
    <col min="15122" max="15123" width="11" style="5" customWidth="1"/>
    <col min="15124" max="15124" width="9.42578125" style="5" customWidth="1"/>
    <col min="15125" max="15125" width="10" style="5" customWidth="1"/>
    <col min="15126" max="15126" width="11" style="5" customWidth="1"/>
    <col min="15127" max="15127" width="9.5703125" style="5" customWidth="1"/>
    <col min="15128" max="15128" width="10.140625" style="5" customWidth="1"/>
    <col min="15129" max="15168" width="10.7109375" style="5" customWidth="1"/>
    <col min="15169" max="15169" width="1.85546875" style="5" bestFit="1" customWidth="1"/>
    <col min="15170" max="15170" width="34.5703125" style="5" bestFit="1" customWidth="1"/>
    <col min="15171" max="15172" width="10.7109375" style="5" customWidth="1"/>
    <col min="15173" max="15173" width="2.7109375" style="5" bestFit="1" customWidth="1"/>
    <col min="15174" max="15174" width="11.5703125" style="5" bestFit="1" customWidth="1"/>
    <col min="15175" max="15351" width="10.7109375" style="5"/>
    <col min="15352" max="15352" width="5.28515625" style="5" customWidth="1"/>
    <col min="15353" max="15353" width="6.42578125" style="5" customWidth="1"/>
    <col min="15354" max="15354" width="22" style="5" customWidth="1"/>
    <col min="15355" max="15355" width="7.5703125" style="5" bestFit="1" customWidth="1"/>
    <col min="15356" max="15356" width="4.42578125" style="5" customWidth="1"/>
    <col min="15357" max="15357" width="7.42578125" style="5" bestFit="1" customWidth="1"/>
    <col min="15358" max="15358" width="2.85546875" style="5" bestFit="1" customWidth="1"/>
    <col min="15359" max="15359" width="7" style="5" bestFit="1" customWidth="1"/>
    <col min="15360" max="15360" width="5.7109375" style="5" bestFit="1" customWidth="1"/>
    <col min="15361" max="15361" width="7.85546875" style="5" bestFit="1" customWidth="1"/>
    <col min="15362" max="15363" width="0" style="5" hidden="1" customWidth="1"/>
    <col min="15364" max="15364" width="12.5703125" style="5" customWidth="1"/>
    <col min="15365" max="15365" width="0" style="5" hidden="1" customWidth="1"/>
    <col min="15366" max="15366" width="11" style="5" customWidth="1"/>
    <col min="15367" max="15367" width="9.140625" style="5" customWidth="1"/>
    <col min="15368" max="15368" width="9.85546875" style="5" customWidth="1"/>
    <col min="15369" max="15372" width="0" style="5" hidden="1" customWidth="1"/>
    <col min="15373" max="15373" width="1.5703125" style="5" customWidth="1"/>
    <col min="15374" max="15376" width="0" style="5" hidden="1" customWidth="1"/>
    <col min="15377" max="15377" width="10.42578125" style="5" customWidth="1"/>
    <col min="15378" max="15379" width="11" style="5" customWidth="1"/>
    <col min="15380" max="15380" width="9.42578125" style="5" customWidth="1"/>
    <col min="15381" max="15381" width="10" style="5" customWidth="1"/>
    <col min="15382" max="15382" width="11" style="5" customWidth="1"/>
    <col min="15383" max="15383" width="9.5703125" style="5" customWidth="1"/>
    <col min="15384" max="15384" width="10.140625" style="5" customWidth="1"/>
    <col min="15385" max="15424" width="10.7109375" style="5" customWidth="1"/>
    <col min="15425" max="15425" width="1.85546875" style="5" bestFit="1" customWidth="1"/>
    <col min="15426" max="15426" width="34.5703125" style="5" bestFit="1" customWidth="1"/>
    <col min="15427" max="15428" width="10.7109375" style="5" customWidth="1"/>
    <col min="15429" max="15429" width="2.7109375" style="5" bestFit="1" customWidth="1"/>
    <col min="15430" max="15430" width="11.5703125" style="5" bestFit="1" customWidth="1"/>
    <col min="15431" max="15607" width="10.7109375" style="5"/>
    <col min="15608" max="15608" width="5.28515625" style="5" customWidth="1"/>
    <col min="15609" max="15609" width="6.42578125" style="5" customWidth="1"/>
    <col min="15610" max="15610" width="22" style="5" customWidth="1"/>
    <col min="15611" max="15611" width="7.5703125" style="5" bestFit="1" customWidth="1"/>
    <col min="15612" max="15612" width="4.42578125" style="5" customWidth="1"/>
    <col min="15613" max="15613" width="7.42578125" style="5" bestFit="1" customWidth="1"/>
    <col min="15614" max="15614" width="2.85546875" style="5" bestFit="1" customWidth="1"/>
    <col min="15615" max="15615" width="7" style="5" bestFit="1" customWidth="1"/>
    <col min="15616" max="15616" width="5.7109375" style="5" bestFit="1" customWidth="1"/>
    <col min="15617" max="15617" width="7.85546875" style="5" bestFit="1" customWidth="1"/>
    <col min="15618" max="15619" width="0" style="5" hidden="1" customWidth="1"/>
    <col min="15620" max="15620" width="12.5703125" style="5" customWidth="1"/>
    <col min="15621" max="15621" width="0" style="5" hidden="1" customWidth="1"/>
    <col min="15622" max="15622" width="11" style="5" customWidth="1"/>
    <col min="15623" max="15623" width="9.140625" style="5" customWidth="1"/>
    <col min="15624" max="15624" width="9.85546875" style="5" customWidth="1"/>
    <col min="15625" max="15628" width="0" style="5" hidden="1" customWidth="1"/>
    <col min="15629" max="15629" width="1.5703125" style="5" customWidth="1"/>
    <col min="15630" max="15632" width="0" style="5" hidden="1" customWidth="1"/>
    <col min="15633" max="15633" width="10.42578125" style="5" customWidth="1"/>
    <col min="15634" max="15635" width="11" style="5" customWidth="1"/>
    <col min="15636" max="15636" width="9.42578125" style="5" customWidth="1"/>
    <col min="15637" max="15637" width="10" style="5" customWidth="1"/>
    <col min="15638" max="15638" width="11" style="5" customWidth="1"/>
    <col min="15639" max="15639" width="9.5703125" style="5" customWidth="1"/>
    <col min="15640" max="15640" width="10.140625" style="5" customWidth="1"/>
    <col min="15641" max="15680" width="10.7109375" style="5" customWidth="1"/>
    <col min="15681" max="15681" width="1.85546875" style="5" bestFit="1" customWidth="1"/>
    <col min="15682" max="15682" width="34.5703125" style="5" bestFit="1" customWidth="1"/>
    <col min="15683" max="15684" width="10.7109375" style="5" customWidth="1"/>
    <col min="15685" max="15685" width="2.7109375" style="5" bestFit="1" customWidth="1"/>
    <col min="15686" max="15686" width="11.5703125" style="5" bestFit="1" customWidth="1"/>
    <col min="15687" max="15863" width="10.7109375" style="5"/>
    <col min="15864" max="15864" width="5.28515625" style="5" customWidth="1"/>
    <col min="15865" max="15865" width="6.42578125" style="5" customWidth="1"/>
    <col min="15866" max="15866" width="22" style="5" customWidth="1"/>
    <col min="15867" max="15867" width="7.5703125" style="5" bestFit="1" customWidth="1"/>
    <col min="15868" max="15868" width="4.42578125" style="5" customWidth="1"/>
    <col min="15869" max="15869" width="7.42578125" style="5" bestFit="1" customWidth="1"/>
    <col min="15870" max="15870" width="2.85546875" style="5" bestFit="1" customWidth="1"/>
    <col min="15871" max="15871" width="7" style="5" bestFit="1" customWidth="1"/>
    <col min="15872" max="15872" width="5.7109375" style="5" bestFit="1" customWidth="1"/>
    <col min="15873" max="15873" width="7.85546875" style="5" bestFit="1" customWidth="1"/>
    <col min="15874" max="15875" width="0" style="5" hidden="1" customWidth="1"/>
    <col min="15876" max="15876" width="12.5703125" style="5" customWidth="1"/>
    <col min="15877" max="15877" width="0" style="5" hidden="1" customWidth="1"/>
    <col min="15878" max="15878" width="11" style="5" customWidth="1"/>
    <col min="15879" max="15879" width="9.140625" style="5" customWidth="1"/>
    <col min="15880" max="15880" width="9.85546875" style="5" customWidth="1"/>
    <col min="15881" max="15884" width="0" style="5" hidden="1" customWidth="1"/>
    <col min="15885" max="15885" width="1.5703125" style="5" customWidth="1"/>
    <col min="15886" max="15888" width="0" style="5" hidden="1" customWidth="1"/>
    <col min="15889" max="15889" width="10.42578125" style="5" customWidth="1"/>
    <col min="15890" max="15891" width="11" style="5" customWidth="1"/>
    <col min="15892" max="15892" width="9.42578125" style="5" customWidth="1"/>
    <col min="15893" max="15893" width="10" style="5" customWidth="1"/>
    <col min="15894" max="15894" width="11" style="5" customWidth="1"/>
    <col min="15895" max="15895" width="9.5703125" style="5" customWidth="1"/>
    <col min="15896" max="15896" width="10.140625" style="5" customWidth="1"/>
    <col min="15897" max="15936" width="10.7109375" style="5" customWidth="1"/>
    <col min="15937" max="15937" width="1.85546875" style="5" bestFit="1" customWidth="1"/>
    <col min="15938" max="15938" width="34.5703125" style="5" bestFit="1" customWidth="1"/>
    <col min="15939" max="15940" width="10.7109375" style="5" customWidth="1"/>
    <col min="15941" max="15941" width="2.7109375" style="5" bestFit="1" customWidth="1"/>
    <col min="15942" max="15942" width="11.5703125" style="5" bestFit="1" customWidth="1"/>
    <col min="15943" max="16119" width="10.7109375" style="5"/>
    <col min="16120" max="16120" width="5.28515625" style="5" customWidth="1"/>
    <col min="16121" max="16121" width="6.42578125" style="5" customWidth="1"/>
    <col min="16122" max="16122" width="22" style="5" customWidth="1"/>
    <col min="16123" max="16123" width="7.5703125" style="5" bestFit="1" customWidth="1"/>
    <col min="16124" max="16124" width="4.42578125" style="5" customWidth="1"/>
    <col min="16125" max="16125" width="7.42578125" style="5" bestFit="1" customWidth="1"/>
    <col min="16126" max="16126" width="2.85546875" style="5" bestFit="1" customWidth="1"/>
    <col min="16127" max="16127" width="7" style="5" bestFit="1" customWidth="1"/>
    <col min="16128" max="16128" width="5.7109375" style="5" bestFit="1" customWidth="1"/>
    <col min="16129" max="16129" width="7.85546875" style="5" bestFit="1" customWidth="1"/>
    <col min="16130" max="16131" width="0" style="5" hidden="1" customWidth="1"/>
    <col min="16132" max="16132" width="12.5703125" style="5" customWidth="1"/>
    <col min="16133" max="16133" width="0" style="5" hidden="1" customWidth="1"/>
    <col min="16134" max="16134" width="11" style="5" customWidth="1"/>
    <col min="16135" max="16135" width="9.140625" style="5" customWidth="1"/>
    <col min="16136" max="16136" width="9.85546875" style="5" customWidth="1"/>
    <col min="16137" max="16140" width="0" style="5" hidden="1" customWidth="1"/>
    <col min="16141" max="16141" width="1.5703125" style="5" customWidth="1"/>
    <col min="16142" max="16144" width="0" style="5" hidden="1" customWidth="1"/>
    <col min="16145" max="16145" width="10.42578125" style="5" customWidth="1"/>
    <col min="16146" max="16147" width="11" style="5" customWidth="1"/>
    <col min="16148" max="16148" width="9.42578125" style="5" customWidth="1"/>
    <col min="16149" max="16149" width="10" style="5" customWidth="1"/>
    <col min="16150" max="16150" width="11" style="5" customWidth="1"/>
    <col min="16151" max="16151" width="9.5703125" style="5" customWidth="1"/>
    <col min="16152" max="16152" width="10.140625" style="5" customWidth="1"/>
    <col min="16153" max="16192" width="10.7109375" style="5" customWidth="1"/>
    <col min="16193" max="16193" width="1.85546875" style="5" bestFit="1" customWidth="1"/>
    <col min="16194" max="16194" width="34.5703125" style="5" bestFit="1" customWidth="1"/>
    <col min="16195" max="16196" width="10.7109375" style="5" customWidth="1"/>
    <col min="16197" max="16197" width="2.7109375" style="5" bestFit="1" customWidth="1"/>
    <col min="16198" max="16198" width="11.5703125" style="5" bestFit="1" customWidth="1"/>
    <col min="16199" max="16384" width="10.7109375" style="5"/>
  </cols>
  <sheetData>
    <row r="1" spans="1:247">
      <c r="B1" s="6" t="s">
        <v>44</v>
      </c>
      <c r="D1" s="7"/>
      <c r="E1" s="7"/>
      <c r="F1" s="256"/>
      <c r="G1" s="256"/>
      <c r="H1" s="8"/>
      <c r="I1" s="7"/>
      <c r="J1" s="7"/>
      <c r="K1" s="9"/>
      <c r="L1" s="7"/>
      <c r="M1" s="7"/>
      <c r="N1" s="10"/>
      <c r="O1" s="7"/>
      <c r="P1" s="11"/>
      <c r="Q1" s="11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12"/>
      <c r="AF1" s="7"/>
      <c r="AG1" s="7"/>
      <c r="AH1" s="7"/>
    </row>
    <row r="2" spans="1:247">
      <c r="B2" s="6" t="s">
        <v>45</v>
      </c>
      <c r="D2" s="7"/>
      <c r="E2" s="7"/>
      <c r="F2" s="256"/>
      <c r="G2" s="256"/>
      <c r="H2" s="7"/>
      <c r="I2" s="7"/>
      <c r="J2" s="7"/>
      <c r="K2" s="9"/>
      <c r="L2" s="7"/>
      <c r="M2" s="7"/>
      <c r="N2" s="10"/>
      <c r="O2" s="7"/>
      <c r="P2" s="13">
        <v>4</v>
      </c>
      <c r="Q2" s="14" t="s">
        <v>46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BN2" s="5" t="s">
        <v>47</v>
      </c>
    </row>
    <row r="3" spans="1:247">
      <c r="B3" s="257">
        <f>'2120 Depr Summary'!H5</f>
        <v>43100</v>
      </c>
      <c r="C3" s="257"/>
      <c r="D3" s="7"/>
      <c r="E3" s="7"/>
      <c r="F3" s="7"/>
      <c r="G3" s="15"/>
      <c r="H3" s="7"/>
      <c r="I3" s="7"/>
      <c r="J3" s="7"/>
      <c r="K3" s="9"/>
      <c r="L3" s="7"/>
      <c r="M3" s="7"/>
      <c r="N3" s="10"/>
      <c r="O3" s="7"/>
      <c r="P3" s="13">
        <v>8</v>
      </c>
      <c r="Q3" s="14" t="s">
        <v>48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 t="s">
        <v>49</v>
      </c>
      <c r="AF3" s="7" t="s">
        <v>50</v>
      </c>
      <c r="AG3" s="7"/>
      <c r="AH3" s="7"/>
    </row>
    <row r="4" spans="1:247" ht="11.25" customHeight="1">
      <c r="B4" s="7"/>
      <c r="D4" s="7"/>
      <c r="E4" s="7"/>
      <c r="F4" s="7"/>
      <c r="G4" s="15"/>
      <c r="H4" s="7"/>
      <c r="I4" s="7"/>
      <c r="J4" s="7"/>
      <c r="K4" s="9"/>
      <c r="L4" s="7"/>
      <c r="M4" s="7"/>
      <c r="N4" s="10"/>
      <c r="O4" s="7"/>
      <c r="P4" s="16">
        <v>2016</v>
      </c>
      <c r="Q4" s="14" t="s">
        <v>51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 t="s">
        <v>52</v>
      </c>
      <c r="AF4" s="7" t="s">
        <v>53</v>
      </c>
      <c r="AG4" s="7"/>
      <c r="AH4" s="7"/>
      <c r="BM4" s="5">
        <v>1</v>
      </c>
      <c r="BN4" s="5" t="s">
        <v>54</v>
      </c>
      <c r="BQ4" s="5">
        <v>12</v>
      </c>
      <c r="BR4" s="5" t="s">
        <v>55</v>
      </c>
    </row>
    <row r="5" spans="1:247" ht="11.25" customHeight="1">
      <c r="B5" s="7"/>
      <c r="D5" s="7"/>
      <c r="E5" s="7"/>
      <c r="F5" s="7"/>
      <c r="G5" s="15"/>
      <c r="H5" s="7"/>
      <c r="I5" s="7"/>
      <c r="J5" s="7"/>
      <c r="K5" s="9"/>
      <c r="L5" s="7"/>
      <c r="M5" s="7"/>
      <c r="N5" s="10"/>
      <c r="O5" s="7"/>
      <c r="P5" s="16">
        <v>2017</v>
      </c>
      <c r="Q5" s="14" t="s">
        <v>56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 t="s">
        <v>57</v>
      </c>
      <c r="AF5" s="7" t="s">
        <v>58</v>
      </c>
      <c r="AG5" s="7"/>
      <c r="AH5" s="7"/>
      <c r="BN5" s="5">
        <v>1993</v>
      </c>
      <c r="BQ5" s="5">
        <v>0</v>
      </c>
      <c r="BR5" s="5" t="s">
        <v>59</v>
      </c>
    </row>
    <row r="6" spans="1:247">
      <c r="B6" s="7"/>
      <c r="D6" s="7"/>
      <c r="E6" s="7"/>
      <c r="F6" s="7"/>
      <c r="G6" s="15"/>
      <c r="H6" s="7"/>
      <c r="I6" s="7"/>
      <c r="J6" s="7"/>
      <c r="K6" s="9"/>
      <c r="L6" s="7"/>
      <c r="M6" s="7"/>
      <c r="N6" s="10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60</v>
      </c>
      <c r="AF6" s="7" t="s">
        <v>61</v>
      </c>
      <c r="AG6" s="7"/>
      <c r="AH6" s="7"/>
      <c r="BQ6" s="5">
        <v>93</v>
      </c>
      <c r="BR6" s="5" t="s">
        <v>51</v>
      </c>
    </row>
    <row r="7" spans="1:247">
      <c r="B7" s="7"/>
      <c r="D7" s="7"/>
      <c r="E7" s="7"/>
      <c r="F7" s="7"/>
      <c r="G7" s="15"/>
      <c r="H7" s="7"/>
      <c r="I7" s="7"/>
      <c r="J7" s="7"/>
      <c r="K7" s="9"/>
      <c r="L7" s="7"/>
      <c r="M7" s="7"/>
      <c r="N7" s="10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7"/>
      <c r="AD7" s="7"/>
      <c r="AE7" s="7" t="s">
        <v>62</v>
      </c>
      <c r="AF7" s="7" t="s">
        <v>63</v>
      </c>
      <c r="AG7" s="7"/>
      <c r="AH7" s="7"/>
      <c r="BQ7" s="5">
        <v>94</v>
      </c>
      <c r="BR7" s="5" t="s">
        <v>64</v>
      </c>
    </row>
    <row r="8" spans="1:247">
      <c r="B8" s="7"/>
      <c r="C8" s="11"/>
      <c r="D8" s="11"/>
      <c r="E8" s="11"/>
      <c r="F8" s="11"/>
      <c r="G8" s="18"/>
      <c r="H8" s="11"/>
      <c r="I8" s="11"/>
      <c r="J8" s="11"/>
      <c r="K8" s="19"/>
      <c r="L8" s="7"/>
      <c r="M8" s="7"/>
      <c r="N8" s="10"/>
      <c r="O8" s="7"/>
      <c r="P8" s="7"/>
      <c r="Q8" s="7"/>
      <c r="R8" s="7"/>
      <c r="S8" s="15" t="s">
        <v>65</v>
      </c>
      <c r="T8" s="7"/>
      <c r="U8" s="7"/>
      <c r="V8" s="17" t="s">
        <v>43</v>
      </c>
      <c r="W8" s="7"/>
      <c r="X8" s="15" t="s">
        <v>2</v>
      </c>
      <c r="Y8" s="15" t="s">
        <v>66</v>
      </c>
      <c r="Z8" s="7"/>
      <c r="AA8" s="17" t="s">
        <v>66</v>
      </c>
      <c r="AB8" s="17" t="s">
        <v>66</v>
      </c>
      <c r="AC8" s="17"/>
      <c r="AD8" s="7"/>
      <c r="AE8" s="7"/>
      <c r="AF8" s="7"/>
      <c r="AG8" s="7"/>
      <c r="AH8" s="7"/>
    </row>
    <row r="9" spans="1:247">
      <c r="B9" s="17"/>
      <c r="C9" s="17" t="s">
        <v>25</v>
      </c>
      <c r="D9" s="20" t="s">
        <v>67</v>
      </c>
      <c r="E9" s="17" t="s">
        <v>68</v>
      </c>
      <c r="F9" s="17"/>
      <c r="G9" s="21" t="s">
        <v>7</v>
      </c>
      <c r="H9" s="11"/>
      <c r="I9" s="17" t="s">
        <v>25</v>
      </c>
      <c r="J9" s="17"/>
      <c r="K9" s="22" t="s">
        <v>69</v>
      </c>
      <c r="L9" s="17" t="s">
        <v>25</v>
      </c>
      <c r="M9" s="7"/>
      <c r="N9" s="23" t="s">
        <v>25</v>
      </c>
      <c r="O9" s="15" t="s">
        <v>70</v>
      </c>
      <c r="P9" s="20" t="s">
        <v>25</v>
      </c>
      <c r="Q9" s="20"/>
      <c r="R9" s="17" t="s">
        <v>43</v>
      </c>
      <c r="S9" s="15" t="s">
        <v>69</v>
      </c>
      <c r="T9" s="17" t="s">
        <v>43</v>
      </c>
      <c r="U9" s="17" t="s">
        <v>71</v>
      </c>
      <c r="V9" s="17" t="s">
        <v>66</v>
      </c>
      <c r="W9" s="7"/>
      <c r="X9" s="15" t="s">
        <v>72</v>
      </c>
      <c r="Y9" s="15" t="s">
        <v>72</v>
      </c>
      <c r="Z9" s="15" t="s">
        <v>73</v>
      </c>
      <c r="AA9" s="17" t="s">
        <v>74</v>
      </c>
      <c r="AB9" s="17" t="s">
        <v>74</v>
      </c>
      <c r="AC9" s="17" t="s">
        <v>4</v>
      </c>
      <c r="AD9" s="7"/>
      <c r="AE9" s="7"/>
      <c r="AF9" s="7"/>
      <c r="AG9" s="7"/>
      <c r="AH9" s="7"/>
    </row>
    <row r="10" spans="1:247">
      <c r="B10" s="17"/>
      <c r="C10" s="17" t="s">
        <v>75</v>
      </c>
      <c r="D10" s="20"/>
      <c r="E10" s="17" t="s">
        <v>76</v>
      </c>
      <c r="F10" s="17"/>
      <c r="G10" s="21" t="s">
        <v>77</v>
      </c>
      <c r="H10" s="11"/>
      <c r="I10" s="17" t="s">
        <v>78</v>
      </c>
      <c r="J10" s="17" t="s">
        <v>79</v>
      </c>
      <c r="K10" s="22" t="s">
        <v>80</v>
      </c>
      <c r="L10" s="17" t="s">
        <v>70</v>
      </c>
      <c r="M10" s="7" t="s">
        <v>81</v>
      </c>
      <c r="N10" s="23" t="s">
        <v>70</v>
      </c>
      <c r="O10" s="15" t="s">
        <v>65</v>
      </c>
      <c r="P10" s="17" t="s">
        <v>8</v>
      </c>
      <c r="Q10" s="17" t="s">
        <v>82</v>
      </c>
      <c r="R10" s="17" t="s">
        <v>9</v>
      </c>
      <c r="S10" s="15" t="s">
        <v>83</v>
      </c>
      <c r="T10" s="17" t="s">
        <v>84</v>
      </c>
      <c r="U10" s="17" t="s">
        <v>85</v>
      </c>
      <c r="V10" s="17" t="s">
        <v>86</v>
      </c>
      <c r="W10" s="17"/>
      <c r="X10" s="17" t="s">
        <v>87</v>
      </c>
      <c r="Y10" s="17" t="s">
        <v>87</v>
      </c>
      <c r="Z10" s="17" t="s">
        <v>85</v>
      </c>
      <c r="AA10" s="17" t="s">
        <v>88</v>
      </c>
      <c r="AB10" s="17" t="s">
        <v>88</v>
      </c>
      <c r="AC10" s="17" t="s">
        <v>11</v>
      </c>
      <c r="AD10" s="15" t="s">
        <v>49</v>
      </c>
      <c r="AE10" s="15" t="s">
        <v>89</v>
      </c>
      <c r="AF10" s="15" t="s">
        <v>90</v>
      </c>
      <c r="AG10" s="15" t="s">
        <v>60</v>
      </c>
      <c r="AH10" s="15" t="s">
        <v>62</v>
      </c>
      <c r="BM10" s="5">
        <v>2</v>
      </c>
      <c r="BN10" s="5" t="s">
        <v>91</v>
      </c>
    </row>
    <row r="11" spans="1:247">
      <c r="A11" s="24" t="s">
        <v>92</v>
      </c>
      <c r="B11" s="24" t="s">
        <v>93</v>
      </c>
      <c r="C11" s="24" t="s">
        <v>94</v>
      </c>
      <c r="D11" s="25" t="s">
        <v>95</v>
      </c>
      <c r="E11" s="24" t="s">
        <v>69</v>
      </c>
      <c r="F11" s="24" t="s">
        <v>96</v>
      </c>
      <c r="G11" s="26" t="s">
        <v>71</v>
      </c>
      <c r="H11" s="11" t="s">
        <v>97</v>
      </c>
      <c r="I11" s="24" t="s">
        <v>98</v>
      </c>
      <c r="J11" s="24" t="s">
        <v>99</v>
      </c>
      <c r="K11" s="27" t="s">
        <v>8</v>
      </c>
      <c r="L11" s="24" t="s">
        <v>6</v>
      </c>
      <c r="M11" s="28" t="s">
        <v>97</v>
      </c>
      <c r="N11" s="29" t="s">
        <v>6</v>
      </c>
      <c r="O11" s="28" t="s">
        <v>97</v>
      </c>
      <c r="P11" s="24" t="s">
        <v>6</v>
      </c>
      <c r="Q11" s="24" t="s">
        <v>8</v>
      </c>
      <c r="R11" s="17" t="s">
        <v>8</v>
      </c>
      <c r="S11" s="28" t="s">
        <v>97</v>
      </c>
      <c r="T11" s="17" t="s">
        <v>100</v>
      </c>
      <c r="U11" s="24" t="s">
        <v>97</v>
      </c>
      <c r="V11" s="17" t="s">
        <v>88</v>
      </c>
      <c r="W11" s="17"/>
      <c r="X11" s="30">
        <f>'2120 Depr Summary'!F5</f>
        <v>42736</v>
      </c>
      <c r="Y11" s="30">
        <f>+B3</f>
        <v>43100</v>
      </c>
      <c r="Z11" s="17" t="s">
        <v>71</v>
      </c>
      <c r="AA11" s="31">
        <f>+X11</f>
        <v>42736</v>
      </c>
      <c r="AB11" s="31">
        <f>+B3</f>
        <v>43100</v>
      </c>
      <c r="AC11" s="31">
        <f>+B3</f>
        <v>43100</v>
      </c>
      <c r="AD11" s="7"/>
      <c r="AE11" s="7"/>
      <c r="AF11" s="7"/>
      <c r="AG11" s="7"/>
      <c r="AH11" s="7"/>
    </row>
    <row r="12" spans="1:247">
      <c r="A12" s="5">
        <v>1</v>
      </c>
      <c r="B12" s="7">
        <v>18</v>
      </c>
      <c r="C12" s="7" t="s">
        <v>101</v>
      </c>
      <c r="D12" s="32" t="s">
        <v>102</v>
      </c>
      <c r="E12" s="15">
        <v>1995</v>
      </c>
      <c r="F12" s="7">
        <v>6</v>
      </c>
      <c r="G12" s="33">
        <v>0</v>
      </c>
      <c r="H12" s="15"/>
      <c r="I12" s="15" t="s">
        <v>103</v>
      </c>
      <c r="J12" s="15">
        <v>5</v>
      </c>
      <c r="K12" s="19">
        <f t="shared" ref="K12:K31" si="0">E12+J12</f>
        <v>2000</v>
      </c>
      <c r="L12" s="7"/>
      <c r="M12" s="7"/>
      <c r="N12" s="34"/>
      <c r="O12" s="34">
        <v>0</v>
      </c>
      <c r="P12" s="35">
        <f t="shared" ref="P12:P30" si="1">N12-N12*G12</f>
        <v>0</v>
      </c>
      <c r="Q12" s="35">
        <f t="shared" ref="Q12:Q30" si="2">P12/J12/12</f>
        <v>0</v>
      </c>
      <c r="R12" s="35">
        <f t="shared" ref="R12:R30" si="3">IF(O12&gt;0,0,IF(OR(AD12&gt;AE12,AF12&lt;AG12),0,IF(AND(AF12&gt;=AG12,AF12&lt;=AE12),Q12*((AF12-AG12)*12),IF(AND(AG12&lt;=AD12,AE12&gt;=AD12),((AE12-AD12)*12)*Q12,IF(AF12&gt;AE12,12*Q12,0)))))</f>
        <v>0</v>
      </c>
      <c r="S12" s="35"/>
      <c r="T12" s="35">
        <f t="shared" ref="T12:T30" si="4">IF(S12&gt;0,S12,R12)</f>
        <v>0</v>
      </c>
      <c r="U12" s="35">
        <v>1</v>
      </c>
      <c r="V12" s="35">
        <f t="shared" ref="V12:V30" si="5">U12*SUM(R12:S12)</f>
        <v>0</v>
      </c>
      <c r="W12" s="35"/>
      <c r="X12" s="35">
        <f t="shared" ref="X12:X30" si="6">IF(AD12&gt;AE12,0,IF(AF12&lt;AG12,P12,IF(AND(AF12&gt;=AG12,AF12&lt;=AE12),(P12-T12),IF(AND(AG12&lt;=AD12,AE12&gt;=AD12),0,IF(AF12&gt;AE12,((AG12-AD12)*12)*Q12,0)))))</f>
        <v>0</v>
      </c>
      <c r="Y12" s="35">
        <f t="shared" ref="Y12:Y30" si="7">X12*U12</f>
        <v>0</v>
      </c>
      <c r="Z12" s="35">
        <v>1</v>
      </c>
      <c r="AA12" s="35">
        <f t="shared" ref="AA12:AA30" si="8">Y12*Z12</f>
        <v>0</v>
      </c>
      <c r="AB12" s="35">
        <f t="shared" ref="AB12:AB30" si="9">IF(O12&gt;0,0,AA12+V12*Z12)*Z12</f>
        <v>0</v>
      </c>
      <c r="AC12" s="35">
        <f t="shared" ref="AC12:AC30" si="10">IF(O12&gt;0,(N12-AA12)/2,IF(AD12&gt;=AG12,(((N12*U12)*Z12)-AB12)/2,((((N12*U12)*Z12)-AA12)+(((N12*U12)*Z12)-AB12))/2))</f>
        <v>0</v>
      </c>
      <c r="AD12" s="11">
        <f t="shared" ref="AD12:AD31" si="11">$E12+(($F12-1)/12)</f>
        <v>1995.4166666666667</v>
      </c>
      <c r="AE12" s="11">
        <f t="shared" ref="AE12:AE53" si="12">($P$5+1)-($P$2/12)</f>
        <v>2017.6666666666667</v>
      </c>
      <c r="AF12" s="11">
        <f t="shared" ref="AF12:AF31" si="13">$K12+(($F12-1)/12)</f>
        <v>2000.4166666666667</v>
      </c>
      <c r="AG12" s="11">
        <f t="shared" ref="AG12:AG53" si="14">$P$4+($P$3/12)</f>
        <v>2016.6666666666667</v>
      </c>
      <c r="AH12" s="11">
        <f t="shared" ref="AH12:AH31" si="15">$L12+(($M12-1)/12)</f>
        <v>-8.3333333333333329E-2</v>
      </c>
      <c r="IM12" s="5">
        <f>SUM(B12:IL12)</f>
        <v>12056.083333333332</v>
      </c>
    </row>
    <row r="13" spans="1:247">
      <c r="A13" s="5">
        <v>1</v>
      </c>
      <c r="B13" s="7">
        <v>15</v>
      </c>
      <c r="C13" s="7" t="s">
        <v>101</v>
      </c>
      <c r="D13" s="32" t="s">
        <v>104</v>
      </c>
      <c r="E13" s="15">
        <v>1997</v>
      </c>
      <c r="F13" s="7">
        <v>3</v>
      </c>
      <c r="G13" s="33">
        <v>0.2</v>
      </c>
      <c r="H13" s="15"/>
      <c r="I13" s="15" t="s">
        <v>103</v>
      </c>
      <c r="J13" s="15">
        <v>7</v>
      </c>
      <c r="K13" s="19">
        <f t="shared" si="0"/>
        <v>2004</v>
      </c>
      <c r="L13" s="7"/>
      <c r="M13" s="7"/>
      <c r="N13" s="34">
        <v>1580</v>
      </c>
      <c r="O13" s="34">
        <v>0</v>
      </c>
      <c r="P13" s="35">
        <f t="shared" si="1"/>
        <v>1264</v>
      </c>
      <c r="Q13" s="35">
        <f t="shared" si="2"/>
        <v>15.047619047619049</v>
      </c>
      <c r="R13" s="35">
        <f t="shared" si="3"/>
        <v>0</v>
      </c>
      <c r="S13" s="35"/>
      <c r="T13" s="35">
        <f t="shared" si="4"/>
        <v>0</v>
      </c>
      <c r="U13" s="35">
        <v>1</v>
      </c>
      <c r="V13" s="35">
        <f t="shared" si="5"/>
        <v>0</v>
      </c>
      <c r="W13" s="35"/>
      <c r="X13" s="35">
        <f t="shared" si="6"/>
        <v>1264</v>
      </c>
      <c r="Y13" s="35">
        <f t="shared" si="7"/>
        <v>1264</v>
      </c>
      <c r="Z13" s="35">
        <v>1</v>
      </c>
      <c r="AA13" s="35">
        <f t="shared" si="8"/>
        <v>1264</v>
      </c>
      <c r="AB13" s="35">
        <f t="shared" si="9"/>
        <v>1264</v>
      </c>
      <c r="AC13" s="35">
        <f t="shared" si="10"/>
        <v>316</v>
      </c>
      <c r="AD13" s="11">
        <f t="shared" si="11"/>
        <v>1997.1666666666667</v>
      </c>
      <c r="AE13" s="11">
        <f t="shared" si="12"/>
        <v>2017.6666666666667</v>
      </c>
      <c r="AF13" s="11">
        <f t="shared" si="13"/>
        <v>2004.1666666666667</v>
      </c>
      <c r="AG13" s="11">
        <f t="shared" si="14"/>
        <v>2016.6666666666667</v>
      </c>
      <c r="AH13" s="11">
        <f t="shared" si="15"/>
        <v>-8.3333333333333329E-2</v>
      </c>
    </row>
    <row r="14" spans="1:247">
      <c r="B14" s="7"/>
      <c r="C14" s="7" t="s">
        <v>105</v>
      </c>
      <c r="D14" s="32" t="s">
        <v>106</v>
      </c>
      <c r="E14" s="15">
        <v>2001</v>
      </c>
      <c r="F14" s="7">
        <v>1</v>
      </c>
      <c r="G14" s="33">
        <v>0</v>
      </c>
      <c r="H14" s="15"/>
      <c r="I14" s="15" t="s">
        <v>103</v>
      </c>
      <c r="J14" s="15">
        <v>7</v>
      </c>
      <c r="K14" s="19">
        <f t="shared" si="0"/>
        <v>2008</v>
      </c>
      <c r="L14" s="7"/>
      <c r="M14" s="7"/>
      <c r="N14" s="34">
        <v>2788.98</v>
      </c>
      <c r="O14" s="34">
        <v>0</v>
      </c>
      <c r="P14" s="35">
        <f t="shared" si="1"/>
        <v>2788.98</v>
      </c>
      <c r="Q14" s="35">
        <f t="shared" si="2"/>
        <v>33.202142857142853</v>
      </c>
      <c r="R14" s="35">
        <f t="shared" si="3"/>
        <v>0</v>
      </c>
      <c r="S14" s="35"/>
      <c r="T14" s="35">
        <f t="shared" si="4"/>
        <v>0</v>
      </c>
      <c r="U14" s="35">
        <v>1</v>
      </c>
      <c r="V14" s="35">
        <f t="shared" si="5"/>
        <v>0</v>
      </c>
      <c r="W14" s="35"/>
      <c r="X14" s="35">
        <f t="shared" si="6"/>
        <v>2788.98</v>
      </c>
      <c r="Y14" s="35">
        <f t="shared" si="7"/>
        <v>2788.98</v>
      </c>
      <c r="Z14" s="35">
        <v>1</v>
      </c>
      <c r="AA14" s="35">
        <f t="shared" si="8"/>
        <v>2788.98</v>
      </c>
      <c r="AB14" s="35">
        <f t="shared" si="9"/>
        <v>2788.98</v>
      </c>
      <c r="AC14" s="35">
        <f t="shared" si="10"/>
        <v>0</v>
      </c>
      <c r="AD14" s="11">
        <f t="shared" si="11"/>
        <v>2001</v>
      </c>
      <c r="AE14" s="11">
        <f t="shared" si="12"/>
        <v>2017.6666666666667</v>
      </c>
      <c r="AF14" s="11">
        <f t="shared" si="13"/>
        <v>2008</v>
      </c>
      <c r="AG14" s="11">
        <f t="shared" si="14"/>
        <v>2016.6666666666667</v>
      </c>
      <c r="AH14" s="11">
        <f t="shared" si="15"/>
        <v>-8.3333333333333329E-2</v>
      </c>
    </row>
    <row r="15" spans="1:247">
      <c r="A15" s="5">
        <v>1</v>
      </c>
      <c r="B15" s="7">
        <v>74</v>
      </c>
      <c r="C15" s="7" t="s">
        <v>107</v>
      </c>
      <c r="D15" s="32" t="s">
        <v>108</v>
      </c>
      <c r="E15" s="15">
        <v>2002</v>
      </c>
      <c r="F15" s="7">
        <v>9</v>
      </c>
      <c r="G15" s="33">
        <v>0.2</v>
      </c>
      <c r="H15" s="15"/>
      <c r="I15" s="15" t="s">
        <v>103</v>
      </c>
      <c r="J15" s="15">
        <v>7</v>
      </c>
      <c r="K15" s="19">
        <f t="shared" si="0"/>
        <v>2009</v>
      </c>
      <c r="L15" s="7"/>
      <c r="M15" s="7"/>
      <c r="N15" s="34">
        <f>50488+49668</f>
        <v>100156</v>
      </c>
      <c r="O15" s="34">
        <v>0</v>
      </c>
      <c r="P15" s="35">
        <f t="shared" si="1"/>
        <v>80124.800000000003</v>
      </c>
      <c r="Q15" s="35">
        <f t="shared" si="2"/>
        <v>953.86666666666667</v>
      </c>
      <c r="R15" s="35">
        <f t="shared" si="3"/>
        <v>0</v>
      </c>
      <c r="S15" s="35"/>
      <c r="T15" s="35">
        <f t="shared" si="4"/>
        <v>0</v>
      </c>
      <c r="U15" s="35">
        <v>1</v>
      </c>
      <c r="V15" s="35">
        <f t="shared" si="5"/>
        <v>0</v>
      </c>
      <c r="W15" s="35"/>
      <c r="X15" s="35">
        <f t="shared" si="6"/>
        <v>80124.800000000003</v>
      </c>
      <c r="Y15" s="35">
        <f t="shared" si="7"/>
        <v>80124.800000000003</v>
      </c>
      <c r="Z15" s="35">
        <v>1</v>
      </c>
      <c r="AA15" s="35">
        <f t="shared" si="8"/>
        <v>80124.800000000003</v>
      </c>
      <c r="AB15" s="35">
        <f t="shared" si="9"/>
        <v>80124.800000000003</v>
      </c>
      <c r="AC15" s="35">
        <f t="shared" si="10"/>
        <v>20031.199999999997</v>
      </c>
      <c r="AD15" s="11">
        <f t="shared" si="11"/>
        <v>2002.6666666666667</v>
      </c>
      <c r="AE15" s="11">
        <f t="shared" si="12"/>
        <v>2017.6666666666667</v>
      </c>
      <c r="AF15" s="11">
        <f t="shared" si="13"/>
        <v>2009.6666666666667</v>
      </c>
      <c r="AG15" s="11">
        <f t="shared" si="14"/>
        <v>2016.6666666666667</v>
      </c>
      <c r="AH15" s="11">
        <f t="shared" si="15"/>
        <v>-8.3333333333333329E-2</v>
      </c>
    </row>
    <row r="16" spans="1:247">
      <c r="A16" s="5">
        <v>1</v>
      </c>
      <c r="B16" s="7">
        <v>6</v>
      </c>
      <c r="C16" s="7" t="s">
        <v>107</v>
      </c>
      <c r="D16" s="32" t="s">
        <v>108</v>
      </c>
      <c r="E16" s="15">
        <v>2003</v>
      </c>
      <c r="F16" s="7">
        <v>6</v>
      </c>
      <c r="G16" s="33">
        <v>0.2</v>
      </c>
      <c r="H16" s="15"/>
      <c r="I16" s="15" t="s">
        <v>103</v>
      </c>
      <c r="J16" s="15">
        <v>7</v>
      </c>
      <c r="K16" s="19">
        <f t="shared" si="0"/>
        <v>2010</v>
      </c>
      <c r="L16" s="7"/>
      <c r="M16" s="7"/>
      <c r="N16" s="34">
        <v>95000</v>
      </c>
      <c r="O16" s="34">
        <v>0</v>
      </c>
      <c r="P16" s="35">
        <f t="shared" si="1"/>
        <v>76000</v>
      </c>
      <c r="Q16" s="35">
        <f t="shared" si="2"/>
        <v>904.7619047619047</v>
      </c>
      <c r="R16" s="35">
        <f t="shared" si="3"/>
        <v>0</v>
      </c>
      <c r="S16" s="35"/>
      <c r="T16" s="35">
        <f t="shared" si="4"/>
        <v>0</v>
      </c>
      <c r="U16" s="35">
        <v>1</v>
      </c>
      <c r="V16" s="35">
        <f t="shared" si="5"/>
        <v>0</v>
      </c>
      <c r="W16" s="35"/>
      <c r="X16" s="35">
        <f t="shared" si="6"/>
        <v>76000</v>
      </c>
      <c r="Y16" s="35">
        <f t="shared" si="7"/>
        <v>76000</v>
      </c>
      <c r="Z16" s="35">
        <v>1</v>
      </c>
      <c r="AA16" s="35">
        <f t="shared" si="8"/>
        <v>76000</v>
      </c>
      <c r="AB16" s="35">
        <f t="shared" si="9"/>
        <v>76000</v>
      </c>
      <c r="AC16" s="35">
        <f t="shared" si="10"/>
        <v>19000</v>
      </c>
      <c r="AD16" s="11">
        <f t="shared" si="11"/>
        <v>2003.4166666666667</v>
      </c>
      <c r="AE16" s="11">
        <f t="shared" si="12"/>
        <v>2017.6666666666667</v>
      </c>
      <c r="AF16" s="11">
        <f t="shared" si="13"/>
        <v>2010.4166666666667</v>
      </c>
      <c r="AG16" s="11">
        <f t="shared" si="14"/>
        <v>2016.6666666666667</v>
      </c>
      <c r="AH16" s="11">
        <f t="shared" si="15"/>
        <v>-8.3333333333333329E-2</v>
      </c>
    </row>
    <row r="17" spans="1:34">
      <c r="A17" s="5">
        <v>1</v>
      </c>
      <c r="B17" s="7">
        <v>67</v>
      </c>
      <c r="C17" s="7" t="s">
        <v>109</v>
      </c>
      <c r="D17" s="32" t="s">
        <v>110</v>
      </c>
      <c r="E17" s="15">
        <v>2003</v>
      </c>
      <c r="F17" s="7">
        <v>8</v>
      </c>
      <c r="G17" s="33">
        <v>0.2</v>
      </c>
      <c r="H17" s="15"/>
      <c r="I17" s="15" t="s">
        <v>103</v>
      </c>
      <c r="J17" s="15">
        <v>7</v>
      </c>
      <c r="K17" s="19">
        <f t="shared" si="0"/>
        <v>2010</v>
      </c>
      <c r="L17" s="7"/>
      <c r="M17" s="7"/>
      <c r="N17" s="34">
        <f>52689+37380</f>
        <v>90069</v>
      </c>
      <c r="O17" s="34">
        <v>0</v>
      </c>
      <c r="P17" s="35">
        <f t="shared" si="1"/>
        <v>72055.199999999997</v>
      </c>
      <c r="Q17" s="35">
        <f t="shared" si="2"/>
        <v>857.80000000000007</v>
      </c>
      <c r="R17" s="35">
        <f t="shared" si="3"/>
        <v>0</v>
      </c>
      <c r="S17" s="35"/>
      <c r="T17" s="35">
        <f t="shared" si="4"/>
        <v>0</v>
      </c>
      <c r="U17" s="35">
        <v>1</v>
      </c>
      <c r="V17" s="35">
        <f t="shared" si="5"/>
        <v>0</v>
      </c>
      <c r="W17" s="35"/>
      <c r="X17" s="35">
        <f t="shared" si="6"/>
        <v>72055.199999999997</v>
      </c>
      <c r="Y17" s="35">
        <f t="shared" si="7"/>
        <v>72055.199999999997</v>
      </c>
      <c r="Z17" s="35">
        <v>1</v>
      </c>
      <c r="AA17" s="35">
        <f t="shared" si="8"/>
        <v>72055.199999999997</v>
      </c>
      <c r="AB17" s="35">
        <f t="shared" si="9"/>
        <v>72055.199999999997</v>
      </c>
      <c r="AC17" s="35">
        <f t="shared" si="10"/>
        <v>18013.800000000003</v>
      </c>
      <c r="AD17" s="11">
        <f t="shared" si="11"/>
        <v>2003.5833333333333</v>
      </c>
      <c r="AE17" s="11">
        <f t="shared" si="12"/>
        <v>2017.6666666666667</v>
      </c>
      <c r="AF17" s="11">
        <f t="shared" si="13"/>
        <v>2010.5833333333333</v>
      </c>
      <c r="AG17" s="11">
        <f t="shared" si="14"/>
        <v>2016.6666666666667</v>
      </c>
      <c r="AH17" s="11">
        <f t="shared" si="15"/>
        <v>-8.3333333333333329E-2</v>
      </c>
    </row>
    <row r="18" spans="1:34">
      <c r="A18" s="5">
        <v>1</v>
      </c>
      <c r="B18" s="7">
        <v>5</v>
      </c>
      <c r="C18" s="7" t="s">
        <v>107</v>
      </c>
      <c r="D18" s="32" t="s">
        <v>111</v>
      </c>
      <c r="E18" s="15">
        <v>2004</v>
      </c>
      <c r="F18" s="7">
        <v>3</v>
      </c>
      <c r="G18" s="33">
        <v>0.2</v>
      </c>
      <c r="H18" s="15"/>
      <c r="I18" s="15" t="s">
        <v>103</v>
      </c>
      <c r="J18" s="15">
        <v>7</v>
      </c>
      <c r="K18" s="19">
        <f t="shared" si="0"/>
        <v>2011</v>
      </c>
      <c r="L18" s="7"/>
      <c r="M18" s="7"/>
      <c r="N18" s="34">
        <v>95000</v>
      </c>
      <c r="O18" s="34">
        <v>0</v>
      </c>
      <c r="P18" s="35">
        <f t="shared" si="1"/>
        <v>76000</v>
      </c>
      <c r="Q18" s="35">
        <f t="shared" si="2"/>
        <v>904.7619047619047</v>
      </c>
      <c r="R18" s="35">
        <f t="shared" si="3"/>
        <v>0</v>
      </c>
      <c r="S18" s="35"/>
      <c r="T18" s="35">
        <f t="shared" si="4"/>
        <v>0</v>
      </c>
      <c r="U18" s="35">
        <v>1</v>
      </c>
      <c r="V18" s="35">
        <f t="shared" si="5"/>
        <v>0</v>
      </c>
      <c r="W18" s="35"/>
      <c r="X18" s="35">
        <f t="shared" si="6"/>
        <v>76000</v>
      </c>
      <c r="Y18" s="35">
        <f t="shared" si="7"/>
        <v>76000</v>
      </c>
      <c r="Z18" s="35">
        <v>1</v>
      </c>
      <c r="AA18" s="35">
        <f t="shared" si="8"/>
        <v>76000</v>
      </c>
      <c r="AB18" s="35">
        <f t="shared" si="9"/>
        <v>76000</v>
      </c>
      <c r="AC18" s="35">
        <f t="shared" si="10"/>
        <v>19000</v>
      </c>
      <c r="AD18" s="11">
        <f t="shared" si="11"/>
        <v>2004.1666666666667</v>
      </c>
      <c r="AE18" s="11">
        <f t="shared" si="12"/>
        <v>2017.6666666666667</v>
      </c>
      <c r="AF18" s="11">
        <f t="shared" si="13"/>
        <v>2011.1666666666667</v>
      </c>
      <c r="AG18" s="11">
        <f t="shared" si="14"/>
        <v>2016.6666666666667</v>
      </c>
      <c r="AH18" s="11">
        <f t="shared" si="15"/>
        <v>-8.3333333333333329E-2</v>
      </c>
    </row>
    <row r="19" spans="1:34">
      <c r="A19" s="5">
        <v>1</v>
      </c>
      <c r="B19" s="7">
        <v>67</v>
      </c>
      <c r="C19" s="15" t="s">
        <v>112</v>
      </c>
      <c r="D19" s="32" t="s">
        <v>113</v>
      </c>
      <c r="E19" s="15">
        <v>2007</v>
      </c>
      <c r="F19" s="7">
        <v>7</v>
      </c>
      <c r="G19" s="33"/>
      <c r="H19" s="15"/>
      <c r="I19" s="15" t="s">
        <v>103</v>
      </c>
      <c r="J19" s="15">
        <v>3</v>
      </c>
      <c r="K19" s="19">
        <f t="shared" si="0"/>
        <v>2010</v>
      </c>
      <c r="L19" s="7"/>
      <c r="M19" s="7"/>
      <c r="N19" s="34">
        <v>7423</v>
      </c>
      <c r="O19" s="34">
        <v>0</v>
      </c>
      <c r="P19" s="35">
        <f t="shared" si="1"/>
        <v>7423</v>
      </c>
      <c r="Q19" s="35">
        <f t="shared" si="2"/>
        <v>206.19444444444446</v>
      </c>
      <c r="R19" s="35">
        <f t="shared" si="3"/>
        <v>0</v>
      </c>
      <c r="S19" s="35"/>
      <c r="T19" s="35">
        <f t="shared" si="4"/>
        <v>0</v>
      </c>
      <c r="U19" s="35">
        <v>1</v>
      </c>
      <c r="V19" s="35">
        <f t="shared" si="5"/>
        <v>0</v>
      </c>
      <c r="W19" s="35"/>
      <c r="X19" s="35">
        <f t="shared" si="6"/>
        <v>7423</v>
      </c>
      <c r="Y19" s="35">
        <f t="shared" si="7"/>
        <v>7423</v>
      </c>
      <c r="Z19" s="35">
        <v>1</v>
      </c>
      <c r="AA19" s="35">
        <f t="shared" si="8"/>
        <v>7423</v>
      </c>
      <c r="AB19" s="35">
        <f t="shared" si="9"/>
        <v>7423</v>
      </c>
      <c r="AC19" s="35">
        <f t="shared" si="10"/>
        <v>0</v>
      </c>
      <c r="AD19" s="11">
        <f t="shared" si="11"/>
        <v>2007.5</v>
      </c>
      <c r="AE19" s="11">
        <f t="shared" si="12"/>
        <v>2017.6666666666667</v>
      </c>
      <c r="AF19" s="11">
        <f t="shared" si="13"/>
        <v>2010.5</v>
      </c>
      <c r="AG19" s="11">
        <f t="shared" si="14"/>
        <v>2016.6666666666667</v>
      </c>
      <c r="AH19" s="11">
        <f t="shared" si="15"/>
        <v>-8.3333333333333329E-2</v>
      </c>
    </row>
    <row r="20" spans="1:34" s="7" customFormat="1">
      <c r="A20" s="7">
        <v>1</v>
      </c>
      <c r="B20" s="7">
        <v>8</v>
      </c>
      <c r="C20" s="7" t="s">
        <v>114</v>
      </c>
      <c r="D20" s="32" t="s">
        <v>115</v>
      </c>
      <c r="E20" s="15">
        <v>2008</v>
      </c>
      <c r="F20" s="7">
        <v>8</v>
      </c>
      <c r="G20" s="33">
        <v>0.2</v>
      </c>
      <c r="H20" s="15"/>
      <c r="I20" s="15" t="s">
        <v>103</v>
      </c>
      <c r="J20" s="15">
        <v>7</v>
      </c>
      <c r="K20" s="19">
        <f>E20+J20</f>
        <v>2015</v>
      </c>
      <c r="N20" s="34">
        <v>172924.95</v>
      </c>
      <c r="O20" s="34">
        <v>0</v>
      </c>
      <c r="P20" s="35">
        <f>N20-N20*G20</f>
        <v>138339.96000000002</v>
      </c>
      <c r="Q20" s="35">
        <f>P20/J20/12</f>
        <v>1646.9042857142858</v>
      </c>
      <c r="R20" s="35">
        <f>IF(O20&gt;0,0,IF(OR(AD20&gt;AE20,AF20&lt;AG20),0,IF(AND(AF20&gt;=AG20,AF20&lt;=AE20),Q20*((AF20-AG20)*12),IF(AND(AG20&lt;=AD20,AE20&gt;=AD20),((AE20-AD20)*12)*Q20,IF(AF20&gt;AE20,12*Q20,0)))))</f>
        <v>0</v>
      </c>
      <c r="S20" s="35"/>
      <c r="T20" s="35">
        <f>IF(S20&gt;0,S20,R20)</f>
        <v>0</v>
      </c>
      <c r="U20" s="35">
        <v>1</v>
      </c>
      <c r="V20" s="35">
        <f>U20*SUM(R20:S20)</f>
        <v>0</v>
      </c>
      <c r="W20" s="35"/>
      <c r="X20" s="35">
        <f>IF(AD20&gt;AE20,0,IF(AF20&lt;AG20,P20,IF(AND(AF20&gt;=AG20,AF20&lt;=AE20),(P20-T20),IF(AND(AG20&lt;=AD20,AE20&gt;=AD20),0,IF(AF20&gt;AE20,((AG20-AD20)*12)*Q20,0)))))</f>
        <v>138339.96000000002</v>
      </c>
      <c r="Y20" s="35">
        <f>X20*U20</f>
        <v>138339.96000000002</v>
      </c>
      <c r="Z20" s="35">
        <v>1</v>
      </c>
      <c r="AA20" s="35">
        <f>Y20*Z20</f>
        <v>138339.96000000002</v>
      </c>
      <c r="AB20" s="35">
        <f>IF(O20&gt;0,0,AA20+V20*Z20)*Z20</f>
        <v>138339.96000000002</v>
      </c>
      <c r="AC20" s="35">
        <f>IF(O20&gt;0,(N20-AA20)/2,IF(AD20&gt;=AG20,(((N20*U20)*Z20)-AB20)/2,((((N20*U20)*Z20)-AA20)+(((N20*U20)*Z20)-AB20))/2))</f>
        <v>34584.989999999991</v>
      </c>
      <c r="AD20" s="11">
        <f>$E20+(($F20-1)/12)</f>
        <v>2008.5833333333333</v>
      </c>
      <c r="AE20" s="11">
        <f t="shared" si="12"/>
        <v>2017.6666666666667</v>
      </c>
      <c r="AF20" s="11">
        <f>$K20+(($F20-1)/12)</f>
        <v>2015.5833333333333</v>
      </c>
      <c r="AG20" s="11">
        <f t="shared" si="14"/>
        <v>2016.6666666666667</v>
      </c>
      <c r="AH20" s="11">
        <f>$L20+(($M20-1)/12)</f>
        <v>-8.3333333333333329E-2</v>
      </c>
    </row>
    <row r="21" spans="1:34">
      <c r="B21" s="7">
        <v>10</v>
      </c>
      <c r="C21" s="7" t="s">
        <v>114</v>
      </c>
      <c r="D21" s="32" t="s">
        <v>116</v>
      </c>
      <c r="E21" s="15">
        <v>2009</v>
      </c>
      <c r="F21" s="7">
        <v>12</v>
      </c>
      <c r="G21" s="33">
        <v>0.2</v>
      </c>
      <c r="H21" s="15"/>
      <c r="I21" s="15" t="s">
        <v>103</v>
      </c>
      <c r="J21" s="15">
        <v>7</v>
      </c>
      <c r="K21" s="19">
        <f t="shared" si="0"/>
        <v>2016</v>
      </c>
      <c r="L21" s="7"/>
      <c r="M21" s="7"/>
      <c r="N21" s="34">
        <v>185728.34</v>
      </c>
      <c r="O21" s="34">
        <v>0</v>
      </c>
      <c r="P21" s="35">
        <f t="shared" si="1"/>
        <v>148582.67199999999</v>
      </c>
      <c r="Q21" s="35">
        <f t="shared" si="2"/>
        <v>1768.8413333333331</v>
      </c>
      <c r="R21" s="35">
        <f t="shared" si="3"/>
        <v>5306.5239999999994</v>
      </c>
      <c r="S21" s="35"/>
      <c r="T21" s="35">
        <f t="shared" si="4"/>
        <v>5306.5239999999994</v>
      </c>
      <c r="U21" s="35">
        <v>1</v>
      </c>
      <c r="V21" s="35">
        <f t="shared" si="5"/>
        <v>5306.5239999999994</v>
      </c>
      <c r="W21" s="35"/>
      <c r="X21" s="35">
        <f t="shared" si="6"/>
        <v>143276.14799999999</v>
      </c>
      <c r="Y21" s="35">
        <f t="shared" si="7"/>
        <v>143276.14799999999</v>
      </c>
      <c r="Z21" s="35">
        <v>1</v>
      </c>
      <c r="AA21" s="35">
        <f t="shared" si="8"/>
        <v>143276.14799999999</v>
      </c>
      <c r="AB21" s="35">
        <f t="shared" si="9"/>
        <v>148582.67199999999</v>
      </c>
      <c r="AC21" s="35">
        <f t="shared" si="10"/>
        <v>39798.930000000008</v>
      </c>
      <c r="AD21" s="11">
        <f t="shared" si="11"/>
        <v>2009.9166666666667</v>
      </c>
      <c r="AE21" s="11">
        <f t="shared" si="12"/>
        <v>2017.6666666666667</v>
      </c>
      <c r="AF21" s="11">
        <f t="shared" si="13"/>
        <v>2016.9166666666667</v>
      </c>
      <c r="AG21" s="11">
        <f t="shared" si="14"/>
        <v>2016.6666666666667</v>
      </c>
      <c r="AH21" s="11">
        <f t="shared" si="15"/>
        <v>-8.3333333333333329E-2</v>
      </c>
    </row>
    <row r="22" spans="1:34">
      <c r="B22" s="7">
        <v>10</v>
      </c>
      <c r="C22" s="7" t="s">
        <v>117</v>
      </c>
      <c r="D22" s="32" t="s">
        <v>118</v>
      </c>
      <c r="E22" s="15">
        <v>2010</v>
      </c>
      <c r="F22" s="7">
        <v>1</v>
      </c>
      <c r="G22" s="33">
        <v>0.2</v>
      </c>
      <c r="H22" s="15"/>
      <c r="I22" s="15" t="s">
        <v>103</v>
      </c>
      <c r="J22" s="15">
        <v>7</v>
      </c>
      <c r="K22" s="19">
        <f t="shared" si="0"/>
        <v>2017</v>
      </c>
      <c r="L22" s="7"/>
      <c r="M22" s="7"/>
      <c r="N22" s="34">
        <v>13204.61</v>
      </c>
      <c r="O22" s="34">
        <v>0</v>
      </c>
      <c r="P22" s="35">
        <f t="shared" si="1"/>
        <v>10563.688</v>
      </c>
      <c r="Q22" s="35">
        <f t="shared" si="2"/>
        <v>125.75819047619048</v>
      </c>
      <c r="R22" s="35">
        <f t="shared" si="3"/>
        <v>503.03276190464754</v>
      </c>
      <c r="S22" s="35"/>
      <c r="T22" s="35">
        <f t="shared" si="4"/>
        <v>503.03276190464754</v>
      </c>
      <c r="U22" s="35">
        <v>1</v>
      </c>
      <c r="V22" s="35">
        <f t="shared" si="5"/>
        <v>503.03276190464754</v>
      </c>
      <c r="W22" s="35"/>
      <c r="X22" s="35">
        <f t="shared" si="6"/>
        <v>10060.655238095353</v>
      </c>
      <c r="Y22" s="35">
        <f t="shared" si="7"/>
        <v>10060.655238095353</v>
      </c>
      <c r="Z22" s="35">
        <v>1</v>
      </c>
      <c r="AA22" s="35">
        <f t="shared" si="8"/>
        <v>10060.655238095353</v>
      </c>
      <c r="AB22" s="35">
        <f t="shared" si="9"/>
        <v>10563.688</v>
      </c>
      <c r="AC22" s="35">
        <f t="shared" si="10"/>
        <v>2892.4383809523242</v>
      </c>
      <c r="AD22" s="11">
        <f t="shared" si="11"/>
        <v>2010</v>
      </c>
      <c r="AE22" s="11">
        <f t="shared" si="12"/>
        <v>2017.6666666666667</v>
      </c>
      <c r="AF22" s="11">
        <f t="shared" si="13"/>
        <v>2017</v>
      </c>
      <c r="AG22" s="11">
        <f t="shared" si="14"/>
        <v>2016.6666666666667</v>
      </c>
      <c r="AH22" s="11">
        <f t="shared" si="15"/>
        <v>-8.3333333333333329E-2</v>
      </c>
    </row>
    <row r="23" spans="1:34">
      <c r="A23" s="5">
        <v>1</v>
      </c>
      <c r="B23" s="7"/>
      <c r="D23" s="32" t="s">
        <v>119</v>
      </c>
      <c r="E23" s="15">
        <v>2010</v>
      </c>
      <c r="F23" s="7">
        <v>8</v>
      </c>
      <c r="G23" s="33">
        <v>0.2</v>
      </c>
      <c r="H23" s="15"/>
      <c r="I23" s="15" t="s">
        <v>103</v>
      </c>
      <c r="J23" s="15">
        <v>7</v>
      </c>
      <c r="K23" s="19">
        <f t="shared" si="0"/>
        <v>2017</v>
      </c>
      <c r="L23" s="7"/>
      <c r="M23" s="7"/>
      <c r="N23" s="34">
        <f>14237.59</f>
        <v>14237.59</v>
      </c>
      <c r="O23" s="34">
        <v>0</v>
      </c>
      <c r="P23" s="35">
        <f t="shared" si="1"/>
        <v>11390.072</v>
      </c>
      <c r="Q23" s="35">
        <f t="shared" si="2"/>
        <v>135.59609523809524</v>
      </c>
      <c r="R23" s="35">
        <f t="shared" si="3"/>
        <v>1491.5570476188011</v>
      </c>
      <c r="S23" s="35"/>
      <c r="T23" s="35">
        <f t="shared" si="4"/>
        <v>1491.5570476188011</v>
      </c>
      <c r="U23" s="35">
        <v>1</v>
      </c>
      <c r="V23" s="35">
        <f t="shared" si="5"/>
        <v>1491.5570476188011</v>
      </c>
      <c r="W23" s="35"/>
      <c r="X23" s="35">
        <f t="shared" si="6"/>
        <v>9898.5149523811997</v>
      </c>
      <c r="Y23" s="35">
        <f t="shared" si="7"/>
        <v>9898.5149523811997</v>
      </c>
      <c r="Z23" s="35">
        <v>1</v>
      </c>
      <c r="AA23" s="35">
        <f t="shared" si="8"/>
        <v>9898.5149523811997</v>
      </c>
      <c r="AB23" s="35">
        <f t="shared" si="9"/>
        <v>11390.072</v>
      </c>
      <c r="AC23" s="35">
        <f t="shared" si="10"/>
        <v>3593.2965238094002</v>
      </c>
      <c r="AD23" s="11">
        <f t="shared" si="11"/>
        <v>2010.5833333333333</v>
      </c>
      <c r="AE23" s="11">
        <f t="shared" si="12"/>
        <v>2017.6666666666667</v>
      </c>
      <c r="AF23" s="11">
        <f t="shared" si="13"/>
        <v>2017.5833333333333</v>
      </c>
      <c r="AG23" s="11">
        <f t="shared" si="14"/>
        <v>2016.6666666666667</v>
      </c>
      <c r="AH23" s="11">
        <f t="shared" si="15"/>
        <v>-8.3333333333333329E-2</v>
      </c>
    </row>
    <row r="24" spans="1:34">
      <c r="A24" s="5">
        <v>1</v>
      </c>
      <c r="B24" s="7">
        <v>1</v>
      </c>
      <c r="C24" s="7" t="s">
        <v>120</v>
      </c>
      <c r="D24" s="32" t="s">
        <v>121</v>
      </c>
      <c r="E24" s="15">
        <v>2011</v>
      </c>
      <c r="F24" s="7">
        <v>9</v>
      </c>
      <c r="G24" s="33">
        <v>0.2</v>
      </c>
      <c r="H24" s="15"/>
      <c r="I24" s="15" t="s">
        <v>103</v>
      </c>
      <c r="J24" s="15">
        <v>7</v>
      </c>
      <c r="K24" s="19">
        <f t="shared" si="0"/>
        <v>2018</v>
      </c>
      <c r="L24" s="7"/>
      <c r="M24" s="7"/>
      <c r="N24" s="34">
        <f>66816.15+60443.84</f>
        <v>127259.98999999999</v>
      </c>
      <c r="O24" s="34">
        <v>0</v>
      </c>
      <c r="P24" s="35">
        <f t="shared" si="1"/>
        <v>101807.992</v>
      </c>
      <c r="Q24" s="35">
        <f t="shared" si="2"/>
        <v>1211.9999047619046</v>
      </c>
      <c r="R24" s="35">
        <f t="shared" si="3"/>
        <v>14543.998857142855</v>
      </c>
      <c r="S24" s="35"/>
      <c r="T24" s="35">
        <f t="shared" si="4"/>
        <v>14543.998857142855</v>
      </c>
      <c r="U24" s="35">
        <v>1</v>
      </c>
      <c r="V24" s="35">
        <f t="shared" si="5"/>
        <v>14543.998857142855</v>
      </c>
      <c r="W24" s="35"/>
      <c r="X24" s="35">
        <f t="shared" si="6"/>
        <v>72719.994285714274</v>
      </c>
      <c r="Y24" s="35">
        <f t="shared" si="7"/>
        <v>72719.994285714274</v>
      </c>
      <c r="Z24" s="35">
        <v>1</v>
      </c>
      <c r="AA24" s="35">
        <f t="shared" si="8"/>
        <v>72719.994285714274</v>
      </c>
      <c r="AB24" s="35">
        <f t="shared" si="9"/>
        <v>87263.993142857129</v>
      </c>
      <c r="AC24" s="35">
        <f t="shared" si="10"/>
        <v>47267.996285714289</v>
      </c>
      <c r="AD24" s="11">
        <f t="shared" si="11"/>
        <v>2011.6666666666667</v>
      </c>
      <c r="AE24" s="11">
        <f t="shared" si="12"/>
        <v>2017.6666666666667</v>
      </c>
      <c r="AF24" s="11">
        <f t="shared" si="13"/>
        <v>2018.6666666666667</v>
      </c>
      <c r="AG24" s="11">
        <f t="shared" si="14"/>
        <v>2016.6666666666667</v>
      </c>
      <c r="AH24" s="11">
        <f t="shared" si="15"/>
        <v>-8.3333333333333329E-2</v>
      </c>
    </row>
    <row r="25" spans="1:34">
      <c r="A25" s="5">
        <v>1</v>
      </c>
      <c r="B25" s="7">
        <v>11</v>
      </c>
      <c r="C25" s="7" t="s">
        <v>122</v>
      </c>
      <c r="D25" s="32" t="s">
        <v>123</v>
      </c>
      <c r="E25" s="15">
        <v>2012</v>
      </c>
      <c r="F25" s="7">
        <v>7</v>
      </c>
      <c r="G25" s="33">
        <v>0.33</v>
      </c>
      <c r="H25" s="15"/>
      <c r="I25" s="15" t="s">
        <v>103</v>
      </c>
      <c r="J25" s="15">
        <v>5</v>
      </c>
      <c r="K25" s="19">
        <f t="shared" si="0"/>
        <v>2017</v>
      </c>
      <c r="L25" s="7"/>
      <c r="M25" s="7"/>
      <c r="N25" s="34">
        <f>160100+12717+630</f>
        <v>173447</v>
      </c>
      <c r="O25" s="34">
        <v>0</v>
      </c>
      <c r="P25" s="35">
        <f t="shared" si="1"/>
        <v>116209.48999999999</v>
      </c>
      <c r="Q25" s="35">
        <f t="shared" si="2"/>
        <v>1936.8248333333331</v>
      </c>
      <c r="R25" s="35">
        <f t="shared" si="3"/>
        <v>19368.248333331569</v>
      </c>
      <c r="S25" s="35"/>
      <c r="T25" s="35">
        <f t="shared" si="4"/>
        <v>19368.248333331569</v>
      </c>
      <c r="U25" s="35">
        <v>1</v>
      </c>
      <c r="V25" s="35">
        <f t="shared" si="5"/>
        <v>19368.248333331569</v>
      </c>
      <c r="W25" s="35"/>
      <c r="X25" s="35">
        <f t="shared" si="6"/>
        <v>96841.241666668415</v>
      </c>
      <c r="Y25" s="35">
        <f t="shared" si="7"/>
        <v>96841.241666668415</v>
      </c>
      <c r="Z25" s="35">
        <v>1</v>
      </c>
      <c r="AA25" s="35">
        <f t="shared" si="8"/>
        <v>96841.241666668415</v>
      </c>
      <c r="AB25" s="35">
        <f t="shared" si="9"/>
        <v>116209.48999999999</v>
      </c>
      <c r="AC25" s="35">
        <f t="shared" si="10"/>
        <v>66921.634166665797</v>
      </c>
      <c r="AD25" s="11">
        <f t="shared" si="11"/>
        <v>2012.5</v>
      </c>
      <c r="AE25" s="11">
        <f t="shared" si="12"/>
        <v>2017.6666666666667</v>
      </c>
      <c r="AF25" s="11">
        <f t="shared" si="13"/>
        <v>2017.5</v>
      </c>
      <c r="AG25" s="11">
        <f t="shared" si="14"/>
        <v>2016.6666666666667</v>
      </c>
      <c r="AH25" s="11">
        <f t="shared" si="15"/>
        <v>-8.3333333333333329E-2</v>
      </c>
    </row>
    <row r="26" spans="1:34">
      <c r="A26" s="5">
        <v>118506</v>
      </c>
      <c r="B26" s="7">
        <v>11</v>
      </c>
      <c r="C26" s="7" t="s">
        <v>122</v>
      </c>
      <c r="D26" s="32" t="s">
        <v>124</v>
      </c>
      <c r="E26" s="15">
        <v>2014</v>
      </c>
      <c r="F26" s="7">
        <v>11</v>
      </c>
      <c r="G26" s="33" t="s">
        <v>25</v>
      </c>
      <c r="H26" s="15"/>
      <c r="I26" s="15" t="s">
        <v>103</v>
      </c>
      <c r="J26" s="15">
        <v>3</v>
      </c>
      <c r="K26" s="19">
        <f t="shared" si="0"/>
        <v>2017</v>
      </c>
      <c r="L26" s="7"/>
      <c r="M26" s="7"/>
      <c r="N26" s="34">
        <v>18065.71</v>
      </c>
      <c r="O26" s="34">
        <v>0</v>
      </c>
      <c r="P26" s="35">
        <f t="shared" si="1"/>
        <v>18065.71</v>
      </c>
      <c r="Q26" s="35">
        <f t="shared" si="2"/>
        <v>501.82527777777773</v>
      </c>
      <c r="R26" s="35">
        <f t="shared" si="3"/>
        <v>6021.9033333333327</v>
      </c>
      <c r="S26" s="35"/>
      <c r="T26" s="35">
        <f t="shared" si="4"/>
        <v>6021.9033333333327</v>
      </c>
      <c r="U26" s="35">
        <v>1</v>
      </c>
      <c r="V26" s="35">
        <f t="shared" si="5"/>
        <v>6021.9033333333327</v>
      </c>
      <c r="W26" s="35"/>
      <c r="X26" s="35">
        <f t="shared" si="6"/>
        <v>11040.156111112023</v>
      </c>
      <c r="Y26" s="35">
        <f t="shared" si="7"/>
        <v>11040.156111112023</v>
      </c>
      <c r="Z26" s="35">
        <v>1</v>
      </c>
      <c r="AA26" s="35">
        <f t="shared" si="8"/>
        <v>11040.156111112023</v>
      </c>
      <c r="AB26" s="35">
        <f t="shared" si="9"/>
        <v>17062.059444445356</v>
      </c>
      <c r="AC26" s="35">
        <f t="shared" si="10"/>
        <v>4014.6022222213096</v>
      </c>
      <c r="AD26" s="11">
        <f t="shared" si="11"/>
        <v>2014.8333333333333</v>
      </c>
      <c r="AE26" s="11">
        <f t="shared" si="12"/>
        <v>2017.6666666666667</v>
      </c>
      <c r="AF26" s="11">
        <f t="shared" si="13"/>
        <v>2017.8333333333333</v>
      </c>
      <c r="AG26" s="11">
        <f t="shared" si="14"/>
        <v>2016.6666666666667</v>
      </c>
      <c r="AH26" s="11">
        <f t="shared" si="15"/>
        <v>-8.3333333333333329E-2</v>
      </c>
    </row>
    <row r="27" spans="1:34">
      <c r="A27" s="5">
        <v>125547</v>
      </c>
      <c r="B27" s="7">
        <v>14</v>
      </c>
      <c r="C27" s="7" t="s">
        <v>122</v>
      </c>
      <c r="D27" s="32" t="s">
        <v>125</v>
      </c>
      <c r="E27" s="15">
        <v>2015</v>
      </c>
      <c r="F27" s="7">
        <v>9</v>
      </c>
      <c r="G27" s="33">
        <v>0.2</v>
      </c>
      <c r="H27" s="15"/>
      <c r="I27" s="15" t="s">
        <v>103</v>
      </c>
      <c r="J27" s="15">
        <v>7</v>
      </c>
      <c r="K27" s="19">
        <f t="shared" si="0"/>
        <v>2022</v>
      </c>
      <c r="L27" s="7"/>
      <c r="M27" s="7"/>
      <c r="N27" s="34">
        <f>241172.15+342.17</f>
        <v>241514.32</v>
      </c>
      <c r="O27" s="34"/>
      <c r="P27" s="35">
        <f t="shared" si="1"/>
        <v>193211.45600000001</v>
      </c>
      <c r="Q27" s="35">
        <f t="shared" si="2"/>
        <v>2300.1363809523809</v>
      </c>
      <c r="R27" s="35">
        <f t="shared" si="3"/>
        <v>27601.636571428571</v>
      </c>
      <c r="S27" s="35"/>
      <c r="T27" s="35">
        <f t="shared" si="4"/>
        <v>27601.636571428571</v>
      </c>
      <c r="U27" s="35">
        <v>1</v>
      </c>
      <c r="V27" s="35">
        <f t="shared" si="5"/>
        <v>27601.636571428571</v>
      </c>
      <c r="W27" s="35"/>
      <c r="X27" s="35">
        <f t="shared" si="6"/>
        <v>27601.636571428571</v>
      </c>
      <c r="Y27" s="35">
        <f t="shared" si="7"/>
        <v>27601.636571428571</v>
      </c>
      <c r="Z27" s="35">
        <v>1</v>
      </c>
      <c r="AA27" s="35">
        <f t="shared" si="8"/>
        <v>27601.636571428571</v>
      </c>
      <c r="AB27" s="35">
        <f t="shared" si="9"/>
        <v>55203.273142857142</v>
      </c>
      <c r="AC27" s="35">
        <f t="shared" si="10"/>
        <v>200111.86514285716</v>
      </c>
      <c r="AD27" s="11">
        <f t="shared" si="11"/>
        <v>2015.6666666666667</v>
      </c>
      <c r="AE27" s="11">
        <f t="shared" si="12"/>
        <v>2017.6666666666667</v>
      </c>
      <c r="AF27" s="11">
        <f t="shared" si="13"/>
        <v>2022.6666666666667</v>
      </c>
      <c r="AG27" s="11">
        <f t="shared" si="14"/>
        <v>2016.6666666666667</v>
      </c>
      <c r="AH27" s="11">
        <f t="shared" si="15"/>
        <v>-8.3333333333333329E-2</v>
      </c>
    </row>
    <row r="28" spans="1:34">
      <c r="A28" s="5">
        <v>125548</v>
      </c>
      <c r="B28" s="7">
        <v>15</v>
      </c>
      <c r="C28" s="7" t="s">
        <v>122</v>
      </c>
      <c r="D28" s="32" t="s">
        <v>126</v>
      </c>
      <c r="E28" s="15">
        <v>2015</v>
      </c>
      <c r="F28" s="7">
        <v>9</v>
      </c>
      <c r="G28" s="33">
        <v>0.2</v>
      </c>
      <c r="H28" s="15"/>
      <c r="I28" s="15" t="s">
        <v>103</v>
      </c>
      <c r="J28" s="15">
        <v>7</v>
      </c>
      <c r="K28" s="19">
        <f t="shared" si="0"/>
        <v>2022</v>
      </c>
      <c r="L28" s="7"/>
      <c r="M28" s="7"/>
      <c r="N28" s="34">
        <f>223251</f>
        <v>223251</v>
      </c>
      <c r="O28" s="34"/>
      <c r="P28" s="35">
        <f t="shared" si="1"/>
        <v>178600.8</v>
      </c>
      <c r="Q28" s="35">
        <f t="shared" si="2"/>
        <v>2126.1999999999998</v>
      </c>
      <c r="R28" s="35">
        <f t="shared" si="3"/>
        <v>25514.399999999998</v>
      </c>
      <c r="S28" s="35"/>
      <c r="T28" s="35">
        <f t="shared" si="4"/>
        <v>25514.399999999998</v>
      </c>
      <c r="U28" s="35">
        <v>1</v>
      </c>
      <c r="V28" s="35">
        <f t="shared" si="5"/>
        <v>25514.399999999998</v>
      </c>
      <c r="W28" s="35"/>
      <c r="X28" s="35">
        <f t="shared" si="6"/>
        <v>25514.399999999998</v>
      </c>
      <c r="Y28" s="35">
        <f t="shared" si="7"/>
        <v>25514.399999999998</v>
      </c>
      <c r="Z28" s="35">
        <v>1</v>
      </c>
      <c r="AA28" s="35">
        <f t="shared" si="8"/>
        <v>25514.399999999998</v>
      </c>
      <c r="AB28" s="35">
        <f t="shared" si="9"/>
        <v>51028.799999999996</v>
      </c>
      <c r="AC28" s="35">
        <f t="shared" si="10"/>
        <v>184979.40000000002</v>
      </c>
      <c r="AD28" s="11">
        <f t="shared" si="11"/>
        <v>2015.6666666666667</v>
      </c>
      <c r="AE28" s="11">
        <f t="shared" si="12"/>
        <v>2017.6666666666667</v>
      </c>
      <c r="AF28" s="11">
        <f t="shared" si="13"/>
        <v>2022.6666666666667</v>
      </c>
      <c r="AG28" s="11">
        <f t="shared" si="14"/>
        <v>2016.6666666666667</v>
      </c>
      <c r="AH28" s="11">
        <f t="shared" si="15"/>
        <v>-8.3333333333333329E-2</v>
      </c>
    </row>
    <row r="29" spans="1:34">
      <c r="A29" s="5">
        <v>129371</v>
      </c>
      <c r="B29" s="7">
        <v>16</v>
      </c>
      <c r="C29" s="7" t="s">
        <v>122</v>
      </c>
      <c r="D29" s="32" t="s">
        <v>127</v>
      </c>
      <c r="E29" s="15">
        <v>2016</v>
      </c>
      <c r="F29" s="7">
        <v>1</v>
      </c>
      <c r="G29" s="33">
        <v>0.2</v>
      </c>
      <c r="H29" s="15"/>
      <c r="I29" s="15" t="s">
        <v>103</v>
      </c>
      <c r="J29" s="15">
        <v>7</v>
      </c>
      <c r="K29" s="19">
        <f t="shared" si="0"/>
        <v>2023</v>
      </c>
      <c r="L29" s="7"/>
      <c r="M29" s="7"/>
      <c r="N29" s="34">
        <f>252944.72+1040.27+634.55+938.14+239.14</f>
        <v>255796.82</v>
      </c>
      <c r="O29" s="34"/>
      <c r="P29" s="35">
        <f t="shared" si="1"/>
        <v>204637.45600000001</v>
      </c>
      <c r="Q29" s="35">
        <f t="shared" si="2"/>
        <v>2436.1601904761906</v>
      </c>
      <c r="R29" s="35">
        <f t="shared" si="3"/>
        <v>29233.922285714289</v>
      </c>
      <c r="S29" s="35"/>
      <c r="T29" s="35">
        <f t="shared" si="4"/>
        <v>29233.922285714289</v>
      </c>
      <c r="U29" s="35">
        <v>1</v>
      </c>
      <c r="V29" s="35">
        <f t="shared" si="5"/>
        <v>29233.922285714289</v>
      </c>
      <c r="W29" s="35"/>
      <c r="X29" s="35">
        <f t="shared" si="6"/>
        <v>19489.28152381174</v>
      </c>
      <c r="Y29" s="35">
        <f t="shared" si="7"/>
        <v>19489.28152381174</v>
      </c>
      <c r="Z29" s="35">
        <v>1</v>
      </c>
      <c r="AA29" s="35">
        <f t="shared" si="8"/>
        <v>19489.28152381174</v>
      </c>
      <c r="AB29" s="35">
        <f t="shared" si="9"/>
        <v>48723.203809526029</v>
      </c>
      <c r="AC29" s="35">
        <f t="shared" si="10"/>
        <v>221690.57733333111</v>
      </c>
      <c r="AD29" s="11">
        <f t="shared" si="11"/>
        <v>2016</v>
      </c>
      <c r="AE29" s="11">
        <f t="shared" si="12"/>
        <v>2017.6666666666667</v>
      </c>
      <c r="AF29" s="11">
        <f t="shared" si="13"/>
        <v>2023</v>
      </c>
      <c r="AG29" s="11">
        <f t="shared" si="14"/>
        <v>2016.6666666666667</v>
      </c>
      <c r="AH29" s="11">
        <f t="shared" si="15"/>
        <v>-8.3333333333333329E-2</v>
      </c>
    </row>
    <row r="30" spans="1:34">
      <c r="A30" s="5" t="s">
        <v>302</v>
      </c>
      <c r="B30" s="7"/>
      <c r="D30" s="32" t="s">
        <v>301</v>
      </c>
      <c r="E30" s="15">
        <v>2016</v>
      </c>
      <c r="F30" s="7">
        <v>6</v>
      </c>
      <c r="G30" s="33">
        <v>0</v>
      </c>
      <c r="H30" s="15"/>
      <c r="I30" s="15" t="s">
        <v>103</v>
      </c>
      <c r="J30" s="15">
        <v>1</v>
      </c>
      <c r="K30" s="19">
        <f t="shared" si="0"/>
        <v>2017</v>
      </c>
      <c r="L30" s="7"/>
      <c r="M30" s="7"/>
      <c r="N30" s="34">
        <f>2532.91+3828.11</f>
        <v>6361.02</v>
      </c>
      <c r="O30" s="34"/>
      <c r="P30" s="35">
        <f t="shared" si="1"/>
        <v>6361.02</v>
      </c>
      <c r="Q30" s="35">
        <f t="shared" si="2"/>
        <v>530.08500000000004</v>
      </c>
      <c r="R30" s="35">
        <f t="shared" si="3"/>
        <v>4770.7650000000003</v>
      </c>
      <c r="S30" s="35"/>
      <c r="T30" s="35">
        <f t="shared" si="4"/>
        <v>4770.7650000000003</v>
      </c>
      <c r="U30" s="35">
        <v>1</v>
      </c>
      <c r="V30" s="35">
        <f t="shared" si="5"/>
        <v>4770.7650000000003</v>
      </c>
      <c r="W30" s="35"/>
      <c r="X30" s="35">
        <f t="shared" si="6"/>
        <v>1590.2550000000001</v>
      </c>
      <c r="Y30" s="35">
        <f t="shared" si="7"/>
        <v>1590.2550000000001</v>
      </c>
      <c r="Z30" s="35">
        <v>1</v>
      </c>
      <c r="AA30" s="35">
        <f t="shared" si="8"/>
        <v>1590.2550000000001</v>
      </c>
      <c r="AB30" s="35">
        <f t="shared" si="9"/>
        <v>6361.02</v>
      </c>
      <c r="AC30" s="35">
        <f t="shared" si="10"/>
        <v>2385.3825000000002</v>
      </c>
      <c r="AD30" s="11">
        <f t="shared" si="11"/>
        <v>2016.4166666666667</v>
      </c>
      <c r="AE30" s="11">
        <f t="shared" si="12"/>
        <v>2017.6666666666667</v>
      </c>
      <c r="AF30" s="11">
        <f t="shared" si="13"/>
        <v>2017.4166666666667</v>
      </c>
      <c r="AG30" s="11">
        <f t="shared" si="14"/>
        <v>2016.6666666666667</v>
      </c>
      <c r="AH30" s="11">
        <f t="shared" si="15"/>
        <v>-8.3333333333333329E-2</v>
      </c>
    </row>
    <row r="31" spans="1:34" s="97" customFormat="1">
      <c r="A31" s="97" t="s">
        <v>309</v>
      </c>
      <c r="B31" s="97">
        <v>8</v>
      </c>
      <c r="D31" s="98" t="s">
        <v>310</v>
      </c>
      <c r="E31" s="99">
        <v>2017</v>
      </c>
      <c r="F31" s="97">
        <v>2</v>
      </c>
      <c r="G31" s="108">
        <v>0</v>
      </c>
      <c r="H31" s="99"/>
      <c r="I31" s="99" t="s">
        <v>103</v>
      </c>
      <c r="J31" s="99">
        <v>3</v>
      </c>
      <c r="K31" s="109">
        <f t="shared" si="0"/>
        <v>2020</v>
      </c>
      <c r="N31" s="103">
        <v>14019</v>
      </c>
      <c r="O31" s="103"/>
      <c r="P31" s="105">
        <f t="shared" ref="P31" si="16">N31-N31*G31</f>
        <v>14019</v>
      </c>
      <c r="Q31" s="105">
        <f t="shared" ref="Q31" si="17">P31/J31/12</f>
        <v>389.41666666666669</v>
      </c>
      <c r="R31" s="105">
        <f t="shared" ref="R31" si="18">IF(O31&gt;0,0,IF(OR(AD31&gt;AE31,AF31&lt;AG31),0,IF(AND(AF31&gt;=AG31,AF31&lt;=AE31),Q31*((AF31-AG31)*12),IF(AND(AG31&lt;=AD31,AE31&gt;=AD31),((AE31-AD31)*12)*Q31,IF(AF31&gt;AE31,12*Q31,0)))))</f>
        <v>2725.916666667375</v>
      </c>
      <c r="S31" s="105"/>
      <c r="T31" s="105">
        <f t="shared" ref="T31" si="19">IF(S31&gt;0,S31,R31)</f>
        <v>2725.916666667375</v>
      </c>
      <c r="U31" s="105">
        <v>1</v>
      </c>
      <c r="V31" s="105">
        <f t="shared" ref="V31" si="20">U31*SUM(R31:S31)</f>
        <v>2725.916666667375</v>
      </c>
      <c r="W31" s="105"/>
      <c r="X31" s="105">
        <f t="shared" ref="X31" si="21">IF(AD31&gt;AE31,0,IF(AF31&lt;AG31,P31,IF(AND(AF31&gt;=AG31,AF31&lt;=AE31),(P31-T31),IF(AND(AG31&lt;=AD31,AE31&gt;=AD31),0,IF(AF31&gt;AE31,((AG31-AD31)*12)*Q31,0)))))</f>
        <v>0</v>
      </c>
      <c r="Y31" s="105">
        <f t="shared" ref="Y31" si="22">X31*U31</f>
        <v>0</v>
      </c>
      <c r="Z31" s="105">
        <v>1</v>
      </c>
      <c r="AA31" s="105">
        <f t="shared" ref="AA31" si="23">Y31*Z31</f>
        <v>0</v>
      </c>
      <c r="AB31" s="105">
        <f t="shared" ref="AB31" si="24">IF(O31&gt;0,0,AA31+V31*Z31)*Z31</f>
        <v>2725.916666667375</v>
      </c>
      <c r="AC31" s="105">
        <f t="shared" ref="AC31" si="25">IF(O31&gt;0,(N31-AA31)/2,IF(AD31&gt;=AG31,(((N31*U31)*Z31)-AB31)/2,((((N31*U31)*Z31)-AA31)+(((N31*U31)*Z31)-AB31))/2))</f>
        <v>5646.5416666663123</v>
      </c>
      <c r="AD31" s="106">
        <f t="shared" si="11"/>
        <v>2017.0833333333333</v>
      </c>
      <c r="AE31" s="106">
        <f t="shared" si="12"/>
        <v>2017.6666666666667</v>
      </c>
      <c r="AF31" s="106">
        <f t="shared" si="13"/>
        <v>2020.0833333333333</v>
      </c>
      <c r="AG31" s="106">
        <f t="shared" si="14"/>
        <v>2016.6666666666667</v>
      </c>
      <c r="AH31" s="106">
        <f t="shared" si="15"/>
        <v>-8.3333333333333329E-2</v>
      </c>
    </row>
    <row r="32" spans="1:34">
      <c r="B32" s="7"/>
      <c r="D32" s="32"/>
      <c r="E32" s="15"/>
      <c r="F32" s="7"/>
      <c r="G32" s="33"/>
      <c r="H32" s="15"/>
      <c r="I32" s="15"/>
      <c r="J32" s="15"/>
      <c r="K32" s="19"/>
      <c r="L32" s="7"/>
      <c r="M32" s="7"/>
      <c r="N32" s="34"/>
      <c r="O32" s="34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11"/>
      <c r="AE32" s="11"/>
      <c r="AF32" s="11"/>
      <c r="AG32" s="11"/>
      <c r="AH32" s="11"/>
    </row>
    <row r="33" spans="1:34" s="36" customFormat="1">
      <c r="B33" s="37"/>
      <c r="C33" s="37"/>
      <c r="D33" s="38" t="s">
        <v>128</v>
      </c>
      <c r="E33" s="38"/>
      <c r="F33" s="38"/>
      <c r="G33" s="39"/>
      <c r="H33" s="38"/>
      <c r="I33" s="38"/>
      <c r="J33" s="38"/>
      <c r="K33" s="40"/>
      <c r="L33" s="38"/>
      <c r="M33" s="38"/>
      <c r="N33" s="41">
        <f>SUM(N12:N32)</f>
        <v>1837827.33</v>
      </c>
      <c r="O33" s="41"/>
      <c r="P33" s="41">
        <f>SUM(P12:P32)</f>
        <v>1457445.2960000001</v>
      </c>
      <c r="Q33" s="41">
        <f>SUM(Q12:Q32)</f>
        <v>18985.382841269842</v>
      </c>
      <c r="R33" s="41">
        <f>SUM(R12:R32)</f>
        <v>137081.90485714146</v>
      </c>
      <c r="S33" s="41"/>
      <c r="T33" s="41">
        <f>SUM(T12:T32)</f>
        <v>137081.90485714146</v>
      </c>
      <c r="U33" s="41"/>
      <c r="V33" s="41">
        <f>SUM(V12:V32)</f>
        <v>137081.90485714146</v>
      </c>
      <c r="W33" s="41"/>
      <c r="X33" s="41">
        <f>SUM(X12:X32)</f>
        <v>872028.22334921162</v>
      </c>
      <c r="Y33" s="41">
        <f>SUM(Y12:Y32)</f>
        <v>872028.22334921162</v>
      </c>
      <c r="Z33" s="41"/>
      <c r="AA33" s="41">
        <f>SUM(AA12:AA32)</f>
        <v>872028.22334921162</v>
      </c>
      <c r="AB33" s="41">
        <f>SUM(AB12:AB32)</f>
        <v>1009110.1282063529</v>
      </c>
      <c r="AC33" s="41">
        <f>SUM(AC12:AC32)</f>
        <v>890248.65422221762</v>
      </c>
      <c r="AD33" s="37"/>
      <c r="AE33" s="37"/>
      <c r="AF33" s="37"/>
      <c r="AG33" s="37"/>
      <c r="AH33" s="37"/>
    </row>
    <row r="34" spans="1:34" s="36" customFormat="1">
      <c r="B34" s="37"/>
      <c r="C34" s="37"/>
      <c r="D34" s="37"/>
      <c r="E34" s="37"/>
      <c r="F34" s="37"/>
      <c r="G34" s="17"/>
      <c r="H34" s="37"/>
      <c r="I34" s="37"/>
      <c r="J34" s="37"/>
      <c r="K34" s="42"/>
      <c r="L34" s="37"/>
      <c r="M34" s="37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37"/>
      <c r="AE34" s="37"/>
      <c r="AF34" s="37"/>
      <c r="AG34" s="37"/>
      <c r="AH34" s="37"/>
    </row>
    <row r="35" spans="1:34" s="36" customFormat="1">
      <c r="B35" s="37"/>
      <c r="C35" s="37"/>
      <c r="D35" s="37"/>
      <c r="E35" s="37"/>
      <c r="F35" s="37"/>
      <c r="G35" s="17"/>
      <c r="H35" s="37"/>
      <c r="I35" s="37"/>
      <c r="J35" s="37"/>
      <c r="K35" s="42"/>
      <c r="L35" s="37"/>
      <c r="M35" s="37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37"/>
      <c r="AE35" s="37"/>
      <c r="AF35" s="37"/>
      <c r="AG35" s="37"/>
      <c r="AH35" s="37"/>
    </row>
    <row r="36" spans="1:34">
      <c r="B36" s="37"/>
      <c r="D36" s="20" t="s">
        <v>129</v>
      </c>
      <c r="E36" s="7"/>
      <c r="F36" s="7"/>
      <c r="G36" s="15"/>
      <c r="H36" s="7"/>
      <c r="I36" s="7"/>
      <c r="J36" s="7"/>
      <c r="K36" s="9"/>
      <c r="L36" s="7"/>
      <c r="M36" s="7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7"/>
      <c r="AE36" s="7"/>
      <c r="AF36" s="7"/>
      <c r="AG36" s="7"/>
      <c r="AH36" s="7"/>
    </row>
    <row r="37" spans="1:34">
      <c r="B37" s="7">
        <v>7</v>
      </c>
      <c r="C37" s="7" t="s">
        <v>21</v>
      </c>
      <c r="D37" s="45" t="s">
        <v>130</v>
      </c>
      <c r="E37" s="15">
        <v>1987</v>
      </c>
      <c r="F37" s="7">
        <v>9</v>
      </c>
      <c r="G37" s="33">
        <v>0.2</v>
      </c>
      <c r="H37" s="15"/>
      <c r="I37" s="15" t="s">
        <v>103</v>
      </c>
      <c r="J37" s="15">
        <v>7</v>
      </c>
      <c r="K37" s="19">
        <f t="shared" ref="K37:K46" si="26">E37+J37</f>
        <v>1994</v>
      </c>
      <c r="L37" s="7"/>
      <c r="M37" s="7"/>
      <c r="N37" s="34">
        <v>46628.86</v>
      </c>
      <c r="O37" s="34">
        <v>0</v>
      </c>
      <c r="P37" s="35">
        <f t="shared" ref="P37:P46" si="27">N37-N37*G37</f>
        <v>37303.088000000003</v>
      </c>
      <c r="Q37" s="35">
        <f t="shared" ref="Q37:Q46" si="28">P37/J37/12</f>
        <v>444.08438095238103</v>
      </c>
      <c r="R37" s="35">
        <f t="shared" ref="R37:R46" si="29">IF(O37&gt;0,0,IF(OR(AD37&gt;AE37,AF37&lt;AG37),0,IF(AND(AF37&gt;=AG37,AF37&lt;=AE37),Q37*((AF37-AG37)*12),IF(AND(AG37&lt;=AD37,AE37&gt;=AD37),((AE37-AD37)*12)*Q37,IF(AF37&gt;AE37,12*Q37,0)))))</f>
        <v>0</v>
      </c>
      <c r="S37" s="35"/>
      <c r="T37" s="35">
        <f t="shared" ref="T37:T46" si="30">IF(S37&gt;0,S37,R37)</f>
        <v>0</v>
      </c>
      <c r="U37" s="35">
        <v>1</v>
      </c>
      <c r="V37" s="35">
        <f t="shared" ref="V37:V46" si="31">U37*SUM(R37:S37)</f>
        <v>0</v>
      </c>
      <c r="W37" s="35"/>
      <c r="X37" s="35">
        <f t="shared" ref="X37:X46" si="32">IF(AD37&gt;AE37,0,IF(AF37&lt;AG37,P37,IF(AND(AF37&gt;=AG37,AF37&lt;=AE37),(P37-T37),IF(AND(AG37&lt;=AD37,AE37&gt;=AD37),0,IF(AF37&gt;AE37,((AG37-AD37)*12)*Q37,0)))))</f>
        <v>37303.088000000003</v>
      </c>
      <c r="Y37" s="35">
        <f t="shared" ref="Y37:Y46" si="33">X37*U37</f>
        <v>37303.088000000003</v>
      </c>
      <c r="Z37" s="35">
        <v>1</v>
      </c>
      <c r="AA37" s="35">
        <f t="shared" ref="AA37:AA46" si="34">Y37*Z37</f>
        <v>37303.088000000003</v>
      </c>
      <c r="AB37" s="35">
        <f t="shared" ref="AB37:AB46" si="35">IF(O37&gt;0,0,AA37+V37*Z37)*Z37</f>
        <v>37303.088000000003</v>
      </c>
      <c r="AC37" s="35">
        <f t="shared" ref="AC37:AC46" si="36">IF(O37&gt;0,(N37-AA37)/2,IF(AD37&gt;=AG37,(((N37*U37)*Z37)-AB37)/2,((((N37*U37)*Z37)-AA37)+(((N37*U37)*Z37)-AB37))/2))</f>
        <v>9325.7719999999972</v>
      </c>
      <c r="AD37" s="11">
        <f t="shared" ref="AD37:AD46" si="37">$E37+(($F37-1)/12)</f>
        <v>1987.6666666666667</v>
      </c>
      <c r="AE37" s="11">
        <f t="shared" ref="AE37:AE46" si="38">($P$5+1)-($P$2/12)</f>
        <v>2017.6666666666667</v>
      </c>
      <c r="AF37" s="11">
        <f t="shared" ref="AF37:AF46" si="39">$K37+(($F37-1)/12)</f>
        <v>1994.6666666666667</v>
      </c>
      <c r="AG37" s="11">
        <f t="shared" ref="AG37:AG46" si="40">$P$4+($P$3/12)</f>
        <v>2016.6666666666667</v>
      </c>
      <c r="AH37" s="11">
        <f t="shared" ref="AH37:AH46" si="41">$L37+(($M37-1)/12)</f>
        <v>-8.3333333333333329E-2</v>
      </c>
    </row>
    <row r="38" spans="1:34" s="7" customFormat="1">
      <c r="B38" s="7">
        <v>7</v>
      </c>
      <c r="C38" s="7" t="s">
        <v>21</v>
      </c>
      <c r="D38" s="32" t="s">
        <v>131</v>
      </c>
      <c r="E38" s="15">
        <v>1987</v>
      </c>
      <c r="F38" s="7">
        <v>9</v>
      </c>
      <c r="G38" s="33">
        <v>0.2</v>
      </c>
      <c r="H38" s="15"/>
      <c r="I38" s="15" t="s">
        <v>103</v>
      </c>
      <c r="J38" s="15">
        <v>7</v>
      </c>
      <c r="K38" s="19">
        <f t="shared" si="26"/>
        <v>1994</v>
      </c>
      <c r="N38" s="46">
        <v>35039.31</v>
      </c>
      <c r="O38" s="34">
        <v>0</v>
      </c>
      <c r="P38" s="35">
        <f t="shared" si="27"/>
        <v>28031.447999999997</v>
      </c>
      <c r="Q38" s="35">
        <f t="shared" si="28"/>
        <v>333.70771428571425</v>
      </c>
      <c r="R38" s="35">
        <f t="shared" si="29"/>
        <v>0</v>
      </c>
      <c r="S38" s="35"/>
      <c r="T38" s="35">
        <f t="shared" si="30"/>
        <v>0</v>
      </c>
      <c r="U38" s="35">
        <v>1</v>
      </c>
      <c r="V38" s="35">
        <f t="shared" si="31"/>
        <v>0</v>
      </c>
      <c r="W38" s="35"/>
      <c r="X38" s="35">
        <f t="shared" si="32"/>
        <v>28031.447999999997</v>
      </c>
      <c r="Y38" s="35">
        <f t="shared" si="33"/>
        <v>28031.447999999997</v>
      </c>
      <c r="Z38" s="35">
        <v>1</v>
      </c>
      <c r="AA38" s="35">
        <f t="shared" si="34"/>
        <v>28031.447999999997</v>
      </c>
      <c r="AB38" s="35">
        <f t="shared" si="35"/>
        <v>28031.447999999997</v>
      </c>
      <c r="AC38" s="35">
        <f t="shared" si="36"/>
        <v>7007.862000000001</v>
      </c>
      <c r="AD38" s="11">
        <f t="shared" si="37"/>
        <v>1987.6666666666667</v>
      </c>
      <c r="AE38" s="11">
        <f t="shared" si="38"/>
        <v>2017.6666666666667</v>
      </c>
      <c r="AF38" s="11">
        <f t="shared" si="39"/>
        <v>1994.6666666666667</v>
      </c>
      <c r="AG38" s="11">
        <f t="shared" si="40"/>
        <v>2016.6666666666667</v>
      </c>
      <c r="AH38" s="11">
        <f t="shared" si="41"/>
        <v>-8.3333333333333329E-2</v>
      </c>
    </row>
    <row r="39" spans="1:34">
      <c r="B39" s="7">
        <v>7</v>
      </c>
      <c r="C39" s="7" t="s">
        <v>21</v>
      </c>
      <c r="D39" s="32" t="s">
        <v>132</v>
      </c>
      <c r="E39" s="15">
        <v>1995</v>
      </c>
      <c r="F39" s="7">
        <v>11</v>
      </c>
      <c r="G39" s="33">
        <v>0.33</v>
      </c>
      <c r="H39" s="15"/>
      <c r="I39" s="15" t="s">
        <v>103</v>
      </c>
      <c r="J39" s="15">
        <v>7</v>
      </c>
      <c r="K39" s="19">
        <f t="shared" si="26"/>
        <v>2002</v>
      </c>
      <c r="L39" s="7"/>
      <c r="M39" s="7"/>
      <c r="N39" s="34">
        <v>4510.1099999999997</v>
      </c>
      <c r="O39" s="34">
        <v>0</v>
      </c>
      <c r="P39" s="35">
        <f t="shared" si="27"/>
        <v>3021.7736999999997</v>
      </c>
      <c r="Q39" s="35">
        <f t="shared" si="28"/>
        <v>35.97349642857143</v>
      </c>
      <c r="R39" s="35">
        <f t="shared" si="29"/>
        <v>0</v>
      </c>
      <c r="S39" s="35"/>
      <c r="T39" s="35">
        <f t="shared" si="30"/>
        <v>0</v>
      </c>
      <c r="U39" s="35">
        <v>1</v>
      </c>
      <c r="V39" s="35">
        <f t="shared" si="31"/>
        <v>0</v>
      </c>
      <c r="W39" s="35"/>
      <c r="X39" s="35">
        <f t="shared" si="32"/>
        <v>3021.7736999999997</v>
      </c>
      <c r="Y39" s="35">
        <f t="shared" si="33"/>
        <v>3021.7736999999997</v>
      </c>
      <c r="Z39" s="35">
        <v>1</v>
      </c>
      <c r="AA39" s="35">
        <f t="shared" si="34"/>
        <v>3021.7736999999997</v>
      </c>
      <c r="AB39" s="35">
        <f t="shared" si="35"/>
        <v>3021.7736999999997</v>
      </c>
      <c r="AC39" s="35">
        <f t="shared" si="36"/>
        <v>1488.3362999999999</v>
      </c>
      <c r="AD39" s="11">
        <f t="shared" si="37"/>
        <v>1995.8333333333333</v>
      </c>
      <c r="AE39" s="11">
        <f t="shared" si="38"/>
        <v>2017.6666666666667</v>
      </c>
      <c r="AF39" s="11">
        <f t="shared" si="39"/>
        <v>2002.8333333333333</v>
      </c>
      <c r="AG39" s="11">
        <f t="shared" si="40"/>
        <v>2016.6666666666667</v>
      </c>
      <c r="AH39" s="11">
        <f t="shared" si="41"/>
        <v>-8.3333333333333329E-2</v>
      </c>
    </row>
    <row r="40" spans="1:34">
      <c r="A40" s="5">
        <v>1</v>
      </c>
      <c r="B40" s="7">
        <v>33</v>
      </c>
      <c r="C40" s="7" t="s">
        <v>21</v>
      </c>
      <c r="D40" s="32" t="s">
        <v>133</v>
      </c>
      <c r="E40" s="15">
        <v>1999</v>
      </c>
      <c r="F40" s="7">
        <v>7</v>
      </c>
      <c r="G40" s="33">
        <v>0.2</v>
      </c>
      <c r="H40" s="15"/>
      <c r="I40" s="15" t="s">
        <v>103</v>
      </c>
      <c r="J40" s="15">
        <v>7</v>
      </c>
      <c r="K40" s="19">
        <f t="shared" si="26"/>
        <v>2006</v>
      </c>
      <c r="L40" s="7"/>
      <c r="M40" s="7"/>
      <c r="N40" s="34">
        <v>12640</v>
      </c>
      <c r="O40" s="34">
        <v>0</v>
      </c>
      <c r="P40" s="35">
        <f t="shared" si="27"/>
        <v>10112</v>
      </c>
      <c r="Q40" s="35">
        <f t="shared" si="28"/>
        <v>120.38095238095239</v>
      </c>
      <c r="R40" s="35">
        <f t="shared" si="29"/>
        <v>0</v>
      </c>
      <c r="S40" s="35"/>
      <c r="T40" s="35">
        <f t="shared" si="30"/>
        <v>0</v>
      </c>
      <c r="U40" s="35">
        <v>1</v>
      </c>
      <c r="V40" s="35">
        <f t="shared" si="31"/>
        <v>0</v>
      </c>
      <c r="W40" s="35"/>
      <c r="X40" s="35">
        <f t="shared" si="32"/>
        <v>10112</v>
      </c>
      <c r="Y40" s="35">
        <f t="shared" si="33"/>
        <v>10112</v>
      </c>
      <c r="Z40" s="35">
        <v>1</v>
      </c>
      <c r="AA40" s="35">
        <f t="shared" si="34"/>
        <v>10112</v>
      </c>
      <c r="AB40" s="35">
        <f t="shared" si="35"/>
        <v>10112</v>
      </c>
      <c r="AC40" s="35">
        <f t="shared" si="36"/>
        <v>2528</v>
      </c>
      <c r="AD40" s="11">
        <f t="shared" si="37"/>
        <v>1999.5</v>
      </c>
      <c r="AE40" s="11">
        <f t="shared" si="38"/>
        <v>2017.6666666666667</v>
      </c>
      <c r="AF40" s="11">
        <f t="shared" si="39"/>
        <v>2006.5</v>
      </c>
      <c r="AG40" s="11">
        <f t="shared" si="40"/>
        <v>2016.6666666666667</v>
      </c>
      <c r="AH40" s="11">
        <f t="shared" si="41"/>
        <v>-8.3333333333333329E-2</v>
      </c>
    </row>
    <row r="41" spans="1:34">
      <c r="B41" s="7">
        <v>33</v>
      </c>
      <c r="D41" s="32" t="s">
        <v>134</v>
      </c>
      <c r="E41" s="15">
        <v>1999</v>
      </c>
      <c r="F41" s="7">
        <v>10</v>
      </c>
      <c r="G41" s="33">
        <v>0</v>
      </c>
      <c r="H41" s="15"/>
      <c r="I41" s="15" t="s">
        <v>103</v>
      </c>
      <c r="J41" s="15">
        <v>7</v>
      </c>
      <c r="K41" s="19">
        <f t="shared" si="26"/>
        <v>2006</v>
      </c>
      <c r="L41" s="7"/>
      <c r="M41" s="7"/>
      <c r="N41" s="34">
        <v>7829.22</v>
      </c>
      <c r="O41" s="34">
        <v>0</v>
      </c>
      <c r="P41" s="35">
        <f t="shared" si="27"/>
        <v>7829.22</v>
      </c>
      <c r="Q41" s="35">
        <f t="shared" si="28"/>
        <v>93.204999999999998</v>
      </c>
      <c r="R41" s="35">
        <f t="shared" si="29"/>
        <v>0</v>
      </c>
      <c r="S41" s="35"/>
      <c r="T41" s="35">
        <f t="shared" si="30"/>
        <v>0</v>
      </c>
      <c r="U41" s="35">
        <v>1</v>
      </c>
      <c r="V41" s="35">
        <f t="shared" si="31"/>
        <v>0</v>
      </c>
      <c r="W41" s="35"/>
      <c r="X41" s="35">
        <f t="shared" si="32"/>
        <v>7829.22</v>
      </c>
      <c r="Y41" s="35">
        <f t="shared" si="33"/>
        <v>7829.22</v>
      </c>
      <c r="Z41" s="35">
        <v>1</v>
      </c>
      <c r="AA41" s="35">
        <f t="shared" si="34"/>
        <v>7829.22</v>
      </c>
      <c r="AB41" s="35">
        <f t="shared" si="35"/>
        <v>7829.22</v>
      </c>
      <c r="AC41" s="35">
        <f t="shared" si="36"/>
        <v>0</v>
      </c>
      <c r="AD41" s="11">
        <f t="shared" si="37"/>
        <v>1999.75</v>
      </c>
      <c r="AE41" s="11">
        <f t="shared" si="38"/>
        <v>2017.6666666666667</v>
      </c>
      <c r="AF41" s="11">
        <f t="shared" si="39"/>
        <v>2006.75</v>
      </c>
      <c r="AG41" s="11">
        <f t="shared" si="40"/>
        <v>2016.6666666666667</v>
      </c>
      <c r="AH41" s="11">
        <f t="shared" si="41"/>
        <v>-8.3333333333333329E-2</v>
      </c>
    </row>
    <row r="42" spans="1:34">
      <c r="B42" s="7">
        <v>33</v>
      </c>
      <c r="D42" s="32" t="s">
        <v>135</v>
      </c>
      <c r="E42" s="15">
        <v>2000</v>
      </c>
      <c r="F42" s="7">
        <v>7</v>
      </c>
      <c r="G42" s="33">
        <v>0</v>
      </c>
      <c r="H42" s="15"/>
      <c r="I42" s="15" t="s">
        <v>103</v>
      </c>
      <c r="J42" s="15">
        <v>7</v>
      </c>
      <c r="K42" s="19">
        <f t="shared" si="26"/>
        <v>2007</v>
      </c>
      <c r="L42" s="7"/>
      <c r="M42" s="7"/>
      <c r="N42" s="34">
        <v>713.75</v>
      </c>
      <c r="O42" s="34">
        <v>0</v>
      </c>
      <c r="P42" s="35">
        <f t="shared" si="27"/>
        <v>713.75</v>
      </c>
      <c r="Q42" s="35">
        <f t="shared" si="28"/>
        <v>8.4970238095238084</v>
      </c>
      <c r="R42" s="35">
        <f t="shared" si="29"/>
        <v>0</v>
      </c>
      <c r="S42" s="35"/>
      <c r="T42" s="35">
        <f t="shared" si="30"/>
        <v>0</v>
      </c>
      <c r="U42" s="35">
        <v>1</v>
      </c>
      <c r="V42" s="35">
        <f t="shared" si="31"/>
        <v>0</v>
      </c>
      <c r="W42" s="35"/>
      <c r="X42" s="35">
        <f t="shared" si="32"/>
        <v>713.75</v>
      </c>
      <c r="Y42" s="35">
        <f t="shared" si="33"/>
        <v>713.75</v>
      </c>
      <c r="Z42" s="35">
        <v>1</v>
      </c>
      <c r="AA42" s="35">
        <f t="shared" si="34"/>
        <v>713.75</v>
      </c>
      <c r="AB42" s="35">
        <f t="shared" si="35"/>
        <v>713.75</v>
      </c>
      <c r="AC42" s="35">
        <f t="shared" si="36"/>
        <v>0</v>
      </c>
      <c r="AD42" s="11">
        <f t="shared" si="37"/>
        <v>2000.5</v>
      </c>
      <c r="AE42" s="11">
        <f t="shared" si="38"/>
        <v>2017.6666666666667</v>
      </c>
      <c r="AF42" s="11">
        <f t="shared" si="39"/>
        <v>2007.5</v>
      </c>
      <c r="AG42" s="11">
        <f t="shared" si="40"/>
        <v>2016.6666666666667</v>
      </c>
      <c r="AH42" s="11">
        <f t="shared" si="41"/>
        <v>-8.3333333333333329E-2</v>
      </c>
    </row>
    <row r="43" spans="1:34">
      <c r="B43" s="7">
        <v>33</v>
      </c>
      <c r="C43" s="15" t="s">
        <v>112</v>
      </c>
      <c r="D43" s="32" t="s">
        <v>113</v>
      </c>
      <c r="E43" s="15">
        <v>2005</v>
      </c>
      <c r="F43" s="7">
        <v>1</v>
      </c>
      <c r="G43" s="33"/>
      <c r="H43" s="15"/>
      <c r="I43" s="15" t="s">
        <v>103</v>
      </c>
      <c r="J43" s="15">
        <v>3</v>
      </c>
      <c r="K43" s="19">
        <f t="shared" si="26"/>
        <v>2008</v>
      </c>
      <c r="L43" s="7"/>
      <c r="M43" s="7"/>
      <c r="N43" s="34">
        <v>5417</v>
      </c>
      <c r="O43" s="34">
        <v>0</v>
      </c>
      <c r="P43" s="35">
        <f t="shared" si="27"/>
        <v>5417</v>
      </c>
      <c r="Q43" s="35">
        <f t="shared" si="28"/>
        <v>150.47222222222223</v>
      </c>
      <c r="R43" s="35">
        <f t="shared" si="29"/>
        <v>0</v>
      </c>
      <c r="S43" s="35"/>
      <c r="T43" s="35">
        <f t="shared" si="30"/>
        <v>0</v>
      </c>
      <c r="U43" s="35">
        <v>1</v>
      </c>
      <c r="V43" s="35">
        <f t="shared" si="31"/>
        <v>0</v>
      </c>
      <c r="W43" s="35"/>
      <c r="X43" s="35">
        <f t="shared" si="32"/>
        <v>5417</v>
      </c>
      <c r="Y43" s="35">
        <f t="shared" si="33"/>
        <v>5417</v>
      </c>
      <c r="Z43" s="35">
        <v>1</v>
      </c>
      <c r="AA43" s="35">
        <f t="shared" si="34"/>
        <v>5417</v>
      </c>
      <c r="AB43" s="35">
        <f t="shared" si="35"/>
        <v>5417</v>
      </c>
      <c r="AC43" s="35">
        <f t="shared" si="36"/>
        <v>0</v>
      </c>
      <c r="AD43" s="11">
        <f t="shared" si="37"/>
        <v>2005</v>
      </c>
      <c r="AE43" s="11">
        <f t="shared" si="38"/>
        <v>2017.6666666666667</v>
      </c>
      <c r="AF43" s="11">
        <f t="shared" si="39"/>
        <v>2008</v>
      </c>
      <c r="AG43" s="11">
        <f t="shared" si="40"/>
        <v>2016.6666666666667</v>
      </c>
      <c r="AH43" s="11">
        <f t="shared" si="41"/>
        <v>-8.3333333333333329E-2</v>
      </c>
    </row>
    <row r="44" spans="1:34">
      <c r="A44" s="5">
        <v>1</v>
      </c>
      <c r="B44" s="7">
        <v>7</v>
      </c>
      <c r="D44" s="32" t="s">
        <v>136</v>
      </c>
      <c r="E44" s="15">
        <v>2011</v>
      </c>
      <c r="F44" s="7">
        <v>8</v>
      </c>
      <c r="G44" s="33"/>
      <c r="H44" s="15"/>
      <c r="I44" s="15" t="s">
        <v>103</v>
      </c>
      <c r="J44" s="15">
        <v>3</v>
      </c>
      <c r="K44" s="19">
        <f t="shared" si="26"/>
        <v>2014</v>
      </c>
      <c r="L44" s="7"/>
      <c r="M44" s="7"/>
      <c r="N44" s="34">
        <f>8036.08</f>
        <v>8036.08</v>
      </c>
      <c r="O44" s="34">
        <v>0</v>
      </c>
      <c r="P44" s="35">
        <f t="shared" si="27"/>
        <v>8036.08</v>
      </c>
      <c r="Q44" s="35">
        <f t="shared" si="28"/>
        <v>223.22444444444443</v>
      </c>
      <c r="R44" s="35">
        <f t="shared" si="29"/>
        <v>0</v>
      </c>
      <c r="S44" s="35"/>
      <c r="T44" s="35">
        <f t="shared" si="30"/>
        <v>0</v>
      </c>
      <c r="U44" s="35">
        <v>1</v>
      </c>
      <c r="V44" s="35">
        <f t="shared" si="31"/>
        <v>0</v>
      </c>
      <c r="W44" s="35"/>
      <c r="X44" s="35">
        <f t="shared" si="32"/>
        <v>8036.08</v>
      </c>
      <c r="Y44" s="35">
        <f t="shared" si="33"/>
        <v>8036.08</v>
      </c>
      <c r="Z44" s="35">
        <v>1</v>
      </c>
      <c r="AA44" s="35">
        <f t="shared" si="34"/>
        <v>8036.08</v>
      </c>
      <c r="AB44" s="35">
        <f t="shared" si="35"/>
        <v>8036.08</v>
      </c>
      <c r="AC44" s="35">
        <f t="shared" si="36"/>
        <v>0</v>
      </c>
      <c r="AD44" s="11">
        <f t="shared" si="37"/>
        <v>2011.5833333333333</v>
      </c>
      <c r="AE44" s="11">
        <f t="shared" si="38"/>
        <v>2017.6666666666667</v>
      </c>
      <c r="AF44" s="11">
        <f t="shared" si="39"/>
        <v>2014.5833333333333</v>
      </c>
      <c r="AG44" s="11">
        <f t="shared" si="40"/>
        <v>2016.6666666666667</v>
      </c>
      <c r="AH44" s="11">
        <f t="shared" si="41"/>
        <v>-8.3333333333333329E-2</v>
      </c>
    </row>
    <row r="45" spans="1:34">
      <c r="A45" s="5">
        <v>117102</v>
      </c>
      <c r="B45" s="7"/>
      <c r="D45" s="32" t="s">
        <v>137</v>
      </c>
      <c r="E45" s="15">
        <v>2014</v>
      </c>
      <c r="F45" s="7">
        <v>10</v>
      </c>
      <c r="G45" s="33"/>
      <c r="H45" s="15"/>
      <c r="I45" s="15" t="s">
        <v>103</v>
      </c>
      <c r="J45" s="15">
        <v>5</v>
      </c>
      <c r="K45" s="19">
        <f t="shared" si="26"/>
        <v>2019</v>
      </c>
      <c r="L45" s="7"/>
      <c r="M45" s="7"/>
      <c r="N45" s="34">
        <v>3263.48</v>
      </c>
      <c r="O45" s="34">
        <v>0</v>
      </c>
      <c r="P45" s="35">
        <f t="shared" si="27"/>
        <v>3263.48</v>
      </c>
      <c r="Q45" s="35">
        <f t="shared" si="28"/>
        <v>54.391333333333336</v>
      </c>
      <c r="R45" s="35">
        <f t="shared" si="29"/>
        <v>652.69600000000003</v>
      </c>
      <c r="S45" s="35"/>
      <c r="T45" s="35">
        <f t="shared" si="30"/>
        <v>652.69600000000003</v>
      </c>
      <c r="U45" s="35">
        <v>1</v>
      </c>
      <c r="V45" s="35">
        <f t="shared" si="31"/>
        <v>652.69600000000003</v>
      </c>
      <c r="W45" s="35"/>
      <c r="X45" s="35">
        <f t="shared" si="32"/>
        <v>1251.0006666667161</v>
      </c>
      <c r="Y45" s="35">
        <f t="shared" si="33"/>
        <v>1251.0006666667161</v>
      </c>
      <c r="Z45" s="35">
        <v>1</v>
      </c>
      <c r="AA45" s="35">
        <f t="shared" si="34"/>
        <v>1251.0006666667161</v>
      </c>
      <c r="AB45" s="35">
        <f t="shared" si="35"/>
        <v>1903.6966666667163</v>
      </c>
      <c r="AC45" s="35">
        <f t="shared" si="36"/>
        <v>1686.1313333332837</v>
      </c>
      <c r="AD45" s="11">
        <f t="shared" si="37"/>
        <v>2014.75</v>
      </c>
      <c r="AE45" s="11">
        <f t="shared" si="38"/>
        <v>2017.6666666666667</v>
      </c>
      <c r="AF45" s="11">
        <f t="shared" si="39"/>
        <v>2019.75</v>
      </c>
      <c r="AG45" s="11">
        <f t="shared" si="40"/>
        <v>2016.6666666666667</v>
      </c>
      <c r="AH45" s="11">
        <f t="shared" si="41"/>
        <v>-8.3333333333333329E-2</v>
      </c>
    </row>
    <row r="46" spans="1:34">
      <c r="B46" s="7">
        <v>7</v>
      </c>
      <c r="D46" s="32" t="s">
        <v>138</v>
      </c>
      <c r="E46" s="15">
        <v>2016</v>
      </c>
      <c r="F46" s="7">
        <v>1</v>
      </c>
      <c r="G46" s="33">
        <v>0</v>
      </c>
      <c r="H46" s="15"/>
      <c r="I46" s="15" t="s">
        <v>103</v>
      </c>
      <c r="J46" s="15">
        <v>3</v>
      </c>
      <c r="K46" s="19">
        <f t="shared" si="26"/>
        <v>2019</v>
      </c>
      <c r="L46" s="7"/>
      <c r="M46" s="7"/>
      <c r="N46" s="34">
        <v>5325.68</v>
      </c>
      <c r="O46" s="34"/>
      <c r="P46" s="35">
        <f t="shared" si="27"/>
        <v>5325.68</v>
      </c>
      <c r="Q46" s="35">
        <f t="shared" si="28"/>
        <v>147.93555555555557</v>
      </c>
      <c r="R46" s="35">
        <f t="shared" si="29"/>
        <v>1775.2266666666669</v>
      </c>
      <c r="S46" s="35"/>
      <c r="T46" s="35">
        <f t="shared" si="30"/>
        <v>1775.2266666666669</v>
      </c>
      <c r="U46" s="35">
        <v>1</v>
      </c>
      <c r="V46" s="35">
        <f t="shared" si="31"/>
        <v>1775.2266666666669</v>
      </c>
      <c r="W46" s="35"/>
      <c r="X46" s="35">
        <f t="shared" si="32"/>
        <v>1183.4844444445791</v>
      </c>
      <c r="Y46" s="35">
        <f t="shared" si="33"/>
        <v>1183.4844444445791</v>
      </c>
      <c r="Z46" s="35">
        <v>1</v>
      </c>
      <c r="AA46" s="35">
        <f t="shared" si="34"/>
        <v>1183.4844444445791</v>
      </c>
      <c r="AB46" s="35">
        <f t="shared" si="35"/>
        <v>2958.7111111112463</v>
      </c>
      <c r="AC46" s="35">
        <f t="shared" si="36"/>
        <v>3254.5822222220877</v>
      </c>
      <c r="AD46" s="11">
        <f t="shared" si="37"/>
        <v>2016</v>
      </c>
      <c r="AE46" s="11">
        <f t="shared" si="38"/>
        <v>2017.6666666666667</v>
      </c>
      <c r="AF46" s="11">
        <f t="shared" si="39"/>
        <v>2019</v>
      </c>
      <c r="AG46" s="11">
        <f t="shared" si="40"/>
        <v>2016.6666666666667</v>
      </c>
      <c r="AH46" s="11">
        <f t="shared" si="41"/>
        <v>-8.3333333333333329E-2</v>
      </c>
    </row>
    <row r="47" spans="1:34" s="7" customFormat="1">
      <c r="D47" s="32"/>
      <c r="E47" s="15"/>
      <c r="G47" s="33"/>
      <c r="H47" s="15"/>
      <c r="I47" s="15"/>
      <c r="J47" s="15"/>
      <c r="K47" s="19"/>
      <c r="N47" s="34"/>
      <c r="O47" s="34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11"/>
      <c r="AE47" s="11"/>
      <c r="AF47" s="11"/>
      <c r="AG47" s="11"/>
      <c r="AH47" s="11"/>
    </row>
    <row r="48" spans="1:34" s="7" customFormat="1">
      <c r="D48" s="47" t="s">
        <v>139</v>
      </c>
      <c r="E48" s="48"/>
      <c r="F48" s="49"/>
      <c r="G48" s="50"/>
      <c r="H48" s="48"/>
      <c r="I48" s="48"/>
      <c r="J48" s="48"/>
      <c r="K48" s="51"/>
      <c r="L48" s="49"/>
      <c r="M48" s="49"/>
      <c r="N48" s="41">
        <f>SUM(N37:N47)</f>
        <v>129403.48999999999</v>
      </c>
      <c r="O48" s="41"/>
      <c r="P48" s="41">
        <f t="shared" ref="P48:R48" si="42">SUM(P37:P47)</f>
        <v>109053.5197</v>
      </c>
      <c r="Q48" s="41">
        <f t="shared" si="42"/>
        <v>1611.8721234126983</v>
      </c>
      <c r="R48" s="41">
        <f t="shared" si="42"/>
        <v>2427.9226666666668</v>
      </c>
      <c r="S48" s="41"/>
      <c r="T48" s="41">
        <f>SUM(T37:T47)</f>
        <v>2427.9226666666668</v>
      </c>
      <c r="U48" s="41"/>
      <c r="V48" s="41">
        <f>SUM(V37:V47)</f>
        <v>2427.9226666666668</v>
      </c>
      <c r="W48" s="41"/>
      <c r="X48" s="41">
        <f t="shared" ref="X48:Y48" si="43">SUM(X37:X47)</f>
        <v>102898.8448111113</v>
      </c>
      <c r="Y48" s="41">
        <f t="shared" si="43"/>
        <v>102898.8448111113</v>
      </c>
      <c r="Z48" s="41"/>
      <c r="AA48" s="41">
        <f t="shared" ref="AA48:AC48" si="44">SUM(AA37:AA47)</f>
        <v>102898.8448111113</v>
      </c>
      <c r="AB48" s="41">
        <f t="shared" si="44"/>
        <v>105326.76747777796</v>
      </c>
      <c r="AC48" s="41">
        <f t="shared" si="44"/>
        <v>25290.68385555537</v>
      </c>
      <c r="AD48" s="11"/>
      <c r="AE48" s="11"/>
      <c r="AF48" s="11"/>
      <c r="AG48" s="11"/>
      <c r="AH48" s="11"/>
    </row>
    <row r="49" spans="1:34">
      <c r="B49" s="7"/>
      <c r="D49" s="7"/>
      <c r="E49" s="7"/>
      <c r="F49" s="7"/>
      <c r="G49" s="15"/>
      <c r="H49" s="7"/>
      <c r="I49" s="7"/>
      <c r="J49" s="7"/>
      <c r="K49" s="9"/>
      <c r="L49" s="7"/>
      <c r="M49" s="7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7"/>
      <c r="AE49" s="7"/>
      <c r="AF49" s="7"/>
      <c r="AG49" s="7"/>
      <c r="AH49" s="7"/>
    </row>
    <row r="50" spans="1:34" s="36" customFormat="1">
      <c r="B50" s="37"/>
      <c r="C50" s="37"/>
      <c r="D50" s="37"/>
      <c r="E50" s="37"/>
      <c r="F50" s="37"/>
      <c r="G50" s="17"/>
      <c r="H50" s="37"/>
      <c r="I50" s="37"/>
      <c r="J50" s="37"/>
      <c r="K50" s="42"/>
      <c r="L50" s="37"/>
      <c r="M50" s="37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37"/>
      <c r="AE50" s="37"/>
      <c r="AF50" s="37"/>
      <c r="AG50" s="37"/>
      <c r="AH50" s="37"/>
    </row>
    <row r="51" spans="1:34">
      <c r="B51" s="37"/>
      <c r="D51" s="20" t="s">
        <v>140</v>
      </c>
      <c r="E51" s="7"/>
      <c r="F51" s="7"/>
      <c r="G51" s="15"/>
      <c r="H51" s="7"/>
      <c r="I51" s="7"/>
      <c r="J51" s="7"/>
      <c r="K51" s="9"/>
      <c r="L51" s="7"/>
      <c r="M51" s="7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7"/>
      <c r="AE51" s="7"/>
      <c r="AF51" s="7"/>
      <c r="AG51" s="7"/>
      <c r="AH51" s="7"/>
    </row>
    <row r="52" spans="1:34">
      <c r="B52" s="7">
        <v>65</v>
      </c>
      <c r="C52" s="7" t="s">
        <v>109</v>
      </c>
      <c r="D52" s="32" t="s">
        <v>141</v>
      </c>
      <c r="E52" s="15">
        <v>2002</v>
      </c>
      <c r="F52" s="7">
        <v>6</v>
      </c>
      <c r="G52" s="33">
        <v>0.2</v>
      </c>
      <c r="H52" s="15"/>
      <c r="I52" s="15" t="s">
        <v>103</v>
      </c>
      <c r="J52" s="15">
        <v>7</v>
      </c>
      <c r="K52" s="19">
        <f>E52+J52</f>
        <v>2009</v>
      </c>
      <c r="L52" s="7"/>
      <c r="M52" s="7"/>
      <c r="N52" s="34">
        <v>55000</v>
      </c>
      <c r="O52" s="34">
        <v>0</v>
      </c>
      <c r="P52" s="35">
        <f>N52-N52*G52</f>
        <v>44000</v>
      </c>
      <c r="Q52" s="35">
        <f>P52/J52/12</f>
        <v>523.80952380952374</v>
      </c>
      <c r="R52" s="35">
        <f>IF(O52&gt;0,0,IF(OR(AD52&gt;AE52,AF52&lt;AG52),0,IF(AND(AF52&gt;=AG52,AF52&lt;=AE52),Q52*((AF52-AG52)*12),IF(AND(AG52&lt;=AD52,AE52&gt;=AD52),((AE52-AD52)*12)*Q52,IF(AF52&gt;AE52,12*Q52,0)))))</f>
        <v>0</v>
      </c>
      <c r="S52" s="35"/>
      <c r="T52" s="35">
        <f>IF(S52&gt;0,S52,R52)</f>
        <v>0</v>
      </c>
      <c r="U52" s="35">
        <v>1</v>
      </c>
      <c r="V52" s="35">
        <f>U52*SUM(R52:S52)</f>
        <v>0</v>
      </c>
      <c r="W52" s="35"/>
      <c r="X52" s="35">
        <f>IF(AD52&gt;AE52,0,IF(AF52&lt;AG52,P52,IF(AND(AF52&gt;=AG52,AF52&lt;=AE52),(P52-T52),IF(AND(AG52&lt;=AD52,AE52&gt;=AD52),0,IF(AF52&gt;AE52,((AG52-AD52)*12)*Q52,0)))))</f>
        <v>44000</v>
      </c>
      <c r="Y52" s="35">
        <f>X52*U52</f>
        <v>44000</v>
      </c>
      <c r="Z52" s="35">
        <v>1</v>
      </c>
      <c r="AA52" s="35">
        <f>Y52*Z52</f>
        <v>44000</v>
      </c>
      <c r="AB52" s="35">
        <f>IF(O52&gt;0,0,AA52+V52*Z52)*Z52</f>
        <v>44000</v>
      </c>
      <c r="AC52" s="35">
        <f>IF(O52&gt;0,(N52-AA52)/2,IF(AD52&gt;=AG52,(((N52*U52)*Z52)-AB52)/2,((((N52*U52)*Z52)-AA52)+(((N52*U52)*Z52)-AB52))/2))</f>
        <v>11000</v>
      </c>
      <c r="AD52" s="11">
        <f>$E52+(($F52-1)/12)</f>
        <v>2002.4166666666667</v>
      </c>
      <c r="AE52" s="11">
        <f t="shared" si="12"/>
        <v>2017.6666666666667</v>
      </c>
      <c r="AF52" s="11">
        <f>$K52+(($F52-1)/12)</f>
        <v>2009.4166666666667</v>
      </c>
      <c r="AG52" s="11">
        <f t="shared" si="14"/>
        <v>2016.6666666666667</v>
      </c>
      <c r="AH52" s="11">
        <f>$L52+(($M52-1)/12)</f>
        <v>-8.3333333333333329E-2</v>
      </c>
    </row>
    <row r="53" spans="1:34" s="7" customFormat="1">
      <c r="A53" s="7" t="s">
        <v>142</v>
      </c>
      <c r="B53" s="7">
        <v>19</v>
      </c>
      <c r="C53" s="7" t="s">
        <v>143</v>
      </c>
      <c r="D53" s="32" t="s">
        <v>144</v>
      </c>
      <c r="E53" s="15">
        <v>2004</v>
      </c>
      <c r="F53" s="7">
        <v>3</v>
      </c>
      <c r="G53" s="33">
        <v>0.33</v>
      </c>
      <c r="H53" s="15"/>
      <c r="I53" s="15" t="s">
        <v>103</v>
      </c>
      <c r="J53" s="15">
        <v>7</v>
      </c>
      <c r="K53" s="19">
        <f>E53+J53</f>
        <v>2011</v>
      </c>
      <c r="N53" s="34">
        <f>40000+10608.49</f>
        <v>50608.49</v>
      </c>
      <c r="O53" s="34">
        <v>0</v>
      </c>
      <c r="P53" s="35">
        <f>N53-N53*G53</f>
        <v>33907.688299999994</v>
      </c>
      <c r="Q53" s="35">
        <f>P53/J53/12</f>
        <v>403.66295595238086</v>
      </c>
      <c r="R53" s="35">
        <f>IF(O53&gt;0,0,IF(OR(AD53&gt;AE53,AF53&lt;AG53),0,IF(AND(AF53&gt;=AG53,AF53&lt;=AE53),Q53*((AF53-AG53)*12),IF(AND(AG53&lt;=AD53,AE53&gt;=AD53),((AE53-AD53)*12)*Q53,IF(AF53&gt;AE53,12*Q53,0)))))</f>
        <v>0</v>
      </c>
      <c r="S53" s="35"/>
      <c r="T53" s="35">
        <f>IF(S53&gt;0,S53,R53)</f>
        <v>0</v>
      </c>
      <c r="U53" s="35">
        <v>1</v>
      </c>
      <c r="V53" s="35">
        <f>U53*SUM(R53:S53)</f>
        <v>0</v>
      </c>
      <c r="W53" s="35"/>
      <c r="X53" s="35">
        <f>IF(AD53&gt;AE53,0,IF(AF53&lt;AG53,P53,IF(AND(AF53&gt;=AG53,AF53&lt;=AE53),(P53-T53),IF(AND(AG53&lt;=AD53,AE53&gt;=AD53),0,IF(AF53&gt;AE53,((AG53-AD53)*12)*Q53,0)))))</f>
        <v>33907.688299999994</v>
      </c>
      <c r="Y53" s="35">
        <f>X53*U53</f>
        <v>33907.688299999994</v>
      </c>
      <c r="Z53" s="35">
        <v>1</v>
      </c>
      <c r="AA53" s="35">
        <f>Y53*Z53</f>
        <v>33907.688299999994</v>
      </c>
      <c r="AB53" s="35">
        <f>IF(O53&gt;0,0,AA53+V53*Z53)*Z53</f>
        <v>33907.688299999994</v>
      </c>
      <c r="AC53" s="35">
        <f>IF(O53&gt;0,(N53-AA53)/2,IF(AD53&gt;=AG53,(((N53*U53)*Z53)-AB53)/2,((((N53*U53)*Z53)-AA53)+(((N53*U53)*Z53)-AB53))/2))</f>
        <v>16700.801700000004</v>
      </c>
      <c r="AD53" s="11">
        <f>$E53+(($F53-1)/12)</f>
        <v>2004.1666666666667</v>
      </c>
      <c r="AE53" s="11">
        <f t="shared" si="12"/>
        <v>2017.6666666666667</v>
      </c>
      <c r="AF53" s="11">
        <f>$K53+(($F53-1)/12)</f>
        <v>2011.1666666666667</v>
      </c>
      <c r="AG53" s="11">
        <f t="shared" si="14"/>
        <v>2016.6666666666667</v>
      </c>
      <c r="AH53" s="11">
        <f>$L53+(($M53-1)/12)</f>
        <v>-8.3333333333333329E-2</v>
      </c>
    </row>
    <row r="54" spans="1:34" s="7" customFormat="1">
      <c r="D54" s="32"/>
      <c r="E54" s="15"/>
      <c r="G54" s="33"/>
      <c r="H54" s="15"/>
      <c r="I54" s="15"/>
      <c r="J54" s="15"/>
      <c r="K54" s="19"/>
      <c r="N54" s="34"/>
      <c r="O54" s="34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11"/>
      <c r="AE54" s="11"/>
      <c r="AF54" s="11"/>
      <c r="AG54" s="11"/>
      <c r="AH54" s="11"/>
    </row>
    <row r="55" spans="1:34" s="7" customFormat="1">
      <c r="D55" s="47" t="s">
        <v>145</v>
      </c>
      <c r="E55" s="48"/>
      <c r="F55" s="49"/>
      <c r="G55" s="50"/>
      <c r="H55" s="48"/>
      <c r="I55" s="48"/>
      <c r="J55" s="48"/>
      <c r="K55" s="51"/>
      <c r="L55" s="49"/>
      <c r="M55" s="49"/>
      <c r="N55" s="41">
        <f>SUM(N52:N54)</f>
        <v>105608.48999999999</v>
      </c>
      <c r="O55" s="41"/>
      <c r="P55" s="41">
        <f>SUM(P52:P54)</f>
        <v>77907.688299999994</v>
      </c>
      <c r="Q55" s="41">
        <f t="shared" ref="Q55:R55" si="45">SUM(Q52:Q54)</f>
        <v>927.47247976190465</v>
      </c>
      <c r="R55" s="41">
        <f t="shared" si="45"/>
        <v>0</v>
      </c>
      <c r="S55" s="41"/>
      <c r="T55" s="41">
        <f>SUM(T52:T54)</f>
        <v>0</v>
      </c>
      <c r="U55" s="41"/>
      <c r="V55" s="41">
        <f>SUM(V52:V54)</f>
        <v>0</v>
      </c>
      <c r="W55" s="41"/>
      <c r="X55" s="41">
        <f t="shared" ref="X55:Y55" si="46">SUM(X52:X54)</f>
        <v>77907.688299999994</v>
      </c>
      <c r="Y55" s="41">
        <f t="shared" si="46"/>
        <v>77907.688299999994</v>
      </c>
      <c r="Z55" s="41"/>
      <c r="AA55" s="41">
        <f t="shared" ref="AA55:AC55" si="47">SUM(AA52:AA54)</f>
        <v>77907.688299999994</v>
      </c>
      <c r="AB55" s="41">
        <f t="shared" si="47"/>
        <v>77907.688299999994</v>
      </c>
      <c r="AC55" s="41">
        <f t="shared" si="47"/>
        <v>27700.801700000004</v>
      </c>
      <c r="AD55" s="11"/>
      <c r="AE55" s="11"/>
      <c r="AF55" s="11"/>
      <c r="AG55" s="11"/>
      <c r="AH55" s="11"/>
    </row>
    <row r="56" spans="1:34">
      <c r="B56" s="7"/>
      <c r="D56" s="7"/>
      <c r="E56" s="7"/>
      <c r="F56" s="7"/>
      <c r="G56" s="15"/>
      <c r="H56" s="7"/>
      <c r="I56" s="7"/>
      <c r="J56" s="7"/>
      <c r="K56" s="9"/>
      <c r="L56" s="7"/>
      <c r="M56" s="7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7"/>
      <c r="AE56" s="7"/>
      <c r="AF56" s="7"/>
      <c r="AG56" s="7"/>
      <c r="AH56" s="7"/>
    </row>
    <row r="57" spans="1:34">
      <c r="B57" s="37"/>
      <c r="D57" s="20" t="s">
        <v>146</v>
      </c>
      <c r="E57" s="7"/>
      <c r="F57" s="7"/>
      <c r="G57" s="15"/>
      <c r="H57" s="7"/>
      <c r="I57" s="7"/>
      <c r="J57" s="7"/>
      <c r="K57" s="9"/>
      <c r="L57" s="7"/>
      <c r="M57" s="7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7"/>
      <c r="AE57" s="7"/>
      <c r="AF57" s="7"/>
      <c r="AG57" s="7"/>
      <c r="AH57" s="7"/>
    </row>
    <row r="58" spans="1:34">
      <c r="B58" s="7">
        <v>25</v>
      </c>
      <c r="C58" s="7" t="s">
        <v>22</v>
      </c>
      <c r="D58" s="32" t="s">
        <v>147</v>
      </c>
      <c r="E58" s="15">
        <v>1996</v>
      </c>
      <c r="F58" s="7">
        <v>11</v>
      </c>
      <c r="G58" s="33">
        <v>0.2</v>
      </c>
      <c r="H58" s="15"/>
      <c r="I58" s="15" t="s">
        <v>103</v>
      </c>
      <c r="J58" s="15">
        <v>7</v>
      </c>
      <c r="K58" s="19">
        <f>E58+J58</f>
        <v>2003</v>
      </c>
      <c r="L58" s="7"/>
      <c r="M58" s="7"/>
      <c r="N58" s="34">
        <v>42000</v>
      </c>
      <c r="O58" s="34">
        <v>0</v>
      </c>
      <c r="P58" s="35">
        <f>N58-N58*G58</f>
        <v>33600</v>
      </c>
      <c r="Q58" s="35">
        <f>P58/J58/12</f>
        <v>400</v>
      </c>
      <c r="R58" s="35">
        <f>IF(O58&gt;0,0,IF(OR(AD58&gt;AE58,AF58&lt;AG58),0,IF(AND(AF58&gt;=AG58,AF58&lt;=AE58),Q58*((AF58-AG58)*12),IF(AND(AG58&lt;=AD58,AE58&gt;=AD58),((AE58-AD58)*12)*Q58,IF(AF58&gt;AE58,12*Q58,0)))))</f>
        <v>0</v>
      </c>
      <c r="S58" s="35"/>
      <c r="T58" s="35">
        <f>IF(S58&gt;0,S58,R58)</f>
        <v>0</v>
      </c>
      <c r="U58" s="35">
        <v>1</v>
      </c>
      <c r="V58" s="35">
        <f>U58*SUM(R58:S58)</f>
        <v>0</v>
      </c>
      <c r="W58" s="35"/>
      <c r="X58" s="35">
        <f>IF(AD58&gt;AE58,0,IF(AF58&lt;AG58,P58,IF(AND(AF58&gt;=AG58,AF58&lt;=AE58),(P58-T58),IF(AND(AG58&lt;=AD58,AE58&gt;=AD58),0,IF(AF58&gt;AE58,((AG58-AD58)*12)*Q58,0)))))</f>
        <v>33600</v>
      </c>
      <c r="Y58" s="35">
        <f>X58*U58</f>
        <v>33600</v>
      </c>
      <c r="Z58" s="35">
        <v>1</v>
      </c>
      <c r="AA58" s="35">
        <f>Y58*Z58</f>
        <v>33600</v>
      </c>
      <c r="AB58" s="35">
        <f>IF(O58&gt;0,0,AA58+V58*Z58)*Z58</f>
        <v>33600</v>
      </c>
      <c r="AC58" s="35">
        <f>IF(O58&gt;0,(N58-AA58)/2,IF(AD58&gt;=AG58,(((N58*U58)*Z58)-AB58)/2,((((N58*U58)*Z58)-AA58)+(((N58*U58)*Z58)-AB58))/2))</f>
        <v>8400</v>
      </c>
      <c r="AD58" s="11">
        <f>$E58+(($F58-1)/12)</f>
        <v>1996.8333333333333</v>
      </c>
      <c r="AE58" s="11">
        <f>($P$5+1)-($P$2/12)</f>
        <v>2017.6666666666667</v>
      </c>
      <c r="AF58" s="11">
        <f>$K58+(($F58-1)/12)</f>
        <v>2003.8333333333333</v>
      </c>
      <c r="AG58" s="11">
        <f>$P$4+($P$3/12)</f>
        <v>2016.6666666666667</v>
      </c>
      <c r="AH58" s="11">
        <f>$L58+(($M58-1)/12)</f>
        <v>-8.3333333333333329E-2</v>
      </c>
    </row>
    <row r="59" spans="1:34" s="7" customFormat="1">
      <c r="D59" s="32"/>
      <c r="E59" s="15"/>
      <c r="G59" s="33"/>
      <c r="H59" s="15"/>
      <c r="I59" s="15"/>
      <c r="J59" s="15"/>
      <c r="K59" s="19"/>
      <c r="N59" s="34"/>
      <c r="O59" s="34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11"/>
      <c r="AE59" s="11"/>
      <c r="AF59" s="11"/>
      <c r="AG59" s="11"/>
      <c r="AH59" s="11"/>
    </row>
    <row r="60" spans="1:34" s="7" customFormat="1">
      <c r="D60" s="47" t="s">
        <v>148</v>
      </c>
      <c r="E60" s="48"/>
      <c r="F60" s="49"/>
      <c r="G60" s="50"/>
      <c r="H60" s="48"/>
      <c r="I60" s="48"/>
      <c r="J60" s="48"/>
      <c r="K60" s="51"/>
      <c r="L60" s="49"/>
      <c r="M60" s="49"/>
      <c r="N60" s="41">
        <f>SUM(N58:N59)</f>
        <v>42000</v>
      </c>
      <c r="O60" s="41"/>
      <c r="P60" s="41">
        <f t="shared" ref="P60:R60" si="48">SUM(P58:P59)</f>
        <v>33600</v>
      </c>
      <c r="Q60" s="41">
        <f t="shared" si="48"/>
        <v>400</v>
      </c>
      <c r="R60" s="41">
        <f t="shared" si="48"/>
        <v>0</v>
      </c>
      <c r="S60" s="41"/>
      <c r="T60" s="41">
        <f>SUM(T58:T59)</f>
        <v>0</v>
      </c>
      <c r="U60" s="41"/>
      <c r="V60" s="41">
        <f>SUM(V58:V59)</f>
        <v>0</v>
      </c>
      <c r="W60" s="41"/>
      <c r="X60" s="41">
        <f t="shared" ref="X60:Y60" si="49">SUM(X58:X59)</f>
        <v>33600</v>
      </c>
      <c r="Y60" s="41">
        <f t="shared" si="49"/>
        <v>33600</v>
      </c>
      <c r="Z60" s="41"/>
      <c r="AA60" s="41">
        <f t="shared" ref="AA60:AC60" si="50">SUM(AA58:AA59)</f>
        <v>33600</v>
      </c>
      <c r="AB60" s="41">
        <f t="shared" si="50"/>
        <v>33600</v>
      </c>
      <c r="AC60" s="41">
        <f t="shared" si="50"/>
        <v>8400</v>
      </c>
      <c r="AD60" s="11"/>
      <c r="AE60" s="11"/>
      <c r="AF60" s="11"/>
      <c r="AG60" s="11"/>
      <c r="AH60" s="11"/>
    </row>
    <row r="61" spans="1:34">
      <c r="B61" s="7"/>
      <c r="D61" s="7"/>
      <c r="E61" s="7"/>
      <c r="F61" s="7"/>
      <c r="G61" s="15"/>
      <c r="H61" s="7"/>
      <c r="I61" s="7"/>
      <c r="J61" s="7"/>
      <c r="K61" s="9"/>
      <c r="L61" s="7"/>
      <c r="M61" s="7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7"/>
      <c r="AE61" s="7"/>
      <c r="AF61" s="7"/>
      <c r="AG61" s="7"/>
      <c r="AH61" s="7"/>
    </row>
    <row r="62" spans="1:34" s="36" customFormat="1" ht="12" thickBot="1">
      <c r="B62" s="37"/>
      <c r="C62" s="37"/>
      <c r="D62" s="52" t="s">
        <v>149</v>
      </c>
      <c r="E62" s="52"/>
      <c r="F62" s="52"/>
      <c r="G62" s="53"/>
      <c r="H62" s="52"/>
      <c r="I62" s="52"/>
      <c r="J62" s="52"/>
      <c r="K62" s="54"/>
      <c r="L62" s="52"/>
      <c r="M62" s="52"/>
      <c r="N62" s="55">
        <f>N60+N55+N48+N33</f>
        <v>2114839.31</v>
      </c>
      <c r="O62" s="55"/>
      <c r="P62" s="55">
        <f t="shared" ref="P62:R62" si="51">P60+P55+P48+P33</f>
        <v>1678006.5040000002</v>
      </c>
      <c r="Q62" s="55">
        <f t="shared" si="51"/>
        <v>21924.727444444445</v>
      </c>
      <c r="R62" s="55">
        <f t="shared" si="51"/>
        <v>139509.82752380814</v>
      </c>
      <c r="S62" s="55"/>
      <c r="T62" s="55">
        <f>T60+T55+T48+T33</f>
        <v>139509.82752380814</v>
      </c>
      <c r="U62" s="55"/>
      <c r="V62" s="55">
        <f>V60+V55+V48+V33</f>
        <v>139509.82752380814</v>
      </c>
      <c r="W62" s="55"/>
      <c r="X62" s="55">
        <f t="shared" ref="X62:Y62" si="52">X60+X55+X48+X33</f>
        <v>1086434.756460323</v>
      </c>
      <c r="Y62" s="55">
        <f t="shared" si="52"/>
        <v>1086434.756460323</v>
      </c>
      <c r="Z62" s="55"/>
      <c r="AA62" s="55">
        <f t="shared" ref="AA62:AC62" si="53">AA60+AA55+AA48+AA33</f>
        <v>1086434.756460323</v>
      </c>
      <c r="AB62" s="55">
        <f t="shared" si="53"/>
        <v>1225944.583984131</v>
      </c>
      <c r="AC62" s="55">
        <f t="shared" si="53"/>
        <v>951640.13977777294</v>
      </c>
      <c r="AD62" s="37"/>
      <c r="AE62" s="37"/>
      <c r="AF62" s="37"/>
      <c r="AG62" s="37"/>
      <c r="AH62" s="37"/>
    </row>
    <row r="63" spans="1:34">
      <c r="B63" s="7"/>
      <c r="D63" s="7"/>
      <c r="E63" s="7"/>
      <c r="F63" s="7"/>
      <c r="G63" s="15"/>
      <c r="H63" s="7"/>
      <c r="I63" s="7"/>
      <c r="J63" s="7"/>
      <c r="K63" s="9"/>
      <c r="L63" s="7"/>
      <c r="M63" s="7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7"/>
      <c r="AE63" s="7"/>
      <c r="AF63" s="7"/>
      <c r="AG63" s="7"/>
      <c r="AH63" s="7"/>
    </row>
    <row r="64" spans="1:34">
      <c r="B64" s="7"/>
      <c r="D64" s="20" t="s">
        <v>150</v>
      </c>
      <c r="E64" s="15"/>
      <c r="F64" s="7"/>
      <c r="G64" s="7"/>
      <c r="H64" s="7"/>
      <c r="I64" s="7"/>
      <c r="J64" s="15"/>
      <c r="K64" s="9"/>
      <c r="L64" s="28"/>
      <c r="M64" s="7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7"/>
      <c r="AE64" s="7"/>
      <c r="AF64" s="7"/>
      <c r="AG64" s="7"/>
      <c r="AH64" s="7"/>
    </row>
    <row r="65" spans="2:34">
      <c r="B65" s="7"/>
      <c r="C65" s="7">
        <v>10</v>
      </c>
      <c r="D65" s="32" t="s">
        <v>151</v>
      </c>
      <c r="E65" s="15">
        <v>1981</v>
      </c>
      <c r="F65" s="7">
        <v>9</v>
      </c>
      <c r="G65" s="56">
        <v>0</v>
      </c>
      <c r="H65" s="56"/>
      <c r="I65" s="15" t="s">
        <v>103</v>
      </c>
      <c r="J65" s="15">
        <v>10</v>
      </c>
      <c r="K65" s="9">
        <f t="shared" ref="K65:K128" si="54">E65+J65</f>
        <v>1991</v>
      </c>
      <c r="L65" s="57"/>
      <c r="M65" s="7"/>
      <c r="N65" s="34">
        <v>3369.97</v>
      </c>
      <c r="O65" s="44"/>
      <c r="P65" s="35">
        <f t="shared" ref="P65:P128" si="55">N65-N65*G65</f>
        <v>3369.97</v>
      </c>
      <c r="Q65" s="35">
        <f t="shared" ref="Q65:Q128" si="56">P65/J65/12</f>
        <v>28.083083333333331</v>
      </c>
      <c r="R65" s="35">
        <f t="shared" ref="R65:R128" si="57">IF(O65&gt;0,0,IF(OR(AD65&gt;AE65,AF65&lt;AG65),0,IF(AND(AF65&gt;=AG65,AF65&lt;=AE65),Q65*((AF65-AG65)*12),IF(AND(AG65&lt;=AD65,AE65&gt;=AD65),((AE65-AD65)*12)*Q65,IF(AF65&gt;AE65,12*Q65,0)))))</f>
        <v>0</v>
      </c>
      <c r="S65" s="35"/>
      <c r="T65" s="35">
        <f t="shared" ref="T65:T128" si="58">IF(S65&gt;0,S65,R65)</f>
        <v>0</v>
      </c>
      <c r="U65" s="35">
        <v>1</v>
      </c>
      <c r="V65" s="35">
        <f t="shared" ref="V65:V128" si="59">U65*SUM(R65:S65)</f>
        <v>0</v>
      </c>
      <c r="W65" s="35"/>
      <c r="X65" s="35">
        <f t="shared" ref="X65:X128" si="60">IF(AD65&gt;AE65,0,IF(AF65&lt;AG65,P65,IF(AND(AF65&gt;=AG65,AF65&lt;=AE65),(P65-T65),IF(AND(AG65&lt;=AD65,AE65&gt;=AD65),0,IF(AF65&gt;AE65,((AG65-AD65)*12)*Q65,0)))))</f>
        <v>3369.97</v>
      </c>
      <c r="Y65" s="35">
        <f t="shared" ref="Y65:Y128" si="61">X65*U65</f>
        <v>3369.97</v>
      </c>
      <c r="Z65" s="35">
        <v>1</v>
      </c>
      <c r="AA65" s="35">
        <f t="shared" ref="AA65:AA128" si="62">Y65*Z65</f>
        <v>3369.97</v>
      </c>
      <c r="AB65" s="35">
        <f t="shared" ref="AB65:AB128" si="63">IF(O65&gt;0,0,AA65+V65*Z65)*Z65</f>
        <v>3369.97</v>
      </c>
      <c r="AC65" s="35">
        <f t="shared" ref="AC65:AC128" si="64">IF(O65&gt;0,(N65-AA65)/2,IF(AD65&gt;=AG65,(((N65*U65)*Z65)-AB65)/2,((((N65*U65)*Z65)-AA65)+(((N65*U65)*Z65)-AB65))/2))</f>
        <v>0</v>
      </c>
      <c r="AD65" s="11">
        <f t="shared" ref="AD65:AD128" si="65">$E65+(($F65-1)/12)</f>
        <v>1981.6666666666667</v>
      </c>
      <c r="AE65" s="11">
        <f t="shared" ref="AE65:AE128" si="66">($P$5+1)-($P$2/12)</f>
        <v>2017.6666666666667</v>
      </c>
      <c r="AF65" s="11">
        <f t="shared" ref="AF65:AF128" si="67">$K65+(($F65-1)/12)</f>
        <v>1991.6666666666667</v>
      </c>
      <c r="AG65" s="11">
        <f t="shared" ref="AG65:AG128" si="68">$P$4+($P$3/12)</f>
        <v>2016.6666666666667</v>
      </c>
      <c r="AH65" s="11">
        <f t="shared" ref="AH65:AH128" si="69">$L65+(($M65-1)/12)</f>
        <v>-8.3333333333333329E-2</v>
      </c>
    </row>
    <row r="66" spans="2:34">
      <c r="B66" s="7"/>
      <c r="C66" s="7">
        <v>4</v>
      </c>
      <c r="D66" s="32" t="s">
        <v>152</v>
      </c>
      <c r="E66" s="15">
        <v>1982</v>
      </c>
      <c r="F66" s="7">
        <v>6</v>
      </c>
      <c r="G66" s="56">
        <v>0</v>
      </c>
      <c r="H66" s="56"/>
      <c r="I66" s="15" t="s">
        <v>103</v>
      </c>
      <c r="J66" s="15">
        <v>7</v>
      </c>
      <c r="K66" s="9">
        <f t="shared" si="54"/>
        <v>1989</v>
      </c>
      <c r="L66" s="57"/>
      <c r="M66" s="7"/>
      <c r="N66" s="34">
        <v>1076.96</v>
      </c>
      <c r="O66" s="44"/>
      <c r="P66" s="35">
        <f t="shared" si="55"/>
        <v>1076.96</v>
      </c>
      <c r="Q66" s="35">
        <f t="shared" si="56"/>
        <v>12.820952380952383</v>
      </c>
      <c r="R66" s="35">
        <f t="shared" si="57"/>
        <v>0</v>
      </c>
      <c r="S66" s="35"/>
      <c r="T66" s="35">
        <f t="shared" si="58"/>
        <v>0</v>
      </c>
      <c r="U66" s="35">
        <v>1</v>
      </c>
      <c r="V66" s="35">
        <f t="shared" si="59"/>
        <v>0</v>
      </c>
      <c r="W66" s="35"/>
      <c r="X66" s="35">
        <f t="shared" si="60"/>
        <v>1076.96</v>
      </c>
      <c r="Y66" s="35">
        <f t="shared" si="61"/>
        <v>1076.96</v>
      </c>
      <c r="Z66" s="35">
        <v>1</v>
      </c>
      <c r="AA66" s="35">
        <f t="shared" si="62"/>
        <v>1076.96</v>
      </c>
      <c r="AB66" s="35">
        <f t="shared" si="63"/>
        <v>1076.96</v>
      </c>
      <c r="AC66" s="35">
        <f t="shared" si="64"/>
        <v>0</v>
      </c>
      <c r="AD66" s="11">
        <f t="shared" si="65"/>
        <v>1982.4166666666667</v>
      </c>
      <c r="AE66" s="11">
        <f t="shared" si="66"/>
        <v>2017.6666666666667</v>
      </c>
      <c r="AF66" s="11">
        <f t="shared" si="67"/>
        <v>1989.4166666666667</v>
      </c>
      <c r="AG66" s="11">
        <f t="shared" si="68"/>
        <v>2016.6666666666667</v>
      </c>
      <c r="AH66" s="11">
        <f t="shared" si="69"/>
        <v>-8.3333333333333329E-2</v>
      </c>
    </row>
    <row r="67" spans="2:34">
      <c r="B67" s="7"/>
      <c r="C67" s="7">
        <v>12</v>
      </c>
      <c r="D67" s="32" t="s">
        <v>153</v>
      </c>
      <c r="E67" s="15">
        <v>1982</v>
      </c>
      <c r="F67" s="7">
        <v>11</v>
      </c>
      <c r="G67" s="56">
        <v>0</v>
      </c>
      <c r="H67" s="56"/>
      <c r="I67" s="15" t="s">
        <v>103</v>
      </c>
      <c r="J67" s="15">
        <v>7</v>
      </c>
      <c r="K67" s="9">
        <f t="shared" si="54"/>
        <v>1989</v>
      </c>
      <c r="L67" s="57"/>
      <c r="M67" s="7"/>
      <c r="N67" s="34">
        <v>3131</v>
      </c>
      <c r="O67" s="44"/>
      <c r="P67" s="35">
        <f t="shared" si="55"/>
        <v>3131</v>
      </c>
      <c r="Q67" s="35">
        <f t="shared" si="56"/>
        <v>37.273809523809526</v>
      </c>
      <c r="R67" s="35">
        <f t="shared" si="57"/>
        <v>0</v>
      </c>
      <c r="S67" s="35"/>
      <c r="T67" s="35">
        <f t="shared" si="58"/>
        <v>0</v>
      </c>
      <c r="U67" s="35">
        <v>1</v>
      </c>
      <c r="V67" s="35">
        <f t="shared" si="59"/>
        <v>0</v>
      </c>
      <c r="W67" s="35"/>
      <c r="X67" s="35">
        <f t="shared" si="60"/>
        <v>3131</v>
      </c>
      <c r="Y67" s="35">
        <f t="shared" si="61"/>
        <v>3131</v>
      </c>
      <c r="Z67" s="35">
        <v>1</v>
      </c>
      <c r="AA67" s="35">
        <f t="shared" si="62"/>
        <v>3131</v>
      </c>
      <c r="AB67" s="35">
        <f t="shared" si="63"/>
        <v>3131</v>
      </c>
      <c r="AC67" s="35">
        <f t="shared" si="64"/>
        <v>0</v>
      </c>
      <c r="AD67" s="11">
        <f t="shared" si="65"/>
        <v>1982.8333333333333</v>
      </c>
      <c r="AE67" s="11">
        <f t="shared" si="66"/>
        <v>2017.6666666666667</v>
      </c>
      <c r="AF67" s="11">
        <f t="shared" si="67"/>
        <v>1989.8333333333333</v>
      </c>
      <c r="AG67" s="11">
        <f t="shared" si="68"/>
        <v>2016.6666666666667</v>
      </c>
      <c r="AH67" s="11">
        <f t="shared" si="69"/>
        <v>-8.3333333333333329E-2</v>
      </c>
    </row>
    <row r="68" spans="2:34">
      <c r="B68" s="7"/>
      <c r="C68" s="7">
        <v>1</v>
      </c>
      <c r="D68" s="32" t="s">
        <v>154</v>
      </c>
      <c r="E68" s="15">
        <v>1983</v>
      </c>
      <c r="F68" s="7">
        <v>9</v>
      </c>
      <c r="G68" s="56">
        <v>0</v>
      </c>
      <c r="H68" s="56"/>
      <c r="I68" s="15" t="s">
        <v>103</v>
      </c>
      <c r="J68" s="15">
        <v>10</v>
      </c>
      <c r="K68" s="9">
        <f t="shared" si="54"/>
        <v>1993</v>
      </c>
      <c r="L68" s="57"/>
      <c r="M68" s="7"/>
      <c r="N68" s="34">
        <v>2291</v>
      </c>
      <c r="O68" s="44"/>
      <c r="P68" s="35">
        <f t="shared" si="55"/>
        <v>2291</v>
      </c>
      <c r="Q68" s="35">
        <f t="shared" si="56"/>
        <v>19.091666666666665</v>
      </c>
      <c r="R68" s="35">
        <f t="shared" si="57"/>
        <v>0</v>
      </c>
      <c r="S68" s="35"/>
      <c r="T68" s="35">
        <f t="shared" si="58"/>
        <v>0</v>
      </c>
      <c r="U68" s="35">
        <v>1</v>
      </c>
      <c r="V68" s="35">
        <f t="shared" si="59"/>
        <v>0</v>
      </c>
      <c r="W68" s="35"/>
      <c r="X68" s="35">
        <f t="shared" si="60"/>
        <v>2291</v>
      </c>
      <c r="Y68" s="35">
        <f t="shared" si="61"/>
        <v>2291</v>
      </c>
      <c r="Z68" s="35">
        <v>1</v>
      </c>
      <c r="AA68" s="35">
        <f t="shared" si="62"/>
        <v>2291</v>
      </c>
      <c r="AB68" s="35">
        <f t="shared" si="63"/>
        <v>2291</v>
      </c>
      <c r="AC68" s="35">
        <f t="shared" si="64"/>
        <v>0</v>
      </c>
      <c r="AD68" s="11">
        <f t="shared" si="65"/>
        <v>1983.6666666666667</v>
      </c>
      <c r="AE68" s="11">
        <f t="shared" si="66"/>
        <v>2017.6666666666667</v>
      </c>
      <c r="AF68" s="11">
        <f t="shared" si="67"/>
        <v>1993.6666666666667</v>
      </c>
      <c r="AG68" s="11">
        <f t="shared" si="68"/>
        <v>2016.6666666666667</v>
      </c>
      <c r="AH68" s="11">
        <f t="shared" si="69"/>
        <v>-8.3333333333333329E-2</v>
      </c>
    </row>
    <row r="69" spans="2:34">
      <c r="B69" s="7"/>
      <c r="D69" s="32" t="s">
        <v>154</v>
      </c>
      <c r="E69" s="15">
        <v>1983</v>
      </c>
      <c r="F69" s="7">
        <v>9</v>
      </c>
      <c r="G69" s="56">
        <v>0</v>
      </c>
      <c r="H69" s="56"/>
      <c r="I69" s="15" t="s">
        <v>103</v>
      </c>
      <c r="J69" s="15">
        <v>10</v>
      </c>
      <c r="K69" s="9">
        <f t="shared" si="54"/>
        <v>1993</v>
      </c>
      <c r="L69" s="57"/>
      <c r="M69" s="7"/>
      <c r="N69" s="34">
        <v>2290.84</v>
      </c>
      <c r="O69" s="44"/>
      <c r="P69" s="35">
        <f t="shared" si="55"/>
        <v>2290.84</v>
      </c>
      <c r="Q69" s="35">
        <f t="shared" si="56"/>
        <v>19.090333333333334</v>
      </c>
      <c r="R69" s="35">
        <f t="shared" si="57"/>
        <v>0</v>
      </c>
      <c r="S69" s="35"/>
      <c r="T69" s="35">
        <f t="shared" si="58"/>
        <v>0</v>
      </c>
      <c r="U69" s="35">
        <v>1</v>
      </c>
      <c r="V69" s="35">
        <f t="shared" si="59"/>
        <v>0</v>
      </c>
      <c r="W69" s="35"/>
      <c r="X69" s="35">
        <f t="shared" si="60"/>
        <v>2290.84</v>
      </c>
      <c r="Y69" s="35">
        <f t="shared" si="61"/>
        <v>2290.84</v>
      </c>
      <c r="Z69" s="35">
        <v>1</v>
      </c>
      <c r="AA69" s="35">
        <f t="shared" si="62"/>
        <v>2290.84</v>
      </c>
      <c r="AB69" s="35">
        <f t="shared" si="63"/>
        <v>2290.84</v>
      </c>
      <c r="AC69" s="35">
        <f t="shared" si="64"/>
        <v>0</v>
      </c>
      <c r="AD69" s="11">
        <f t="shared" si="65"/>
        <v>1983.6666666666667</v>
      </c>
      <c r="AE69" s="11">
        <f t="shared" si="66"/>
        <v>2017.6666666666667</v>
      </c>
      <c r="AF69" s="11">
        <f t="shared" si="67"/>
        <v>1993.6666666666667</v>
      </c>
      <c r="AG69" s="11">
        <f t="shared" si="68"/>
        <v>2016.6666666666667</v>
      </c>
      <c r="AH69" s="11">
        <f t="shared" si="69"/>
        <v>-8.3333333333333329E-2</v>
      </c>
    </row>
    <row r="70" spans="2:34">
      <c r="B70" s="7"/>
      <c r="C70" s="7">
        <v>12</v>
      </c>
      <c r="D70" s="7" t="str">
        <f>D69</f>
        <v xml:space="preserve">Containers </v>
      </c>
      <c r="E70" s="15">
        <v>1984</v>
      </c>
      <c r="F70" s="7">
        <v>4</v>
      </c>
      <c r="G70" s="56">
        <v>0</v>
      </c>
      <c r="H70" s="56"/>
      <c r="I70" s="15" t="s">
        <v>103</v>
      </c>
      <c r="J70" s="15">
        <v>10</v>
      </c>
      <c r="K70" s="9">
        <f t="shared" si="54"/>
        <v>1994</v>
      </c>
      <c r="L70" s="57"/>
      <c r="M70" s="7"/>
      <c r="N70" s="34">
        <v>3369.97</v>
      </c>
      <c r="O70" s="44"/>
      <c r="P70" s="35">
        <f t="shared" si="55"/>
        <v>3369.97</v>
      </c>
      <c r="Q70" s="35">
        <f t="shared" si="56"/>
        <v>28.083083333333331</v>
      </c>
      <c r="R70" s="35">
        <f t="shared" si="57"/>
        <v>0</v>
      </c>
      <c r="S70" s="35"/>
      <c r="T70" s="35">
        <f t="shared" si="58"/>
        <v>0</v>
      </c>
      <c r="U70" s="35">
        <v>1</v>
      </c>
      <c r="V70" s="35">
        <f t="shared" si="59"/>
        <v>0</v>
      </c>
      <c r="W70" s="35"/>
      <c r="X70" s="35">
        <f t="shared" si="60"/>
        <v>3369.97</v>
      </c>
      <c r="Y70" s="35">
        <f t="shared" si="61"/>
        <v>3369.97</v>
      </c>
      <c r="Z70" s="35">
        <v>1</v>
      </c>
      <c r="AA70" s="35">
        <f t="shared" si="62"/>
        <v>3369.97</v>
      </c>
      <c r="AB70" s="35">
        <f t="shared" si="63"/>
        <v>3369.97</v>
      </c>
      <c r="AC70" s="35">
        <f t="shared" si="64"/>
        <v>0</v>
      </c>
      <c r="AD70" s="11">
        <f t="shared" si="65"/>
        <v>1984.25</v>
      </c>
      <c r="AE70" s="11">
        <f t="shared" si="66"/>
        <v>2017.6666666666667</v>
      </c>
      <c r="AF70" s="11">
        <f t="shared" si="67"/>
        <v>1994.25</v>
      </c>
      <c r="AG70" s="11">
        <f t="shared" si="68"/>
        <v>2016.6666666666667</v>
      </c>
      <c r="AH70" s="11">
        <f t="shared" si="69"/>
        <v>-8.3333333333333329E-2</v>
      </c>
    </row>
    <row r="71" spans="2:34">
      <c r="B71" s="7"/>
      <c r="C71" s="7">
        <v>1</v>
      </c>
      <c r="D71" s="32" t="s">
        <v>155</v>
      </c>
      <c r="E71" s="15">
        <v>1984</v>
      </c>
      <c r="F71" s="7">
        <v>7</v>
      </c>
      <c r="G71" s="56">
        <v>0</v>
      </c>
      <c r="H71" s="56"/>
      <c r="I71" s="15" t="s">
        <v>103</v>
      </c>
      <c r="J71" s="15">
        <v>10</v>
      </c>
      <c r="K71" s="9">
        <f t="shared" si="54"/>
        <v>1994</v>
      </c>
      <c r="L71" s="57"/>
      <c r="M71" s="7"/>
      <c r="N71" s="34">
        <v>3612.77</v>
      </c>
      <c r="O71" s="44"/>
      <c r="P71" s="35">
        <f t="shared" si="55"/>
        <v>3612.77</v>
      </c>
      <c r="Q71" s="35">
        <f t="shared" si="56"/>
        <v>30.106416666666664</v>
      </c>
      <c r="R71" s="35">
        <f t="shared" si="57"/>
        <v>0</v>
      </c>
      <c r="S71" s="35"/>
      <c r="T71" s="35">
        <f t="shared" si="58"/>
        <v>0</v>
      </c>
      <c r="U71" s="35">
        <v>1</v>
      </c>
      <c r="V71" s="35">
        <f t="shared" si="59"/>
        <v>0</v>
      </c>
      <c r="W71" s="35"/>
      <c r="X71" s="35">
        <f t="shared" si="60"/>
        <v>3612.77</v>
      </c>
      <c r="Y71" s="35">
        <f t="shared" si="61"/>
        <v>3612.77</v>
      </c>
      <c r="Z71" s="35">
        <v>1</v>
      </c>
      <c r="AA71" s="35">
        <f t="shared" si="62"/>
        <v>3612.77</v>
      </c>
      <c r="AB71" s="35">
        <f t="shared" si="63"/>
        <v>3612.77</v>
      </c>
      <c r="AC71" s="35">
        <f t="shared" si="64"/>
        <v>0</v>
      </c>
      <c r="AD71" s="11">
        <f t="shared" si="65"/>
        <v>1984.5</v>
      </c>
      <c r="AE71" s="11">
        <f t="shared" si="66"/>
        <v>2017.6666666666667</v>
      </c>
      <c r="AF71" s="11">
        <f t="shared" si="67"/>
        <v>1994.5</v>
      </c>
      <c r="AG71" s="11">
        <f t="shared" si="68"/>
        <v>2016.6666666666667</v>
      </c>
      <c r="AH71" s="11">
        <f t="shared" si="69"/>
        <v>-8.3333333333333329E-2</v>
      </c>
    </row>
    <row r="72" spans="2:34">
      <c r="B72" s="7"/>
      <c r="C72" s="7">
        <v>8</v>
      </c>
      <c r="D72" s="32" t="s">
        <v>156</v>
      </c>
      <c r="E72" s="15">
        <v>1985</v>
      </c>
      <c r="F72" s="7">
        <v>3</v>
      </c>
      <c r="G72" s="56">
        <v>0</v>
      </c>
      <c r="H72" s="56"/>
      <c r="I72" s="15" t="s">
        <v>103</v>
      </c>
      <c r="J72" s="15">
        <v>10</v>
      </c>
      <c r="K72" s="9">
        <f t="shared" si="54"/>
        <v>1995</v>
      </c>
      <c r="L72" s="57"/>
      <c r="M72" s="7"/>
      <c r="N72" s="34">
        <v>3229.62</v>
      </c>
      <c r="O72" s="44"/>
      <c r="P72" s="35">
        <f t="shared" si="55"/>
        <v>3229.62</v>
      </c>
      <c r="Q72" s="35">
        <f t="shared" si="56"/>
        <v>26.913499999999999</v>
      </c>
      <c r="R72" s="35">
        <f t="shared" si="57"/>
        <v>0</v>
      </c>
      <c r="S72" s="35"/>
      <c r="T72" s="35">
        <f t="shared" si="58"/>
        <v>0</v>
      </c>
      <c r="U72" s="35">
        <v>1</v>
      </c>
      <c r="V72" s="35">
        <f t="shared" si="59"/>
        <v>0</v>
      </c>
      <c r="W72" s="35"/>
      <c r="X72" s="35">
        <f t="shared" si="60"/>
        <v>3229.62</v>
      </c>
      <c r="Y72" s="35">
        <f t="shared" si="61"/>
        <v>3229.62</v>
      </c>
      <c r="Z72" s="35">
        <v>1</v>
      </c>
      <c r="AA72" s="35">
        <f t="shared" si="62"/>
        <v>3229.62</v>
      </c>
      <c r="AB72" s="35">
        <f t="shared" si="63"/>
        <v>3229.62</v>
      </c>
      <c r="AC72" s="35">
        <f t="shared" si="64"/>
        <v>0</v>
      </c>
      <c r="AD72" s="11">
        <f t="shared" si="65"/>
        <v>1985.1666666666667</v>
      </c>
      <c r="AE72" s="11">
        <f t="shared" si="66"/>
        <v>2017.6666666666667</v>
      </c>
      <c r="AF72" s="11">
        <f t="shared" si="67"/>
        <v>1995.1666666666667</v>
      </c>
      <c r="AG72" s="11">
        <f t="shared" si="68"/>
        <v>2016.6666666666667</v>
      </c>
      <c r="AH72" s="11">
        <f t="shared" si="69"/>
        <v>-8.3333333333333329E-2</v>
      </c>
    </row>
    <row r="73" spans="2:34">
      <c r="B73" s="7"/>
      <c r="C73" s="7">
        <v>23</v>
      </c>
      <c r="D73" s="32" t="s">
        <v>157</v>
      </c>
      <c r="E73" s="15">
        <v>1985</v>
      </c>
      <c r="F73" s="7">
        <v>6</v>
      </c>
      <c r="G73" s="56">
        <v>0</v>
      </c>
      <c r="H73" s="56"/>
      <c r="I73" s="15" t="s">
        <v>103</v>
      </c>
      <c r="J73" s="15">
        <v>5</v>
      </c>
      <c r="K73" s="9">
        <f t="shared" si="54"/>
        <v>1990</v>
      </c>
      <c r="L73" s="57"/>
      <c r="M73" s="7"/>
      <c r="N73" s="34">
        <v>6882.4</v>
      </c>
      <c r="O73" s="44"/>
      <c r="P73" s="35">
        <f t="shared" si="55"/>
        <v>6882.4</v>
      </c>
      <c r="Q73" s="35">
        <f t="shared" si="56"/>
        <v>114.70666666666666</v>
      </c>
      <c r="R73" s="35">
        <f t="shared" si="57"/>
        <v>0</v>
      </c>
      <c r="S73" s="35"/>
      <c r="T73" s="35">
        <f t="shared" si="58"/>
        <v>0</v>
      </c>
      <c r="U73" s="35">
        <v>1</v>
      </c>
      <c r="V73" s="35">
        <f t="shared" si="59"/>
        <v>0</v>
      </c>
      <c r="W73" s="35"/>
      <c r="X73" s="35">
        <f t="shared" si="60"/>
        <v>6882.4</v>
      </c>
      <c r="Y73" s="35">
        <f t="shared" si="61"/>
        <v>6882.4</v>
      </c>
      <c r="Z73" s="35">
        <v>1</v>
      </c>
      <c r="AA73" s="35">
        <f t="shared" si="62"/>
        <v>6882.4</v>
      </c>
      <c r="AB73" s="35">
        <f t="shared" si="63"/>
        <v>6882.4</v>
      </c>
      <c r="AC73" s="35">
        <f t="shared" si="64"/>
        <v>0</v>
      </c>
      <c r="AD73" s="11">
        <f t="shared" si="65"/>
        <v>1985.4166666666667</v>
      </c>
      <c r="AE73" s="11">
        <f t="shared" si="66"/>
        <v>2017.6666666666667</v>
      </c>
      <c r="AF73" s="11">
        <f t="shared" si="67"/>
        <v>1990.4166666666667</v>
      </c>
      <c r="AG73" s="11">
        <f t="shared" si="68"/>
        <v>2016.6666666666667</v>
      </c>
      <c r="AH73" s="11">
        <f t="shared" si="69"/>
        <v>-8.3333333333333329E-2</v>
      </c>
    </row>
    <row r="74" spans="2:34">
      <c r="B74" s="7"/>
      <c r="C74" s="7">
        <v>2</v>
      </c>
      <c r="D74" s="32" t="s">
        <v>158</v>
      </c>
      <c r="E74" s="15">
        <v>1986</v>
      </c>
      <c r="F74" s="7">
        <v>3</v>
      </c>
      <c r="G74" s="56">
        <v>0</v>
      </c>
      <c r="H74" s="56"/>
      <c r="I74" s="15" t="s">
        <v>103</v>
      </c>
      <c r="J74" s="15">
        <v>10</v>
      </c>
      <c r="K74" s="9">
        <f t="shared" si="54"/>
        <v>1996</v>
      </c>
      <c r="L74" s="57"/>
      <c r="M74" s="7"/>
      <c r="N74" s="34">
        <v>668.36</v>
      </c>
      <c r="O74" s="44"/>
      <c r="P74" s="35">
        <f t="shared" si="55"/>
        <v>668.36</v>
      </c>
      <c r="Q74" s="35">
        <f t="shared" si="56"/>
        <v>5.5696666666666665</v>
      </c>
      <c r="R74" s="35">
        <f t="shared" si="57"/>
        <v>0</v>
      </c>
      <c r="S74" s="35"/>
      <c r="T74" s="35">
        <f t="shared" si="58"/>
        <v>0</v>
      </c>
      <c r="U74" s="35">
        <v>1</v>
      </c>
      <c r="V74" s="35">
        <f t="shared" si="59"/>
        <v>0</v>
      </c>
      <c r="W74" s="35"/>
      <c r="X74" s="35">
        <f t="shared" si="60"/>
        <v>668.36</v>
      </c>
      <c r="Y74" s="35">
        <f t="shared" si="61"/>
        <v>668.36</v>
      </c>
      <c r="Z74" s="35">
        <v>1</v>
      </c>
      <c r="AA74" s="35">
        <f t="shared" si="62"/>
        <v>668.36</v>
      </c>
      <c r="AB74" s="35">
        <f t="shared" si="63"/>
        <v>668.36</v>
      </c>
      <c r="AC74" s="35">
        <f t="shared" si="64"/>
        <v>0</v>
      </c>
      <c r="AD74" s="11">
        <f t="shared" si="65"/>
        <v>1986.1666666666667</v>
      </c>
      <c r="AE74" s="11">
        <f t="shared" si="66"/>
        <v>2017.6666666666667</v>
      </c>
      <c r="AF74" s="11">
        <f t="shared" si="67"/>
        <v>1996.1666666666667</v>
      </c>
      <c r="AG74" s="11">
        <f t="shared" si="68"/>
        <v>2016.6666666666667</v>
      </c>
      <c r="AH74" s="11">
        <f t="shared" si="69"/>
        <v>-8.3333333333333329E-2</v>
      </c>
    </row>
    <row r="75" spans="2:34">
      <c r="B75" s="7"/>
      <c r="C75" s="7">
        <v>4</v>
      </c>
      <c r="D75" s="32" t="s">
        <v>152</v>
      </c>
      <c r="E75" s="15">
        <v>1986</v>
      </c>
      <c r="F75" s="7">
        <v>5</v>
      </c>
      <c r="G75" s="56">
        <v>0</v>
      </c>
      <c r="H75" s="56"/>
      <c r="I75" s="15" t="s">
        <v>103</v>
      </c>
      <c r="J75" s="15">
        <v>10</v>
      </c>
      <c r="K75" s="9">
        <f t="shared" si="54"/>
        <v>1996</v>
      </c>
      <c r="L75" s="57"/>
      <c r="M75" s="7"/>
      <c r="N75" s="34">
        <v>1034.8800000000001</v>
      </c>
      <c r="O75" s="44"/>
      <c r="P75" s="35">
        <f t="shared" si="55"/>
        <v>1034.8800000000001</v>
      </c>
      <c r="Q75" s="35">
        <f t="shared" si="56"/>
        <v>8.6240000000000006</v>
      </c>
      <c r="R75" s="35">
        <f t="shared" si="57"/>
        <v>0</v>
      </c>
      <c r="S75" s="35"/>
      <c r="T75" s="35">
        <f t="shared" si="58"/>
        <v>0</v>
      </c>
      <c r="U75" s="35">
        <v>1</v>
      </c>
      <c r="V75" s="35">
        <f t="shared" si="59"/>
        <v>0</v>
      </c>
      <c r="W75" s="35"/>
      <c r="X75" s="35">
        <f t="shared" si="60"/>
        <v>1034.8800000000001</v>
      </c>
      <c r="Y75" s="35">
        <f t="shared" si="61"/>
        <v>1034.8800000000001</v>
      </c>
      <c r="Z75" s="35">
        <v>1</v>
      </c>
      <c r="AA75" s="35">
        <f t="shared" si="62"/>
        <v>1034.8800000000001</v>
      </c>
      <c r="AB75" s="35">
        <f t="shared" si="63"/>
        <v>1034.8800000000001</v>
      </c>
      <c r="AC75" s="35">
        <f t="shared" si="64"/>
        <v>0</v>
      </c>
      <c r="AD75" s="11">
        <f t="shared" si="65"/>
        <v>1986.3333333333333</v>
      </c>
      <c r="AE75" s="11">
        <f t="shared" si="66"/>
        <v>2017.6666666666667</v>
      </c>
      <c r="AF75" s="11">
        <f t="shared" si="67"/>
        <v>1996.3333333333333</v>
      </c>
      <c r="AG75" s="11">
        <f t="shared" si="68"/>
        <v>2016.6666666666667</v>
      </c>
      <c r="AH75" s="11">
        <f t="shared" si="69"/>
        <v>-8.3333333333333329E-2</v>
      </c>
    </row>
    <row r="76" spans="2:34">
      <c r="B76" s="7"/>
      <c r="C76" s="7">
        <v>1</v>
      </c>
      <c r="D76" s="7" t="str">
        <f>D71</f>
        <v>Containers 1</v>
      </c>
      <c r="E76" s="15">
        <v>1986</v>
      </c>
      <c r="F76" s="7">
        <v>6</v>
      </c>
      <c r="G76" s="56">
        <v>0</v>
      </c>
      <c r="H76" s="56"/>
      <c r="I76" s="15" t="s">
        <v>103</v>
      </c>
      <c r="J76" s="15">
        <v>10</v>
      </c>
      <c r="K76" s="9">
        <f t="shared" si="54"/>
        <v>1996</v>
      </c>
      <c r="L76" s="57"/>
      <c r="M76" s="7"/>
      <c r="N76" s="34">
        <v>315.85000000000002</v>
      </c>
      <c r="O76" s="44"/>
      <c r="P76" s="35">
        <f t="shared" si="55"/>
        <v>315.85000000000002</v>
      </c>
      <c r="Q76" s="35">
        <f t="shared" si="56"/>
        <v>2.6320833333333336</v>
      </c>
      <c r="R76" s="35">
        <f t="shared" si="57"/>
        <v>0</v>
      </c>
      <c r="S76" s="35"/>
      <c r="T76" s="35">
        <f t="shared" si="58"/>
        <v>0</v>
      </c>
      <c r="U76" s="35">
        <v>1</v>
      </c>
      <c r="V76" s="35">
        <f t="shared" si="59"/>
        <v>0</v>
      </c>
      <c r="W76" s="35"/>
      <c r="X76" s="35">
        <f t="shared" si="60"/>
        <v>315.85000000000002</v>
      </c>
      <c r="Y76" s="35">
        <f t="shared" si="61"/>
        <v>315.85000000000002</v>
      </c>
      <c r="Z76" s="35">
        <v>1</v>
      </c>
      <c r="AA76" s="35">
        <f t="shared" si="62"/>
        <v>315.85000000000002</v>
      </c>
      <c r="AB76" s="35">
        <f t="shared" si="63"/>
        <v>315.85000000000002</v>
      </c>
      <c r="AC76" s="35">
        <f t="shared" si="64"/>
        <v>0</v>
      </c>
      <c r="AD76" s="11">
        <f t="shared" si="65"/>
        <v>1986.4166666666667</v>
      </c>
      <c r="AE76" s="11">
        <f t="shared" si="66"/>
        <v>2017.6666666666667</v>
      </c>
      <c r="AF76" s="11">
        <f t="shared" si="67"/>
        <v>1996.4166666666667</v>
      </c>
      <c r="AG76" s="11">
        <f t="shared" si="68"/>
        <v>2016.6666666666667</v>
      </c>
      <c r="AH76" s="11">
        <f t="shared" si="69"/>
        <v>-8.3333333333333329E-2</v>
      </c>
    </row>
    <row r="77" spans="2:34">
      <c r="B77" s="7"/>
      <c r="C77" s="7">
        <v>6</v>
      </c>
      <c r="D77" s="32" t="s">
        <v>159</v>
      </c>
      <c r="E77" s="15">
        <v>1986</v>
      </c>
      <c r="F77" s="7">
        <v>9</v>
      </c>
      <c r="G77" s="56">
        <v>0</v>
      </c>
      <c r="H77" s="56"/>
      <c r="I77" s="15" t="s">
        <v>103</v>
      </c>
      <c r="J77" s="15">
        <v>10</v>
      </c>
      <c r="K77" s="9">
        <f t="shared" si="54"/>
        <v>1996</v>
      </c>
      <c r="L77" s="57"/>
      <c r="M77" s="7"/>
      <c r="N77" s="34">
        <v>1519.23</v>
      </c>
      <c r="O77" s="44"/>
      <c r="P77" s="35">
        <f t="shared" si="55"/>
        <v>1519.23</v>
      </c>
      <c r="Q77" s="35">
        <f t="shared" si="56"/>
        <v>12.66025</v>
      </c>
      <c r="R77" s="35">
        <f t="shared" si="57"/>
        <v>0</v>
      </c>
      <c r="S77" s="35"/>
      <c r="T77" s="35">
        <f t="shared" si="58"/>
        <v>0</v>
      </c>
      <c r="U77" s="35">
        <v>1</v>
      </c>
      <c r="V77" s="35">
        <f t="shared" si="59"/>
        <v>0</v>
      </c>
      <c r="W77" s="35"/>
      <c r="X77" s="35">
        <f t="shared" si="60"/>
        <v>1519.23</v>
      </c>
      <c r="Y77" s="35">
        <f t="shared" si="61"/>
        <v>1519.23</v>
      </c>
      <c r="Z77" s="35">
        <v>1</v>
      </c>
      <c r="AA77" s="35">
        <f t="shared" si="62"/>
        <v>1519.23</v>
      </c>
      <c r="AB77" s="35">
        <f t="shared" si="63"/>
        <v>1519.23</v>
      </c>
      <c r="AC77" s="35">
        <f t="shared" si="64"/>
        <v>0</v>
      </c>
      <c r="AD77" s="11">
        <f t="shared" si="65"/>
        <v>1986.6666666666667</v>
      </c>
      <c r="AE77" s="11">
        <f t="shared" si="66"/>
        <v>2017.6666666666667</v>
      </c>
      <c r="AF77" s="11">
        <f t="shared" si="67"/>
        <v>1996.6666666666667</v>
      </c>
      <c r="AG77" s="11">
        <f t="shared" si="68"/>
        <v>2016.6666666666667</v>
      </c>
      <c r="AH77" s="11">
        <f t="shared" si="69"/>
        <v>-8.3333333333333329E-2</v>
      </c>
    </row>
    <row r="78" spans="2:34">
      <c r="B78" s="7"/>
      <c r="C78" s="7">
        <v>6</v>
      </c>
      <c r="D78" s="7" t="str">
        <f>D77</f>
        <v>Containers 6</v>
      </c>
      <c r="E78" s="15">
        <v>1986</v>
      </c>
      <c r="F78" s="7">
        <v>12</v>
      </c>
      <c r="G78" s="56">
        <v>0</v>
      </c>
      <c r="H78" s="56"/>
      <c r="I78" s="15" t="s">
        <v>103</v>
      </c>
      <c r="J78" s="15">
        <v>10</v>
      </c>
      <c r="K78" s="9">
        <f t="shared" si="54"/>
        <v>1996</v>
      </c>
      <c r="L78" s="57"/>
      <c r="M78" s="7"/>
      <c r="N78" s="34">
        <v>517.44000000000005</v>
      </c>
      <c r="O78" s="44"/>
      <c r="P78" s="35">
        <f t="shared" si="55"/>
        <v>517.44000000000005</v>
      </c>
      <c r="Q78" s="35">
        <f t="shared" si="56"/>
        <v>4.3120000000000003</v>
      </c>
      <c r="R78" s="35">
        <f t="shared" si="57"/>
        <v>0</v>
      </c>
      <c r="S78" s="35"/>
      <c r="T78" s="35">
        <f t="shared" si="58"/>
        <v>0</v>
      </c>
      <c r="U78" s="35">
        <v>1</v>
      </c>
      <c r="V78" s="35">
        <f t="shared" si="59"/>
        <v>0</v>
      </c>
      <c r="W78" s="35"/>
      <c r="X78" s="35">
        <f t="shared" si="60"/>
        <v>517.44000000000005</v>
      </c>
      <c r="Y78" s="35">
        <f t="shared" si="61"/>
        <v>517.44000000000005</v>
      </c>
      <c r="Z78" s="35">
        <v>1</v>
      </c>
      <c r="AA78" s="35">
        <f t="shared" si="62"/>
        <v>517.44000000000005</v>
      </c>
      <c r="AB78" s="35">
        <f t="shared" si="63"/>
        <v>517.44000000000005</v>
      </c>
      <c r="AC78" s="35">
        <f t="shared" si="64"/>
        <v>0</v>
      </c>
      <c r="AD78" s="11">
        <f t="shared" si="65"/>
        <v>1986.9166666666667</v>
      </c>
      <c r="AE78" s="11">
        <f t="shared" si="66"/>
        <v>2017.6666666666667</v>
      </c>
      <c r="AF78" s="11">
        <f t="shared" si="67"/>
        <v>1996.9166666666667</v>
      </c>
      <c r="AG78" s="11">
        <f t="shared" si="68"/>
        <v>2016.6666666666667</v>
      </c>
      <c r="AH78" s="11">
        <f t="shared" si="69"/>
        <v>-8.3333333333333329E-2</v>
      </c>
    </row>
    <row r="79" spans="2:34">
      <c r="B79" s="7"/>
      <c r="D79" s="32" t="s">
        <v>160</v>
      </c>
      <c r="E79" s="15">
        <v>1987</v>
      </c>
      <c r="F79" s="7">
        <v>7</v>
      </c>
      <c r="G79" s="56">
        <v>0</v>
      </c>
      <c r="H79" s="56"/>
      <c r="I79" s="15" t="s">
        <v>103</v>
      </c>
      <c r="J79" s="15">
        <v>10</v>
      </c>
      <c r="K79" s="9">
        <f t="shared" si="54"/>
        <v>1997</v>
      </c>
      <c r="L79" s="57"/>
      <c r="M79" s="7"/>
      <c r="N79" s="34">
        <v>13853.19</v>
      </c>
      <c r="O79" s="44"/>
      <c r="P79" s="35">
        <f t="shared" si="55"/>
        <v>13853.19</v>
      </c>
      <c r="Q79" s="35">
        <f t="shared" si="56"/>
        <v>115.44324999999999</v>
      </c>
      <c r="R79" s="35">
        <f t="shared" si="57"/>
        <v>0</v>
      </c>
      <c r="S79" s="35"/>
      <c r="T79" s="35">
        <f t="shared" si="58"/>
        <v>0</v>
      </c>
      <c r="U79" s="35">
        <v>1</v>
      </c>
      <c r="V79" s="35">
        <f t="shared" si="59"/>
        <v>0</v>
      </c>
      <c r="W79" s="35"/>
      <c r="X79" s="35">
        <f t="shared" si="60"/>
        <v>13853.19</v>
      </c>
      <c r="Y79" s="35">
        <f t="shared" si="61"/>
        <v>13853.19</v>
      </c>
      <c r="Z79" s="35">
        <v>1</v>
      </c>
      <c r="AA79" s="35">
        <f t="shared" si="62"/>
        <v>13853.19</v>
      </c>
      <c r="AB79" s="35">
        <f t="shared" si="63"/>
        <v>13853.19</v>
      </c>
      <c r="AC79" s="35">
        <f t="shared" si="64"/>
        <v>0</v>
      </c>
      <c r="AD79" s="11">
        <f t="shared" si="65"/>
        <v>1987.5</v>
      </c>
      <c r="AE79" s="11">
        <f t="shared" si="66"/>
        <v>2017.6666666666667</v>
      </c>
      <c r="AF79" s="11">
        <f t="shared" si="67"/>
        <v>1997.5</v>
      </c>
      <c r="AG79" s="11">
        <f t="shared" si="68"/>
        <v>2016.6666666666667</v>
      </c>
      <c r="AH79" s="11">
        <f t="shared" si="69"/>
        <v>-8.3333333333333329E-2</v>
      </c>
    </row>
    <row r="80" spans="2:34">
      <c r="B80" s="7"/>
      <c r="C80" s="7">
        <v>13</v>
      </c>
      <c r="D80" s="32" t="s">
        <v>161</v>
      </c>
      <c r="E80" s="15">
        <v>1988</v>
      </c>
      <c r="F80" s="7">
        <v>9</v>
      </c>
      <c r="G80" s="56">
        <v>0</v>
      </c>
      <c r="H80" s="56"/>
      <c r="I80" s="15" t="s">
        <v>103</v>
      </c>
      <c r="J80" s="15">
        <v>10</v>
      </c>
      <c r="K80" s="9">
        <f t="shared" si="54"/>
        <v>1998</v>
      </c>
      <c r="L80" s="57"/>
      <c r="M80" s="7"/>
      <c r="N80" s="34">
        <v>17908.66</v>
      </c>
      <c r="O80" s="44"/>
      <c r="P80" s="35">
        <f t="shared" si="55"/>
        <v>17908.66</v>
      </c>
      <c r="Q80" s="35">
        <f t="shared" si="56"/>
        <v>149.23883333333333</v>
      </c>
      <c r="R80" s="35">
        <f t="shared" si="57"/>
        <v>0</v>
      </c>
      <c r="S80" s="35"/>
      <c r="T80" s="35">
        <f t="shared" si="58"/>
        <v>0</v>
      </c>
      <c r="U80" s="35">
        <v>1</v>
      </c>
      <c r="V80" s="35">
        <f t="shared" si="59"/>
        <v>0</v>
      </c>
      <c r="W80" s="35"/>
      <c r="X80" s="35">
        <f t="shared" si="60"/>
        <v>17908.66</v>
      </c>
      <c r="Y80" s="35">
        <f t="shared" si="61"/>
        <v>17908.66</v>
      </c>
      <c r="Z80" s="35">
        <v>1</v>
      </c>
      <c r="AA80" s="35">
        <f t="shared" si="62"/>
        <v>17908.66</v>
      </c>
      <c r="AB80" s="35">
        <f t="shared" si="63"/>
        <v>17908.66</v>
      </c>
      <c r="AC80" s="35">
        <f t="shared" si="64"/>
        <v>0</v>
      </c>
      <c r="AD80" s="11">
        <f t="shared" si="65"/>
        <v>1988.6666666666667</v>
      </c>
      <c r="AE80" s="11">
        <f t="shared" si="66"/>
        <v>2017.6666666666667</v>
      </c>
      <c r="AF80" s="11">
        <f t="shared" si="67"/>
        <v>1998.6666666666667</v>
      </c>
      <c r="AG80" s="11">
        <f t="shared" si="68"/>
        <v>2016.6666666666667</v>
      </c>
      <c r="AH80" s="11">
        <f t="shared" si="69"/>
        <v>-8.3333333333333329E-2</v>
      </c>
    </row>
    <row r="81" spans="2:34">
      <c r="B81" s="7"/>
      <c r="C81" s="7">
        <v>43</v>
      </c>
      <c r="D81" s="32" t="s">
        <v>162</v>
      </c>
      <c r="E81" s="15">
        <v>1989</v>
      </c>
      <c r="F81" s="7">
        <v>5</v>
      </c>
      <c r="G81" s="56">
        <v>0</v>
      </c>
      <c r="H81" s="56"/>
      <c r="I81" s="15" t="s">
        <v>103</v>
      </c>
      <c r="J81" s="15">
        <v>5</v>
      </c>
      <c r="K81" s="9">
        <f t="shared" si="54"/>
        <v>1994</v>
      </c>
      <c r="L81" s="57"/>
      <c r="M81" s="7"/>
      <c r="N81" s="34">
        <v>14625.21</v>
      </c>
      <c r="O81" s="44"/>
      <c r="P81" s="35">
        <f t="shared" si="55"/>
        <v>14625.21</v>
      </c>
      <c r="Q81" s="35">
        <f t="shared" si="56"/>
        <v>243.7535</v>
      </c>
      <c r="R81" s="35">
        <f t="shared" si="57"/>
        <v>0</v>
      </c>
      <c r="S81" s="35"/>
      <c r="T81" s="35">
        <f t="shared" si="58"/>
        <v>0</v>
      </c>
      <c r="U81" s="35">
        <v>1</v>
      </c>
      <c r="V81" s="35">
        <f t="shared" si="59"/>
        <v>0</v>
      </c>
      <c r="W81" s="35"/>
      <c r="X81" s="35">
        <f t="shared" si="60"/>
        <v>14625.21</v>
      </c>
      <c r="Y81" s="35">
        <f t="shared" si="61"/>
        <v>14625.21</v>
      </c>
      <c r="Z81" s="35">
        <v>1</v>
      </c>
      <c r="AA81" s="35">
        <f t="shared" si="62"/>
        <v>14625.21</v>
      </c>
      <c r="AB81" s="35">
        <f t="shared" si="63"/>
        <v>14625.21</v>
      </c>
      <c r="AC81" s="35">
        <f t="shared" si="64"/>
        <v>0</v>
      </c>
      <c r="AD81" s="11">
        <f t="shared" si="65"/>
        <v>1989.3333333333333</v>
      </c>
      <c r="AE81" s="11">
        <f t="shared" si="66"/>
        <v>2017.6666666666667</v>
      </c>
      <c r="AF81" s="11">
        <f t="shared" si="67"/>
        <v>1994.3333333333333</v>
      </c>
      <c r="AG81" s="11">
        <f t="shared" si="68"/>
        <v>2016.6666666666667</v>
      </c>
      <c r="AH81" s="11">
        <f t="shared" si="69"/>
        <v>-8.3333333333333329E-2</v>
      </c>
    </row>
    <row r="82" spans="2:34">
      <c r="B82" s="7"/>
      <c r="C82" s="7">
        <v>1</v>
      </c>
      <c r="D82" s="32" t="s">
        <v>155</v>
      </c>
      <c r="E82" s="15">
        <v>1990</v>
      </c>
      <c r="F82" s="7">
        <v>1</v>
      </c>
      <c r="G82" s="56">
        <v>0</v>
      </c>
      <c r="H82" s="56"/>
      <c r="I82" s="15" t="s">
        <v>103</v>
      </c>
      <c r="J82" s="15">
        <v>5</v>
      </c>
      <c r="K82" s="9">
        <f t="shared" si="54"/>
        <v>1995</v>
      </c>
      <c r="L82" s="57"/>
      <c r="M82" s="7"/>
      <c r="N82" s="34">
        <v>1075</v>
      </c>
      <c r="O82" s="44"/>
      <c r="P82" s="35">
        <f t="shared" si="55"/>
        <v>1075</v>
      </c>
      <c r="Q82" s="35">
        <f t="shared" si="56"/>
        <v>17.916666666666668</v>
      </c>
      <c r="R82" s="35">
        <f t="shared" si="57"/>
        <v>0</v>
      </c>
      <c r="S82" s="35"/>
      <c r="T82" s="35">
        <f t="shared" si="58"/>
        <v>0</v>
      </c>
      <c r="U82" s="35">
        <v>1</v>
      </c>
      <c r="V82" s="35">
        <f t="shared" si="59"/>
        <v>0</v>
      </c>
      <c r="W82" s="35"/>
      <c r="X82" s="35">
        <f t="shared" si="60"/>
        <v>1075</v>
      </c>
      <c r="Y82" s="35">
        <f t="shared" si="61"/>
        <v>1075</v>
      </c>
      <c r="Z82" s="35">
        <v>1</v>
      </c>
      <c r="AA82" s="35">
        <f t="shared" si="62"/>
        <v>1075</v>
      </c>
      <c r="AB82" s="35">
        <f t="shared" si="63"/>
        <v>1075</v>
      </c>
      <c r="AC82" s="35">
        <f t="shared" si="64"/>
        <v>0</v>
      </c>
      <c r="AD82" s="11">
        <f t="shared" si="65"/>
        <v>1990</v>
      </c>
      <c r="AE82" s="11">
        <f t="shared" si="66"/>
        <v>2017.6666666666667</v>
      </c>
      <c r="AF82" s="11">
        <f t="shared" si="67"/>
        <v>1995</v>
      </c>
      <c r="AG82" s="11">
        <f t="shared" si="68"/>
        <v>2016.6666666666667</v>
      </c>
      <c r="AH82" s="11">
        <f t="shared" si="69"/>
        <v>-8.3333333333333329E-2</v>
      </c>
    </row>
    <row r="83" spans="2:34">
      <c r="B83" s="7"/>
      <c r="C83" s="7">
        <v>1</v>
      </c>
      <c r="D83" s="7" t="str">
        <f>D82</f>
        <v>Containers 1</v>
      </c>
      <c r="E83" s="15">
        <v>1990</v>
      </c>
      <c r="F83" s="7">
        <v>2</v>
      </c>
      <c r="G83" s="56">
        <v>0</v>
      </c>
      <c r="H83" s="56"/>
      <c r="I83" s="15" t="s">
        <v>103</v>
      </c>
      <c r="J83" s="15">
        <v>5</v>
      </c>
      <c r="K83" s="9">
        <f t="shared" si="54"/>
        <v>1995</v>
      </c>
      <c r="L83" s="57"/>
      <c r="M83" s="7"/>
      <c r="N83" s="34">
        <v>1336.4</v>
      </c>
      <c r="O83" s="44"/>
      <c r="P83" s="35">
        <f t="shared" si="55"/>
        <v>1336.4</v>
      </c>
      <c r="Q83" s="35">
        <f t="shared" si="56"/>
        <v>22.273333333333337</v>
      </c>
      <c r="R83" s="35">
        <f t="shared" si="57"/>
        <v>0</v>
      </c>
      <c r="S83" s="35"/>
      <c r="T83" s="35">
        <f t="shared" si="58"/>
        <v>0</v>
      </c>
      <c r="U83" s="35">
        <v>1</v>
      </c>
      <c r="V83" s="35">
        <f t="shared" si="59"/>
        <v>0</v>
      </c>
      <c r="W83" s="35"/>
      <c r="X83" s="35">
        <f t="shared" si="60"/>
        <v>1336.4</v>
      </c>
      <c r="Y83" s="35">
        <f t="shared" si="61"/>
        <v>1336.4</v>
      </c>
      <c r="Z83" s="35">
        <v>1</v>
      </c>
      <c r="AA83" s="35">
        <f t="shared" si="62"/>
        <v>1336.4</v>
      </c>
      <c r="AB83" s="35">
        <f t="shared" si="63"/>
        <v>1336.4</v>
      </c>
      <c r="AC83" s="35">
        <f t="shared" si="64"/>
        <v>0</v>
      </c>
      <c r="AD83" s="11">
        <f t="shared" si="65"/>
        <v>1990.0833333333333</v>
      </c>
      <c r="AE83" s="11">
        <f t="shared" si="66"/>
        <v>2017.6666666666667</v>
      </c>
      <c r="AF83" s="11">
        <f t="shared" si="67"/>
        <v>1995.0833333333333</v>
      </c>
      <c r="AG83" s="11">
        <f t="shared" si="68"/>
        <v>2016.6666666666667</v>
      </c>
      <c r="AH83" s="11">
        <f t="shared" si="69"/>
        <v>-8.3333333333333329E-2</v>
      </c>
    </row>
    <row r="84" spans="2:34">
      <c r="B84" s="7"/>
      <c r="C84" s="7">
        <v>6</v>
      </c>
      <c r="D84" s="32" t="s">
        <v>159</v>
      </c>
      <c r="E84" s="15">
        <v>1990</v>
      </c>
      <c r="F84" s="7">
        <v>3</v>
      </c>
      <c r="G84" s="56">
        <v>0</v>
      </c>
      <c r="H84" s="56"/>
      <c r="I84" s="15" t="s">
        <v>103</v>
      </c>
      <c r="J84" s="15">
        <v>5</v>
      </c>
      <c r="K84" s="9">
        <f t="shared" si="54"/>
        <v>1995</v>
      </c>
      <c r="L84" s="57"/>
      <c r="M84" s="7"/>
      <c r="N84" s="34">
        <v>1662.8</v>
      </c>
      <c r="O84" s="44"/>
      <c r="P84" s="35">
        <f t="shared" si="55"/>
        <v>1662.8</v>
      </c>
      <c r="Q84" s="35">
        <f t="shared" si="56"/>
        <v>27.713333333333335</v>
      </c>
      <c r="R84" s="35">
        <f t="shared" si="57"/>
        <v>0</v>
      </c>
      <c r="S84" s="35"/>
      <c r="T84" s="35">
        <f t="shared" si="58"/>
        <v>0</v>
      </c>
      <c r="U84" s="35">
        <v>1</v>
      </c>
      <c r="V84" s="35">
        <f t="shared" si="59"/>
        <v>0</v>
      </c>
      <c r="W84" s="35"/>
      <c r="X84" s="35">
        <f t="shared" si="60"/>
        <v>1662.8</v>
      </c>
      <c r="Y84" s="35">
        <f t="shared" si="61"/>
        <v>1662.8</v>
      </c>
      <c r="Z84" s="35">
        <v>1</v>
      </c>
      <c r="AA84" s="35">
        <f t="shared" si="62"/>
        <v>1662.8</v>
      </c>
      <c r="AB84" s="35">
        <f t="shared" si="63"/>
        <v>1662.8</v>
      </c>
      <c r="AC84" s="35">
        <f t="shared" si="64"/>
        <v>0</v>
      </c>
      <c r="AD84" s="11">
        <f t="shared" si="65"/>
        <v>1990.1666666666667</v>
      </c>
      <c r="AE84" s="11">
        <f t="shared" si="66"/>
        <v>2017.6666666666667</v>
      </c>
      <c r="AF84" s="11">
        <f t="shared" si="67"/>
        <v>1995.1666666666667</v>
      </c>
      <c r="AG84" s="11">
        <f t="shared" si="68"/>
        <v>2016.6666666666667</v>
      </c>
      <c r="AH84" s="11">
        <f t="shared" si="69"/>
        <v>-8.3333333333333329E-2</v>
      </c>
    </row>
    <row r="85" spans="2:34">
      <c r="B85" s="7"/>
      <c r="C85" s="7">
        <v>1</v>
      </c>
      <c r="D85" s="32" t="s">
        <v>163</v>
      </c>
      <c r="E85" s="15">
        <v>1990</v>
      </c>
      <c r="F85" s="7">
        <v>3</v>
      </c>
      <c r="G85" s="56">
        <v>0</v>
      </c>
      <c r="H85" s="56"/>
      <c r="I85" s="15" t="s">
        <v>103</v>
      </c>
      <c r="J85" s="15">
        <v>10</v>
      </c>
      <c r="K85" s="9">
        <f t="shared" si="54"/>
        <v>2000</v>
      </c>
      <c r="L85" s="57"/>
      <c r="M85" s="7"/>
      <c r="N85" s="34">
        <v>4996</v>
      </c>
      <c r="O85" s="44"/>
      <c r="P85" s="35">
        <f t="shared" si="55"/>
        <v>4996</v>
      </c>
      <c r="Q85" s="35">
        <f t="shared" si="56"/>
        <v>41.633333333333333</v>
      </c>
      <c r="R85" s="35">
        <f t="shared" si="57"/>
        <v>0</v>
      </c>
      <c r="S85" s="35"/>
      <c r="T85" s="35">
        <f t="shared" si="58"/>
        <v>0</v>
      </c>
      <c r="U85" s="35">
        <v>1</v>
      </c>
      <c r="V85" s="35">
        <f t="shared" si="59"/>
        <v>0</v>
      </c>
      <c r="W85" s="35"/>
      <c r="X85" s="35">
        <f t="shared" si="60"/>
        <v>4996</v>
      </c>
      <c r="Y85" s="35">
        <f t="shared" si="61"/>
        <v>4996</v>
      </c>
      <c r="Z85" s="35">
        <v>1</v>
      </c>
      <c r="AA85" s="35">
        <f t="shared" si="62"/>
        <v>4996</v>
      </c>
      <c r="AB85" s="35">
        <f t="shared" si="63"/>
        <v>4996</v>
      </c>
      <c r="AC85" s="35">
        <f t="shared" si="64"/>
        <v>0</v>
      </c>
      <c r="AD85" s="11">
        <f t="shared" si="65"/>
        <v>1990.1666666666667</v>
      </c>
      <c r="AE85" s="11">
        <f t="shared" si="66"/>
        <v>2017.6666666666667</v>
      </c>
      <c r="AF85" s="11">
        <f t="shared" si="67"/>
        <v>2000.1666666666667</v>
      </c>
      <c r="AG85" s="11">
        <f t="shared" si="68"/>
        <v>2016.6666666666667</v>
      </c>
      <c r="AH85" s="11">
        <f t="shared" si="69"/>
        <v>-8.3333333333333329E-2</v>
      </c>
    </row>
    <row r="86" spans="2:34">
      <c r="B86" s="7"/>
      <c r="C86" s="7">
        <v>6</v>
      </c>
      <c r="D86" s="7" t="str">
        <f>D85</f>
        <v>Rolloff 1</v>
      </c>
      <c r="E86" s="15">
        <v>1990</v>
      </c>
      <c r="F86" s="7">
        <v>4</v>
      </c>
      <c r="G86" s="56">
        <v>0</v>
      </c>
      <c r="H86" s="56"/>
      <c r="I86" s="15" t="s">
        <v>103</v>
      </c>
      <c r="J86" s="15">
        <v>5</v>
      </c>
      <c r="K86" s="9">
        <f t="shared" si="54"/>
        <v>1995</v>
      </c>
      <c r="L86" s="57"/>
      <c r="M86" s="7"/>
      <c r="N86" s="34">
        <v>1662.28</v>
      </c>
      <c r="O86" s="44"/>
      <c r="P86" s="35">
        <f t="shared" si="55"/>
        <v>1662.28</v>
      </c>
      <c r="Q86" s="35">
        <f t="shared" si="56"/>
        <v>27.704666666666668</v>
      </c>
      <c r="R86" s="35">
        <f t="shared" si="57"/>
        <v>0</v>
      </c>
      <c r="S86" s="35"/>
      <c r="T86" s="35">
        <f t="shared" si="58"/>
        <v>0</v>
      </c>
      <c r="U86" s="35">
        <v>1</v>
      </c>
      <c r="V86" s="35">
        <f t="shared" si="59"/>
        <v>0</v>
      </c>
      <c r="W86" s="35"/>
      <c r="X86" s="35">
        <f t="shared" si="60"/>
        <v>1662.28</v>
      </c>
      <c r="Y86" s="35">
        <f t="shared" si="61"/>
        <v>1662.28</v>
      </c>
      <c r="Z86" s="35">
        <v>1</v>
      </c>
      <c r="AA86" s="35">
        <f t="shared" si="62"/>
        <v>1662.28</v>
      </c>
      <c r="AB86" s="35">
        <f t="shared" si="63"/>
        <v>1662.28</v>
      </c>
      <c r="AC86" s="35">
        <f t="shared" si="64"/>
        <v>0</v>
      </c>
      <c r="AD86" s="11">
        <f t="shared" si="65"/>
        <v>1990.25</v>
      </c>
      <c r="AE86" s="11">
        <f t="shared" si="66"/>
        <v>2017.6666666666667</v>
      </c>
      <c r="AF86" s="11">
        <f t="shared" si="67"/>
        <v>1995.25</v>
      </c>
      <c r="AG86" s="11">
        <f t="shared" si="68"/>
        <v>2016.6666666666667</v>
      </c>
      <c r="AH86" s="11">
        <f t="shared" si="69"/>
        <v>-8.3333333333333329E-2</v>
      </c>
    </row>
    <row r="87" spans="2:34">
      <c r="B87" s="7"/>
      <c r="C87" s="7">
        <v>2</v>
      </c>
      <c r="D87" s="32" t="s">
        <v>158</v>
      </c>
      <c r="E87" s="15">
        <v>1990</v>
      </c>
      <c r="F87" s="7">
        <v>5</v>
      </c>
      <c r="G87" s="56">
        <v>0</v>
      </c>
      <c r="H87" s="56"/>
      <c r="I87" s="15" t="s">
        <v>103</v>
      </c>
      <c r="J87" s="15">
        <v>5</v>
      </c>
      <c r="K87" s="9">
        <f t="shared" si="54"/>
        <v>1995</v>
      </c>
      <c r="L87" s="57"/>
      <c r="M87" s="7"/>
      <c r="N87" s="34">
        <v>1489.8</v>
      </c>
      <c r="O87" s="44"/>
      <c r="P87" s="35">
        <f t="shared" si="55"/>
        <v>1489.8</v>
      </c>
      <c r="Q87" s="35">
        <f t="shared" si="56"/>
        <v>24.83</v>
      </c>
      <c r="R87" s="35">
        <f t="shared" si="57"/>
        <v>0</v>
      </c>
      <c r="S87" s="35"/>
      <c r="T87" s="35">
        <f t="shared" si="58"/>
        <v>0</v>
      </c>
      <c r="U87" s="35">
        <v>1</v>
      </c>
      <c r="V87" s="35">
        <f t="shared" si="59"/>
        <v>0</v>
      </c>
      <c r="W87" s="35"/>
      <c r="X87" s="35">
        <f t="shared" si="60"/>
        <v>1489.8</v>
      </c>
      <c r="Y87" s="35">
        <f t="shared" si="61"/>
        <v>1489.8</v>
      </c>
      <c r="Z87" s="35">
        <v>1</v>
      </c>
      <c r="AA87" s="35">
        <f t="shared" si="62"/>
        <v>1489.8</v>
      </c>
      <c r="AB87" s="35">
        <f t="shared" si="63"/>
        <v>1489.8</v>
      </c>
      <c r="AC87" s="35">
        <f t="shared" si="64"/>
        <v>0</v>
      </c>
      <c r="AD87" s="11">
        <f t="shared" si="65"/>
        <v>1990.3333333333333</v>
      </c>
      <c r="AE87" s="11">
        <f t="shared" si="66"/>
        <v>2017.6666666666667</v>
      </c>
      <c r="AF87" s="11">
        <f t="shared" si="67"/>
        <v>1995.3333333333333</v>
      </c>
      <c r="AG87" s="11">
        <f t="shared" si="68"/>
        <v>2016.6666666666667</v>
      </c>
      <c r="AH87" s="11">
        <f t="shared" si="69"/>
        <v>-8.3333333333333329E-2</v>
      </c>
    </row>
    <row r="88" spans="2:34">
      <c r="B88" s="7"/>
      <c r="C88" s="7">
        <v>1</v>
      </c>
      <c r="D88" s="32" t="s">
        <v>163</v>
      </c>
      <c r="E88" s="15">
        <v>1990</v>
      </c>
      <c r="F88" s="7">
        <v>5</v>
      </c>
      <c r="G88" s="56">
        <v>0</v>
      </c>
      <c r="H88" s="56"/>
      <c r="I88" s="15" t="s">
        <v>103</v>
      </c>
      <c r="J88" s="15">
        <v>5</v>
      </c>
      <c r="K88" s="9">
        <f t="shared" si="54"/>
        <v>1995</v>
      </c>
      <c r="L88" s="57"/>
      <c r="M88" s="7"/>
      <c r="N88" s="34">
        <v>4931.8500000000004</v>
      </c>
      <c r="O88" s="44"/>
      <c r="P88" s="35">
        <f t="shared" si="55"/>
        <v>4931.8500000000004</v>
      </c>
      <c r="Q88" s="35">
        <f t="shared" si="56"/>
        <v>82.197500000000005</v>
      </c>
      <c r="R88" s="35">
        <f t="shared" si="57"/>
        <v>0</v>
      </c>
      <c r="S88" s="35"/>
      <c r="T88" s="35">
        <f t="shared" si="58"/>
        <v>0</v>
      </c>
      <c r="U88" s="35">
        <v>1</v>
      </c>
      <c r="V88" s="35">
        <f t="shared" si="59"/>
        <v>0</v>
      </c>
      <c r="W88" s="35"/>
      <c r="X88" s="35">
        <f t="shared" si="60"/>
        <v>4931.8500000000004</v>
      </c>
      <c r="Y88" s="35">
        <f t="shared" si="61"/>
        <v>4931.8500000000004</v>
      </c>
      <c r="Z88" s="35">
        <v>1</v>
      </c>
      <c r="AA88" s="35">
        <f t="shared" si="62"/>
        <v>4931.8500000000004</v>
      </c>
      <c r="AB88" s="35">
        <f t="shared" si="63"/>
        <v>4931.8500000000004</v>
      </c>
      <c r="AC88" s="35">
        <f t="shared" si="64"/>
        <v>0</v>
      </c>
      <c r="AD88" s="11">
        <f t="shared" si="65"/>
        <v>1990.3333333333333</v>
      </c>
      <c r="AE88" s="11">
        <f t="shared" si="66"/>
        <v>2017.6666666666667</v>
      </c>
      <c r="AF88" s="11">
        <f t="shared" si="67"/>
        <v>1995.3333333333333</v>
      </c>
      <c r="AG88" s="11">
        <f t="shared" si="68"/>
        <v>2016.6666666666667</v>
      </c>
      <c r="AH88" s="11">
        <f t="shared" si="69"/>
        <v>-8.3333333333333329E-2</v>
      </c>
    </row>
    <row r="89" spans="2:34">
      <c r="B89" s="7"/>
      <c r="C89" s="7">
        <v>2</v>
      </c>
      <c r="D89" s="7" t="str">
        <f>D88</f>
        <v>Rolloff 1</v>
      </c>
      <c r="E89" s="15">
        <v>1990</v>
      </c>
      <c r="F89" s="7">
        <v>6</v>
      </c>
      <c r="G89" s="56">
        <v>0</v>
      </c>
      <c r="H89" s="56"/>
      <c r="I89" s="15" t="s">
        <v>103</v>
      </c>
      <c r="J89" s="15">
        <v>5</v>
      </c>
      <c r="K89" s="9">
        <f t="shared" si="54"/>
        <v>1995</v>
      </c>
      <c r="L89" s="57"/>
      <c r="M89" s="7"/>
      <c r="N89" s="34">
        <v>554.1</v>
      </c>
      <c r="O89" s="44"/>
      <c r="P89" s="35">
        <f t="shared" si="55"/>
        <v>554.1</v>
      </c>
      <c r="Q89" s="35">
        <f t="shared" si="56"/>
        <v>9.2350000000000012</v>
      </c>
      <c r="R89" s="35">
        <f t="shared" si="57"/>
        <v>0</v>
      </c>
      <c r="S89" s="35"/>
      <c r="T89" s="35">
        <f t="shared" si="58"/>
        <v>0</v>
      </c>
      <c r="U89" s="35">
        <v>1</v>
      </c>
      <c r="V89" s="35">
        <f t="shared" si="59"/>
        <v>0</v>
      </c>
      <c r="W89" s="35"/>
      <c r="X89" s="35">
        <f t="shared" si="60"/>
        <v>554.1</v>
      </c>
      <c r="Y89" s="35">
        <f t="shared" si="61"/>
        <v>554.1</v>
      </c>
      <c r="Z89" s="35">
        <v>1</v>
      </c>
      <c r="AA89" s="35">
        <f t="shared" si="62"/>
        <v>554.1</v>
      </c>
      <c r="AB89" s="35">
        <f t="shared" si="63"/>
        <v>554.1</v>
      </c>
      <c r="AC89" s="35">
        <f t="shared" si="64"/>
        <v>0</v>
      </c>
      <c r="AD89" s="11">
        <f t="shared" si="65"/>
        <v>1990.4166666666667</v>
      </c>
      <c r="AE89" s="11">
        <f t="shared" si="66"/>
        <v>2017.6666666666667</v>
      </c>
      <c r="AF89" s="11">
        <f t="shared" si="67"/>
        <v>1995.4166666666667</v>
      </c>
      <c r="AG89" s="11">
        <f t="shared" si="68"/>
        <v>2016.6666666666667</v>
      </c>
      <c r="AH89" s="11">
        <f t="shared" si="69"/>
        <v>-8.3333333333333329E-2</v>
      </c>
    </row>
    <row r="90" spans="2:34">
      <c r="B90" s="7"/>
      <c r="C90" s="7">
        <v>4</v>
      </c>
      <c r="D90" s="32" t="s">
        <v>152</v>
      </c>
      <c r="E90" s="15">
        <v>1990</v>
      </c>
      <c r="F90" s="7">
        <v>7</v>
      </c>
      <c r="G90" s="56">
        <v>0</v>
      </c>
      <c r="H90" s="56"/>
      <c r="I90" s="15" t="s">
        <v>103</v>
      </c>
      <c r="J90" s="15">
        <v>5</v>
      </c>
      <c r="K90" s="9">
        <f t="shared" si="54"/>
        <v>1995</v>
      </c>
      <c r="L90" s="57"/>
      <c r="M90" s="7"/>
      <c r="N90" s="34">
        <v>2397.48</v>
      </c>
      <c r="O90" s="44"/>
      <c r="P90" s="35">
        <f t="shared" si="55"/>
        <v>2397.48</v>
      </c>
      <c r="Q90" s="35">
        <f t="shared" si="56"/>
        <v>39.957999999999998</v>
      </c>
      <c r="R90" s="35">
        <f t="shared" si="57"/>
        <v>0</v>
      </c>
      <c r="S90" s="35"/>
      <c r="T90" s="35">
        <f t="shared" si="58"/>
        <v>0</v>
      </c>
      <c r="U90" s="35">
        <v>1</v>
      </c>
      <c r="V90" s="35">
        <f t="shared" si="59"/>
        <v>0</v>
      </c>
      <c r="W90" s="35"/>
      <c r="X90" s="35">
        <f t="shared" si="60"/>
        <v>2397.48</v>
      </c>
      <c r="Y90" s="35">
        <f t="shared" si="61"/>
        <v>2397.48</v>
      </c>
      <c r="Z90" s="35">
        <v>1</v>
      </c>
      <c r="AA90" s="35">
        <f t="shared" si="62"/>
        <v>2397.48</v>
      </c>
      <c r="AB90" s="35">
        <f t="shared" si="63"/>
        <v>2397.48</v>
      </c>
      <c r="AC90" s="35">
        <f t="shared" si="64"/>
        <v>0</v>
      </c>
      <c r="AD90" s="11">
        <f t="shared" si="65"/>
        <v>1990.5</v>
      </c>
      <c r="AE90" s="11">
        <f t="shared" si="66"/>
        <v>2017.6666666666667</v>
      </c>
      <c r="AF90" s="11">
        <f t="shared" si="67"/>
        <v>1995.5</v>
      </c>
      <c r="AG90" s="11">
        <f t="shared" si="68"/>
        <v>2016.6666666666667</v>
      </c>
      <c r="AH90" s="11">
        <f t="shared" si="69"/>
        <v>-8.3333333333333329E-2</v>
      </c>
    </row>
    <row r="91" spans="2:34">
      <c r="B91" s="7"/>
      <c r="C91" s="7">
        <v>2</v>
      </c>
      <c r="D91" s="7" t="str">
        <f>D89</f>
        <v>Rolloff 1</v>
      </c>
      <c r="E91" s="15">
        <v>1990</v>
      </c>
      <c r="F91" s="7">
        <v>8</v>
      </c>
      <c r="G91" s="56">
        <v>0</v>
      </c>
      <c r="H91" s="56"/>
      <c r="I91" s="15" t="s">
        <v>103</v>
      </c>
      <c r="J91" s="15">
        <v>5</v>
      </c>
      <c r="K91" s="9">
        <f t="shared" si="54"/>
        <v>1995</v>
      </c>
      <c r="L91" s="57"/>
      <c r="M91" s="7"/>
      <c r="N91" s="34">
        <v>728.19</v>
      </c>
      <c r="O91" s="44"/>
      <c r="P91" s="35">
        <f t="shared" si="55"/>
        <v>728.19</v>
      </c>
      <c r="Q91" s="35">
        <f t="shared" si="56"/>
        <v>12.1365</v>
      </c>
      <c r="R91" s="35">
        <f t="shared" si="57"/>
        <v>0</v>
      </c>
      <c r="S91" s="35"/>
      <c r="T91" s="35">
        <f t="shared" si="58"/>
        <v>0</v>
      </c>
      <c r="U91" s="35">
        <v>1</v>
      </c>
      <c r="V91" s="35">
        <f t="shared" si="59"/>
        <v>0</v>
      </c>
      <c r="W91" s="35"/>
      <c r="X91" s="35">
        <f t="shared" si="60"/>
        <v>728.19</v>
      </c>
      <c r="Y91" s="35">
        <f t="shared" si="61"/>
        <v>728.19</v>
      </c>
      <c r="Z91" s="35">
        <v>1</v>
      </c>
      <c r="AA91" s="35">
        <f t="shared" si="62"/>
        <v>728.19</v>
      </c>
      <c r="AB91" s="35">
        <f t="shared" si="63"/>
        <v>728.19</v>
      </c>
      <c r="AC91" s="35">
        <f t="shared" si="64"/>
        <v>0</v>
      </c>
      <c r="AD91" s="11">
        <f t="shared" si="65"/>
        <v>1990.5833333333333</v>
      </c>
      <c r="AE91" s="11">
        <f t="shared" si="66"/>
        <v>2017.6666666666667</v>
      </c>
      <c r="AF91" s="11">
        <f t="shared" si="67"/>
        <v>1995.5833333333333</v>
      </c>
      <c r="AG91" s="11">
        <f t="shared" si="68"/>
        <v>2016.6666666666667</v>
      </c>
      <c r="AH91" s="11">
        <f t="shared" si="69"/>
        <v>-8.3333333333333329E-2</v>
      </c>
    </row>
    <row r="92" spans="2:34">
      <c r="B92" s="7"/>
      <c r="C92" s="7">
        <v>4</v>
      </c>
      <c r="D92" s="7" t="str">
        <f>D90</f>
        <v>Containers 4</v>
      </c>
      <c r="E92" s="15">
        <v>1990</v>
      </c>
      <c r="F92" s="7">
        <v>9</v>
      </c>
      <c r="G92" s="56">
        <v>0</v>
      </c>
      <c r="H92" s="56"/>
      <c r="I92" s="15" t="s">
        <v>103</v>
      </c>
      <c r="J92" s="15">
        <v>5</v>
      </c>
      <c r="K92" s="9">
        <f t="shared" si="54"/>
        <v>1995</v>
      </c>
      <c r="L92" s="57"/>
      <c r="M92" s="7"/>
      <c r="N92" s="34">
        <v>1108.19</v>
      </c>
      <c r="O92" s="44"/>
      <c r="P92" s="35">
        <f t="shared" si="55"/>
        <v>1108.19</v>
      </c>
      <c r="Q92" s="35">
        <f t="shared" si="56"/>
        <v>18.469833333333334</v>
      </c>
      <c r="R92" s="35">
        <f t="shared" si="57"/>
        <v>0</v>
      </c>
      <c r="S92" s="35"/>
      <c r="T92" s="35">
        <f t="shared" si="58"/>
        <v>0</v>
      </c>
      <c r="U92" s="35">
        <v>1</v>
      </c>
      <c r="V92" s="35">
        <f t="shared" si="59"/>
        <v>0</v>
      </c>
      <c r="W92" s="35"/>
      <c r="X92" s="35">
        <f t="shared" si="60"/>
        <v>1108.19</v>
      </c>
      <c r="Y92" s="35">
        <f t="shared" si="61"/>
        <v>1108.19</v>
      </c>
      <c r="Z92" s="35">
        <v>1</v>
      </c>
      <c r="AA92" s="35">
        <f t="shared" si="62"/>
        <v>1108.19</v>
      </c>
      <c r="AB92" s="35">
        <f t="shared" si="63"/>
        <v>1108.19</v>
      </c>
      <c r="AC92" s="35">
        <f t="shared" si="64"/>
        <v>0</v>
      </c>
      <c r="AD92" s="11">
        <f t="shared" si="65"/>
        <v>1990.6666666666667</v>
      </c>
      <c r="AE92" s="11">
        <f t="shared" si="66"/>
        <v>2017.6666666666667</v>
      </c>
      <c r="AF92" s="11">
        <f t="shared" si="67"/>
        <v>1995.6666666666667</v>
      </c>
      <c r="AG92" s="11">
        <f t="shared" si="68"/>
        <v>2016.6666666666667</v>
      </c>
      <c r="AH92" s="11">
        <f t="shared" si="69"/>
        <v>-8.3333333333333329E-2</v>
      </c>
    </row>
    <row r="93" spans="2:34">
      <c r="B93" s="7"/>
      <c r="C93" s="7">
        <v>1</v>
      </c>
      <c r="D93" s="7" t="str">
        <f>D83</f>
        <v>Containers 1</v>
      </c>
      <c r="E93" s="15">
        <v>1990</v>
      </c>
      <c r="F93" s="7">
        <v>12</v>
      </c>
      <c r="G93" s="56">
        <v>0</v>
      </c>
      <c r="H93" s="56"/>
      <c r="I93" s="15" t="s">
        <v>103</v>
      </c>
      <c r="J93" s="15">
        <v>5</v>
      </c>
      <c r="K93" s="9">
        <f t="shared" si="54"/>
        <v>1995</v>
      </c>
      <c r="L93" s="57"/>
      <c r="M93" s="7"/>
      <c r="N93" s="34">
        <v>855.53</v>
      </c>
      <c r="O93" s="44"/>
      <c r="P93" s="35">
        <f t="shared" si="55"/>
        <v>855.53</v>
      </c>
      <c r="Q93" s="35">
        <f t="shared" si="56"/>
        <v>14.258833333333333</v>
      </c>
      <c r="R93" s="35">
        <f t="shared" si="57"/>
        <v>0</v>
      </c>
      <c r="S93" s="35"/>
      <c r="T93" s="35">
        <f t="shared" si="58"/>
        <v>0</v>
      </c>
      <c r="U93" s="35">
        <v>1</v>
      </c>
      <c r="V93" s="35">
        <f t="shared" si="59"/>
        <v>0</v>
      </c>
      <c r="W93" s="35"/>
      <c r="X93" s="35">
        <f t="shared" si="60"/>
        <v>855.53</v>
      </c>
      <c r="Y93" s="35">
        <f t="shared" si="61"/>
        <v>855.53</v>
      </c>
      <c r="Z93" s="35">
        <v>1</v>
      </c>
      <c r="AA93" s="35">
        <f t="shared" si="62"/>
        <v>855.53</v>
      </c>
      <c r="AB93" s="35">
        <f t="shared" si="63"/>
        <v>855.53</v>
      </c>
      <c r="AC93" s="35">
        <f t="shared" si="64"/>
        <v>0</v>
      </c>
      <c r="AD93" s="11">
        <f t="shared" si="65"/>
        <v>1990.9166666666667</v>
      </c>
      <c r="AE93" s="11">
        <f t="shared" si="66"/>
        <v>2017.6666666666667</v>
      </c>
      <c r="AF93" s="11">
        <f t="shared" si="67"/>
        <v>1995.9166666666667</v>
      </c>
      <c r="AG93" s="11">
        <f t="shared" si="68"/>
        <v>2016.6666666666667</v>
      </c>
      <c r="AH93" s="11">
        <f t="shared" si="69"/>
        <v>-8.3333333333333329E-2</v>
      </c>
    </row>
    <row r="94" spans="2:34">
      <c r="B94" s="7"/>
      <c r="C94" s="7">
        <v>1</v>
      </c>
      <c r="D94" s="7" t="str">
        <f>D93</f>
        <v>Containers 1</v>
      </c>
      <c r="E94" s="15">
        <v>1991</v>
      </c>
      <c r="F94" s="7">
        <v>2</v>
      </c>
      <c r="G94" s="56">
        <v>0</v>
      </c>
      <c r="H94" s="56"/>
      <c r="I94" s="15" t="s">
        <v>103</v>
      </c>
      <c r="J94" s="15">
        <v>10</v>
      </c>
      <c r="K94" s="9">
        <f t="shared" si="54"/>
        <v>2001</v>
      </c>
      <c r="L94" s="57"/>
      <c r="M94" s="7"/>
      <c r="N94" s="34">
        <v>4521.01</v>
      </c>
      <c r="O94" s="44"/>
      <c r="P94" s="35">
        <f t="shared" si="55"/>
        <v>4521.01</v>
      </c>
      <c r="Q94" s="35">
        <f t="shared" si="56"/>
        <v>37.675083333333333</v>
      </c>
      <c r="R94" s="35">
        <f t="shared" si="57"/>
        <v>0</v>
      </c>
      <c r="S94" s="35"/>
      <c r="T94" s="35">
        <f t="shared" si="58"/>
        <v>0</v>
      </c>
      <c r="U94" s="35">
        <v>1</v>
      </c>
      <c r="V94" s="35">
        <f t="shared" si="59"/>
        <v>0</v>
      </c>
      <c r="W94" s="35"/>
      <c r="X94" s="35">
        <f t="shared" si="60"/>
        <v>4521.01</v>
      </c>
      <c r="Y94" s="35">
        <f t="shared" si="61"/>
        <v>4521.01</v>
      </c>
      <c r="Z94" s="35">
        <v>1</v>
      </c>
      <c r="AA94" s="35">
        <f t="shared" si="62"/>
        <v>4521.01</v>
      </c>
      <c r="AB94" s="35">
        <f t="shared" si="63"/>
        <v>4521.01</v>
      </c>
      <c r="AC94" s="35">
        <f t="shared" si="64"/>
        <v>0</v>
      </c>
      <c r="AD94" s="11">
        <f t="shared" si="65"/>
        <v>1991.0833333333333</v>
      </c>
      <c r="AE94" s="11">
        <f t="shared" si="66"/>
        <v>2017.6666666666667</v>
      </c>
      <c r="AF94" s="11">
        <f t="shared" si="67"/>
        <v>2001.0833333333333</v>
      </c>
      <c r="AG94" s="11">
        <f t="shared" si="68"/>
        <v>2016.6666666666667</v>
      </c>
      <c r="AH94" s="11">
        <f t="shared" si="69"/>
        <v>-8.3333333333333329E-2</v>
      </c>
    </row>
    <row r="95" spans="2:34">
      <c r="B95" s="7"/>
      <c r="C95" s="7">
        <v>1</v>
      </c>
      <c r="D95" s="7" t="str">
        <f>D93</f>
        <v>Containers 1</v>
      </c>
      <c r="E95" s="15">
        <v>1991</v>
      </c>
      <c r="F95" s="7">
        <v>2</v>
      </c>
      <c r="G95" s="56">
        <v>0</v>
      </c>
      <c r="H95" s="56"/>
      <c r="I95" s="15" t="s">
        <v>103</v>
      </c>
      <c r="J95" s="15">
        <v>5</v>
      </c>
      <c r="K95" s="9">
        <f t="shared" si="54"/>
        <v>1996</v>
      </c>
      <c r="L95" s="57"/>
      <c r="M95" s="7"/>
      <c r="N95" s="34">
        <v>295.64999999999998</v>
      </c>
      <c r="O95" s="44"/>
      <c r="P95" s="35">
        <f t="shared" si="55"/>
        <v>295.64999999999998</v>
      </c>
      <c r="Q95" s="35">
        <f t="shared" si="56"/>
        <v>4.9274999999999993</v>
      </c>
      <c r="R95" s="35">
        <f t="shared" si="57"/>
        <v>0</v>
      </c>
      <c r="S95" s="35"/>
      <c r="T95" s="35">
        <f t="shared" si="58"/>
        <v>0</v>
      </c>
      <c r="U95" s="35">
        <v>1</v>
      </c>
      <c r="V95" s="35">
        <f t="shared" si="59"/>
        <v>0</v>
      </c>
      <c r="W95" s="35"/>
      <c r="X95" s="35">
        <f t="shared" si="60"/>
        <v>295.64999999999998</v>
      </c>
      <c r="Y95" s="35">
        <f t="shared" si="61"/>
        <v>295.64999999999998</v>
      </c>
      <c r="Z95" s="35">
        <v>1</v>
      </c>
      <c r="AA95" s="35">
        <f t="shared" si="62"/>
        <v>295.64999999999998</v>
      </c>
      <c r="AB95" s="35">
        <f t="shared" si="63"/>
        <v>295.64999999999998</v>
      </c>
      <c r="AC95" s="35">
        <f t="shared" si="64"/>
        <v>0</v>
      </c>
      <c r="AD95" s="11">
        <f t="shared" si="65"/>
        <v>1991.0833333333333</v>
      </c>
      <c r="AE95" s="11">
        <f t="shared" si="66"/>
        <v>2017.6666666666667</v>
      </c>
      <c r="AF95" s="11">
        <f t="shared" si="67"/>
        <v>1996.0833333333333</v>
      </c>
      <c r="AG95" s="11">
        <f t="shared" si="68"/>
        <v>2016.6666666666667</v>
      </c>
      <c r="AH95" s="11">
        <f t="shared" si="69"/>
        <v>-8.3333333333333329E-2</v>
      </c>
    </row>
    <row r="96" spans="2:34">
      <c r="B96" s="7"/>
      <c r="C96" s="7">
        <v>2</v>
      </c>
      <c r="D96" s="32" t="s">
        <v>158</v>
      </c>
      <c r="E96" s="15">
        <v>1991</v>
      </c>
      <c r="F96" s="7">
        <v>4</v>
      </c>
      <c r="G96" s="56">
        <v>0</v>
      </c>
      <c r="H96" s="56"/>
      <c r="I96" s="15" t="s">
        <v>103</v>
      </c>
      <c r="J96" s="15">
        <v>5</v>
      </c>
      <c r="K96" s="9">
        <f t="shared" si="54"/>
        <v>1996</v>
      </c>
      <c r="L96" s="57"/>
      <c r="M96" s="7"/>
      <c r="N96" s="34">
        <v>554.61</v>
      </c>
      <c r="O96" s="44"/>
      <c r="P96" s="35">
        <f t="shared" si="55"/>
        <v>554.61</v>
      </c>
      <c r="Q96" s="35">
        <f t="shared" si="56"/>
        <v>9.2434999999999992</v>
      </c>
      <c r="R96" s="35">
        <f t="shared" si="57"/>
        <v>0</v>
      </c>
      <c r="S96" s="35"/>
      <c r="T96" s="35">
        <f t="shared" si="58"/>
        <v>0</v>
      </c>
      <c r="U96" s="35">
        <v>1</v>
      </c>
      <c r="V96" s="35">
        <f t="shared" si="59"/>
        <v>0</v>
      </c>
      <c r="W96" s="35"/>
      <c r="X96" s="35">
        <f t="shared" si="60"/>
        <v>554.61</v>
      </c>
      <c r="Y96" s="35">
        <f t="shared" si="61"/>
        <v>554.61</v>
      </c>
      <c r="Z96" s="35">
        <v>1</v>
      </c>
      <c r="AA96" s="35">
        <f t="shared" si="62"/>
        <v>554.61</v>
      </c>
      <c r="AB96" s="35">
        <f t="shared" si="63"/>
        <v>554.61</v>
      </c>
      <c r="AC96" s="35">
        <f t="shared" si="64"/>
        <v>0</v>
      </c>
      <c r="AD96" s="11">
        <f t="shared" si="65"/>
        <v>1991.25</v>
      </c>
      <c r="AE96" s="11">
        <f t="shared" si="66"/>
        <v>2017.6666666666667</v>
      </c>
      <c r="AF96" s="11">
        <f t="shared" si="67"/>
        <v>1996.25</v>
      </c>
      <c r="AG96" s="11">
        <f t="shared" si="68"/>
        <v>2016.6666666666667</v>
      </c>
      <c r="AH96" s="11">
        <f t="shared" si="69"/>
        <v>-8.3333333333333329E-2</v>
      </c>
    </row>
    <row r="97" spans="2:34">
      <c r="B97" s="7"/>
      <c r="C97" s="7">
        <v>1</v>
      </c>
      <c r="D97" s="7" t="str">
        <f>D95</f>
        <v>Containers 1</v>
      </c>
      <c r="E97" s="15">
        <v>1991</v>
      </c>
      <c r="F97" s="7">
        <v>5</v>
      </c>
      <c r="G97" s="56">
        <v>0</v>
      </c>
      <c r="H97" s="56"/>
      <c r="I97" s="15" t="s">
        <v>103</v>
      </c>
      <c r="J97" s="15">
        <v>5</v>
      </c>
      <c r="K97" s="9">
        <f t="shared" si="54"/>
        <v>1996</v>
      </c>
      <c r="L97" s="57"/>
      <c r="M97" s="7"/>
      <c r="N97" s="34">
        <v>622.04999999999995</v>
      </c>
      <c r="O97" s="44"/>
      <c r="P97" s="35">
        <f t="shared" si="55"/>
        <v>622.04999999999995</v>
      </c>
      <c r="Q97" s="35">
        <f t="shared" si="56"/>
        <v>10.3675</v>
      </c>
      <c r="R97" s="35">
        <f t="shared" si="57"/>
        <v>0</v>
      </c>
      <c r="S97" s="35"/>
      <c r="T97" s="35">
        <f t="shared" si="58"/>
        <v>0</v>
      </c>
      <c r="U97" s="35">
        <v>1</v>
      </c>
      <c r="V97" s="35">
        <f t="shared" si="59"/>
        <v>0</v>
      </c>
      <c r="W97" s="35"/>
      <c r="X97" s="35">
        <f t="shared" si="60"/>
        <v>622.04999999999995</v>
      </c>
      <c r="Y97" s="35">
        <f t="shared" si="61"/>
        <v>622.04999999999995</v>
      </c>
      <c r="Z97" s="35">
        <v>1</v>
      </c>
      <c r="AA97" s="35">
        <f t="shared" si="62"/>
        <v>622.04999999999995</v>
      </c>
      <c r="AB97" s="35">
        <f t="shared" si="63"/>
        <v>622.04999999999995</v>
      </c>
      <c r="AC97" s="35">
        <f t="shared" si="64"/>
        <v>0</v>
      </c>
      <c r="AD97" s="11">
        <f t="shared" si="65"/>
        <v>1991.3333333333333</v>
      </c>
      <c r="AE97" s="11">
        <f t="shared" si="66"/>
        <v>2017.6666666666667</v>
      </c>
      <c r="AF97" s="11">
        <f t="shared" si="67"/>
        <v>1996.3333333333333</v>
      </c>
      <c r="AG97" s="11">
        <f t="shared" si="68"/>
        <v>2016.6666666666667</v>
      </c>
      <c r="AH97" s="11">
        <f t="shared" si="69"/>
        <v>-8.3333333333333329E-2</v>
      </c>
    </row>
    <row r="98" spans="2:34">
      <c r="B98" s="7"/>
      <c r="D98" s="32" t="s">
        <v>164</v>
      </c>
      <c r="E98" s="15">
        <v>1991</v>
      </c>
      <c r="F98" s="7">
        <v>8</v>
      </c>
      <c r="G98" s="56">
        <v>0</v>
      </c>
      <c r="H98" s="56"/>
      <c r="I98" s="15" t="s">
        <v>103</v>
      </c>
      <c r="J98" s="15">
        <v>5</v>
      </c>
      <c r="K98" s="9">
        <f t="shared" si="54"/>
        <v>1996</v>
      </c>
      <c r="L98" s="57"/>
      <c r="M98" s="7"/>
      <c r="N98" s="34">
        <v>464.19</v>
      </c>
      <c r="O98" s="44"/>
      <c r="P98" s="35">
        <f t="shared" si="55"/>
        <v>464.19</v>
      </c>
      <c r="Q98" s="35">
        <f t="shared" si="56"/>
        <v>7.7364999999999995</v>
      </c>
      <c r="R98" s="35">
        <f t="shared" si="57"/>
        <v>0</v>
      </c>
      <c r="S98" s="35"/>
      <c r="T98" s="35">
        <f t="shared" si="58"/>
        <v>0</v>
      </c>
      <c r="U98" s="35">
        <v>1</v>
      </c>
      <c r="V98" s="35">
        <f t="shared" si="59"/>
        <v>0</v>
      </c>
      <c r="W98" s="35"/>
      <c r="X98" s="35">
        <f t="shared" si="60"/>
        <v>464.19</v>
      </c>
      <c r="Y98" s="35">
        <f t="shared" si="61"/>
        <v>464.19</v>
      </c>
      <c r="Z98" s="35">
        <v>1</v>
      </c>
      <c r="AA98" s="35">
        <f t="shared" si="62"/>
        <v>464.19</v>
      </c>
      <c r="AB98" s="35">
        <f t="shared" si="63"/>
        <v>464.19</v>
      </c>
      <c r="AC98" s="35">
        <f t="shared" si="64"/>
        <v>0</v>
      </c>
      <c r="AD98" s="11">
        <f t="shared" si="65"/>
        <v>1991.5833333333333</v>
      </c>
      <c r="AE98" s="11">
        <f t="shared" si="66"/>
        <v>2017.6666666666667</v>
      </c>
      <c r="AF98" s="11">
        <f t="shared" si="67"/>
        <v>1996.5833333333333</v>
      </c>
      <c r="AG98" s="11">
        <f t="shared" si="68"/>
        <v>2016.6666666666667</v>
      </c>
      <c r="AH98" s="11">
        <f t="shared" si="69"/>
        <v>-8.3333333333333329E-2</v>
      </c>
    </row>
    <row r="99" spans="2:34">
      <c r="B99" s="7"/>
      <c r="C99" s="7">
        <v>2</v>
      </c>
      <c r="D99" s="7" t="str">
        <f>D96</f>
        <v>Containers 2</v>
      </c>
      <c r="E99" s="15">
        <v>1991</v>
      </c>
      <c r="F99" s="7">
        <v>9</v>
      </c>
      <c r="G99" s="56">
        <v>0</v>
      </c>
      <c r="H99" s="56"/>
      <c r="I99" s="15" t="s">
        <v>103</v>
      </c>
      <c r="J99" s="15">
        <v>5</v>
      </c>
      <c r="K99" s="9">
        <f t="shared" si="54"/>
        <v>1996</v>
      </c>
      <c r="L99" s="57"/>
      <c r="M99" s="7"/>
      <c r="N99" s="34">
        <v>3608.18</v>
      </c>
      <c r="O99" s="44"/>
      <c r="P99" s="35">
        <f t="shared" si="55"/>
        <v>3608.18</v>
      </c>
      <c r="Q99" s="35">
        <f t="shared" si="56"/>
        <v>60.136333333333333</v>
      </c>
      <c r="R99" s="35">
        <f t="shared" si="57"/>
        <v>0</v>
      </c>
      <c r="S99" s="35"/>
      <c r="T99" s="35">
        <f t="shared" si="58"/>
        <v>0</v>
      </c>
      <c r="U99" s="35">
        <v>1</v>
      </c>
      <c r="V99" s="35">
        <f t="shared" si="59"/>
        <v>0</v>
      </c>
      <c r="W99" s="35"/>
      <c r="X99" s="35">
        <f t="shared" si="60"/>
        <v>3608.18</v>
      </c>
      <c r="Y99" s="35">
        <f t="shared" si="61"/>
        <v>3608.18</v>
      </c>
      <c r="Z99" s="35">
        <v>1</v>
      </c>
      <c r="AA99" s="35">
        <f t="shared" si="62"/>
        <v>3608.18</v>
      </c>
      <c r="AB99" s="35">
        <f t="shared" si="63"/>
        <v>3608.18</v>
      </c>
      <c r="AC99" s="35">
        <f t="shared" si="64"/>
        <v>0</v>
      </c>
      <c r="AD99" s="11">
        <f t="shared" si="65"/>
        <v>1991.6666666666667</v>
      </c>
      <c r="AE99" s="11">
        <f t="shared" si="66"/>
        <v>2017.6666666666667</v>
      </c>
      <c r="AF99" s="11">
        <f t="shared" si="67"/>
        <v>1996.6666666666667</v>
      </c>
      <c r="AG99" s="11">
        <f t="shared" si="68"/>
        <v>2016.6666666666667</v>
      </c>
      <c r="AH99" s="11">
        <f t="shared" si="69"/>
        <v>-8.3333333333333329E-2</v>
      </c>
    </row>
    <row r="100" spans="2:34">
      <c r="B100" s="7"/>
      <c r="D100" s="32" t="s">
        <v>165</v>
      </c>
      <c r="E100" s="15">
        <v>1991</v>
      </c>
      <c r="F100" s="7">
        <v>10</v>
      </c>
      <c r="G100" s="56">
        <v>0</v>
      </c>
      <c r="H100" s="56"/>
      <c r="I100" s="15" t="s">
        <v>103</v>
      </c>
      <c r="J100" s="15">
        <v>5</v>
      </c>
      <c r="K100" s="9">
        <f t="shared" si="54"/>
        <v>1996</v>
      </c>
      <c r="L100" s="57"/>
      <c r="M100" s="7"/>
      <c r="N100" s="34">
        <v>439.16</v>
      </c>
      <c r="O100" s="44"/>
      <c r="P100" s="35">
        <f t="shared" si="55"/>
        <v>439.16</v>
      </c>
      <c r="Q100" s="35">
        <f t="shared" si="56"/>
        <v>7.3193333333333337</v>
      </c>
      <c r="R100" s="35">
        <f t="shared" si="57"/>
        <v>0</v>
      </c>
      <c r="S100" s="35"/>
      <c r="T100" s="35">
        <f t="shared" si="58"/>
        <v>0</v>
      </c>
      <c r="U100" s="35">
        <v>1</v>
      </c>
      <c r="V100" s="35">
        <f t="shared" si="59"/>
        <v>0</v>
      </c>
      <c r="W100" s="35"/>
      <c r="X100" s="35">
        <f t="shared" si="60"/>
        <v>439.16</v>
      </c>
      <c r="Y100" s="35">
        <f t="shared" si="61"/>
        <v>439.16</v>
      </c>
      <c r="Z100" s="35">
        <v>1</v>
      </c>
      <c r="AA100" s="35">
        <f t="shared" si="62"/>
        <v>439.16</v>
      </c>
      <c r="AB100" s="35">
        <f t="shared" si="63"/>
        <v>439.16</v>
      </c>
      <c r="AC100" s="35">
        <f t="shared" si="64"/>
        <v>0</v>
      </c>
      <c r="AD100" s="11">
        <f t="shared" si="65"/>
        <v>1991.75</v>
      </c>
      <c r="AE100" s="11">
        <f t="shared" si="66"/>
        <v>2017.6666666666667</v>
      </c>
      <c r="AF100" s="11">
        <f t="shared" si="67"/>
        <v>1996.75</v>
      </c>
      <c r="AG100" s="11">
        <f t="shared" si="68"/>
        <v>2016.6666666666667</v>
      </c>
      <c r="AH100" s="11">
        <f t="shared" si="69"/>
        <v>-8.3333333333333329E-2</v>
      </c>
    </row>
    <row r="101" spans="2:34">
      <c r="B101" s="7"/>
      <c r="C101" s="7">
        <v>1</v>
      </c>
      <c r="D101" s="32" t="s">
        <v>166</v>
      </c>
      <c r="E101" s="15">
        <v>1992</v>
      </c>
      <c r="F101" s="7">
        <v>2</v>
      </c>
      <c r="G101" s="56">
        <v>0</v>
      </c>
      <c r="H101" s="56"/>
      <c r="I101" s="15" t="s">
        <v>103</v>
      </c>
      <c r="J101" s="15">
        <v>10</v>
      </c>
      <c r="K101" s="9">
        <f t="shared" si="54"/>
        <v>2002</v>
      </c>
      <c r="L101" s="57"/>
      <c r="M101" s="7"/>
      <c r="N101" s="34">
        <v>969</v>
      </c>
      <c r="O101" s="44"/>
      <c r="P101" s="35">
        <f t="shared" si="55"/>
        <v>969</v>
      </c>
      <c r="Q101" s="35">
        <f t="shared" si="56"/>
        <v>8.0750000000000011</v>
      </c>
      <c r="R101" s="35">
        <f t="shared" si="57"/>
        <v>0</v>
      </c>
      <c r="S101" s="35"/>
      <c r="T101" s="35">
        <f t="shared" si="58"/>
        <v>0</v>
      </c>
      <c r="U101" s="35">
        <v>1</v>
      </c>
      <c r="V101" s="35">
        <f t="shared" si="59"/>
        <v>0</v>
      </c>
      <c r="W101" s="35"/>
      <c r="X101" s="35">
        <f t="shared" si="60"/>
        <v>969</v>
      </c>
      <c r="Y101" s="35">
        <f t="shared" si="61"/>
        <v>969</v>
      </c>
      <c r="Z101" s="35">
        <v>1</v>
      </c>
      <c r="AA101" s="35">
        <f t="shared" si="62"/>
        <v>969</v>
      </c>
      <c r="AB101" s="35">
        <f t="shared" si="63"/>
        <v>969</v>
      </c>
      <c r="AC101" s="35">
        <f t="shared" si="64"/>
        <v>0</v>
      </c>
      <c r="AD101" s="11">
        <f t="shared" si="65"/>
        <v>1992.0833333333333</v>
      </c>
      <c r="AE101" s="11">
        <f t="shared" si="66"/>
        <v>2017.6666666666667</v>
      </c>
      <c r="AF101" s="11">
        <f t="shared" si="67"/>
        <v>2002.0833333333333</v>
      </c>
      <c r="AG101" s="11">
        <f t="shared" si="68"/>
        <v>2016.6666666666667</v>
      </c>
      <c r="AH101" s="11">
        <f t="shared" si="69"/>
        <v>-8.3333333333333329E-2</v>
      </c>
    </row>
    <row r="102" spans="2:34">
      <c r="B102" s="7"/>
      <c r="C102" s="7">
        <v>1</v>
      </c>
      <c r="D102" s="7" t="str">
        <f>D101</f>
        <v>6 Yd. Containers 1</v>
      </c>
      <c r="E102" s="15">
        <v>1992</v>
      </c>
      <c r="F102" s="7">
        <v>2</v>
      </c>
      <c r="G102" s="56">
        <v>0</v>
      </c>
      <c r="H102" s="56"/>
      <c r="I102" s="15" t="s">
        <v>103</v>
      </c>
      <c r="J102" s="15">
        <v>10</v>
      </c>
      <c r="K102" s="9">
        <f t="shared" si="54"/>
        <v>2002</v>
      </c>
      <c r="L102" s="57"/>
      <c r="M102" s="7"/>
      <c r="N102" s="34">
        <v>969</v>
      </c>
      <c r="O102" s="44"/>
      <c r="P102" s="35">
        <f t="shared" si="55"/>
        <v>969</v>
      </c>
      <c r="Q102" s="35">
        <f t="shared" si="56"/>
        <v>8.0750000000000011</v>
      </c>
      <c r="R102" s="35">
        <f t="shared" si="57"/>
        <v>0</v>
      </c>
      <c r="S102" s="35"/>
      <c r="T102" s="35">
        <f t="shared" si="58"/>
        <v>0</v>
      </c>
      <c r="U102" s="35">
        <v>1</v>
      </c>
      <c r="V102" s="35">
        <f t="shared" si="59"/>
        <v>0</v>
      </c>
      <c r="W102" s="35"/>
      <c r="X102" s="35">
        <f t="shared" si="60"/>
        <v>969</v>
      </c>
      <c r="Y102" s="35">
        <f t="shared" si="61"/>
        <v>969</v>
      </c>
      <c r="Z102" s="35">
        <v>1</v>
      </c>
      <c r="AA102" s="35">
        <f t="shared" si="62"/>
        <v>969</v>
      </c>
      <c r="AB102" s="35">
        <f t="shared" si="63"/>
        <v>969</v>
      </c>
      <c r="AC102" s="35">
        <f t="shared" si="64"/>
        <v>0</v>
      </c>
      <c r="AD102" s="11">
        <f t="shared" si="65"/>
        <v>1992.0833333333333</v>
      </c>
      <c r="AE102" s="11">
        <f t="shared" si="66"/>
        <v>2017.6666666666667</v>
      </c>
      <c r="AF102" s="11">
        <f t="shared" si="67"/>
        <v>2002.0833333333333</v>
      </c>
      <c r="AG102" s="11">
        <f t="shared" si="68"/>
        <v>2016.6666666666667</v>
      </c>
      <c r="AH102" s="11">
        <f t="shared" si="69"/>
        <v>-8.3333333333333329E-2</v>
      </c>
    </row>
    <row r="103" spans="2:34">
      <c r="B103" s="7"/>
      <c r="D103" s="32" t="s">
        <v>167</v>
      </c>
      <c r="E103" s="15">
        <v>1992</v>
      </c>
      <c r="F103" s="7">
        <v>4</v>
      </c>
      <c r="G103" s="56">
        <v>0</v>
      </c>
      <c r="H103" s="56"/>
      <c r="I103" s="15" t="s">
        <v>103</v>
      </c>
      <c r="J103" s="15">
        <v>5</v>
      </c>
      <c r="K103" s="9">
        <f t="shared" si="54"/>
        <v>1997</v>
      </c>
      <c r="L103" s="57"/>
      <c r="M103" s="7"/>
      <c r="N103" s="34">
        <v>75.8</v>
      </c>
      <c r="O103" s="44"/>
      <c r="P103" s="35">
        <f t="shared" si="55"/>
        <v>75.8</v>
      </c>
      <c r="Q103" s="35">
        <f t="shared" si="56"/>
        <v>1.2633333333333334</v>
      </c>
      <c r="R103" s="35">
        <f t="shared" si="57"/>
        <v>0</v>
      </c>
      <c r="S103" s="35"/>
      <c r="T103" s="35">
        <f t="shared" si="58"/>
        <v>0</v>
      </c>
      <c r="U103" s="35">
        <v>1</v>
      </c>
      <c r="V103" s="35">
        <f t="shared" si="59"/>
        <v>0</v>
      </c>
      <c r="W103" s="35"/>
      <c r="X103" s="35">
        <f t="shared" si="60"/>
        <v>75.8</v>
      </c>
      <c r="Y103" s="35">
        <f t="shared" si="61"/>
        <v>75.8</v>
      </c>
      <c r="Z103" s="35">
        <v>1</v>
      </c>
      <c r="AA103" s="35">
        <f t="shared" si="62"/>
        <v>75.8</v>
      </c>
      <c r="AB103" s="35">
        <f t="shared" si="63"/>
        <v>75.8</v>
      </c>
      <c r="AC103" s="35">
        <f t="shared" si="64"/>
        <v>0</v>
      </c>
      <c r="AD103" s="11">
        <f t="shared" si="65"/>
        <v>1992.25</v>
      </c>
      <c r="AE103" s="11">
        <f t="shared" si="66"/>
        <v>2017.6666666666667</v>
      </c>
      <c r="AF103" s="11">
        <f t="shared" si="67"/>
        <v>1997.25</v>
      </c>
      <c r="AG103" s="11">
        <f t="shared" si="68"/>
        <v>2016.6666666666667</v>
      </c>
      <c r="AH103" s="11">
        <f t="shared" si="69"/>
        <v>-8.3333333333333329E-2</v>
      </c>
    </row>
    <row r="104" spans="2:34">
      <c r="B104" s="7"/>
      <c r="C104" s="7">
        <v>1</v>
      </c>
      <c r="D104" s="7" t="str">
        <f>D102</f>
        <v>6 Yd. Containers 1</v>
      </c>
      <c r="E104" s="15">
        <v>1992</v>
      </c>
      <c r="F104" s="7">
        <v>7</v>
      </c>
      <c r="G104" s="56">
        <v>0</v>
      </c>
      <c r="H104" s="56"/>
      <c r="I104" s="15" t="s">
        <v>103</v>
      </c>
      <c r="J104" s="15">
        <v>10</v>
      </c>
      <c r="K104" s="9">
        <f t="shared" si="54"/>
        <v>2002</v>
      </c>
      <c r="L104" s="57"/>
      <c r="M104" s="7"/>
      <c r="N104" s="34">
        <v>968.76</v>
      </c>
      <c r="O104" s="44"/>
      <c r="P104" s="35">
        <f t="shared" si="55"/>
        <v>968.76</v>
      </c>
      <c r="Q104" s="35">
        <f t="shared" si="56"/>
        <v>8.0730000000000004</v>
      </c>
      <c r="R104" s="35">
        <f t="shared" si="57"/>
        <v>0</v>
      </c>
      <c r="S104" s="35"/>
      <c r="T104" s="35">
        <f t="shared" si="58"/>
        <v>0</v>
      </c>
      <c r="U104" s="35">
        <v>1</v>
      </c>
      <c r="V104" s="35">
        <f t="shared" si="59"/>
        <v>0</v>
      </c>
      <c r="W104" s="35"/>
      <c r="X104" s="35">
        <f t="shared" si="60"/>
        <v>968.76</v>
      </c>
      <c r="Y104" s="35">
        <f t="shared" si="61"/>
        <v>968.76</v>
      </c>
      <c r="Z104" s="35">
        <v>1</v>
      </c>
      <c r="AA104" s="35">
        <f t="shared" si="62"/>
        <v>968.76</v>
      </c>
      <c r="AB104" s="35">
        <f t="shared" si="63"/>
        <v>968.76</v>
      </c>
      <c r="AC104" s="35">
        <f t="shared" si="64"/>
        <v>0</v>
      </c>
      <c r="AD104" s="11">
        <f t="shared" si="65"/>
        <v>1992.5</v>
      </c>
      <c r="AE104" s="11">
        <f t="shared" si="66"/>
        <v>2017.6666666666667</v>
      </c>
      <c r="AF104" s="11">
        <f t="shared" si="67"/>
        <v>2002.5</v>
      </c>
      <c r="AG104" s="11">
        <f t="shared" si="68"/>
        <v>2016.6666666666667</v>
      </c>
      <c r="AH104" s="11">
        <f t="shared" si="69"/>
        <v>-8.3333333333333329E-2</v>
      </c>
    </row>
    <row r="105" spans="2:34">
      <c r="B105" s="7"/>
      <c r="C105" s="7">
        <v>1</v>
      </c>
      <c r="D105" s="7" t="str">
        <f>D104</f>
        <v>6 Yd. Containers 1</v>
      </c>
      <c r="E105" s="15">
        <v>1992</v>
      </c>
      <c r="F105" s="7">
        <v>9</v>
      </c>
      <c r="G105" s="56">
        <v>0</v>
      </c>
      <c r="H105" s="56"/>
      <c r="I105" s="15" t="s">
        <v>103</v>
      </c>
      <c r="J105" s="15">
        <v>10</v>
      </c>
      <c r="K105" s="9">
        <f t="shared" si="54"/>
        <v>2002</v>
      </c>
      <c r="L105" s="57"/>
      <c r="M105" s="7"/>
      <c r="N105" s="34">
        <v>1050</v>
      </c>
      <c r="O105" s="44"/>
      <c r="P105" s="35">
        <f t="shared" si="55"/>
        <v>1050</v>
      </c>
      <c r="Q105" s="35">
        <f t="shared" si="56"/>
        <v>8.75</v>
      </c>
      <c r="R105" s="35">
        <f t="shared" si="57"/>
        <v>0</v>
      </c>
      <c r="S105" s="35"/>
      <c r="T105" s="35">
        <f t="shared" si="58"/>
        <v>0</v>
      </c>
      <c r="U105" s="35">
        <v>1</v>
      </c>
      <c r="V105" s="35">
        <f t="shared" si="59"/>
        <v>0</v>
      </c>
      <c r="W105" s="35"/>
      <c r="X105" s="35">
        <f t="shared" si="60"/>
        <v>1050</v>
      </c>
      <c r="Y105" s="35">
        <f t="shared" si="61"/>
        <v>1050</v>
      </c>
      <c r="Z105" s="35">
        <v>1</v>
      </c>
      <c r="AA105" s="35">
        <f t="shared" si="62"/>
        <v>1050</v>
      </c>
      <c r="AB105" s="35">
        <f t="shared" si="63"/>
        <v>1050</v>
      </c>
      <c r="AC105" s="35">
        <f t="shared" si="64"/>
        <v>0</v>
      </c>
      <c r="AD105" s="11">
        <f t="shared" si="65"/>
        <v>1992.6666666666667</v>
      </c>
      <c r="AE105" s="11">
        <f t="shared" si="66"/>
        <v>2017.6666666666667</v>
      </c>
      <c r="AF105" s="11">
        <f t="shared" si="67"/>
        <v>2002.6666666666667</v>
      </c>
      <c r="AG105" s="11">
        <f t="shared" si="68"/>
        <v>2016.6666666666667</v>
      </c>
      <c r="AH105" s="11">
        <f t="shared" si="69"/>
        <v>-8.3333333333333329E-2</v>
      </c>
    </row>
    <row r="106" spans="2:34">
      <c r="B106" s="7"/>
      <c r="C106" s="7">
        <v>1</v>
      </c>
      <c r="D106" s="7" t="str">
        <f>D105</f>
        <v>6 Yd. Containers 1</v>
      </c>
      <c r="E106" s="15">
        <v>1992</v>
      </c>
      <c r="F106" s="7">
        <v>11</v>
      </c>
      <c r="G106" s="56">
        <v>0</v>
      </c>
      <c r="H106" s="56"/>
      <c r="I106" s="15" t="s">
        <v>103</v>
      </c>
      <c r="J106" s="15">
        <v>10</v>
      </c>
      <c r="K106" s="9">
        <f t="shared" si="54"/>
        <v>2002</v>
      </c>
      <c r="L106" s="57"/>
      <c r="M106" s="7"/>
      <c r="N106" s="34">
        <v>1025</v>
      </c>
      <c r="O106" s="44"/>
      <c r="P106" s="35">
        <f t="shared" si="55"/>
        <v>1025</v>
      </c>
      <c r="Q106" s="35">
        <f t="shared" si="56"/>
        <v>8.5416666666666661</v>
      </c>
      <c r="R106" s="35">
        <f t="shared" si="57"/>
        <v>0</v>
      </c>
      <c r="S106" s="35"/>
      <c r="T106" s="35">
        <f t="shared" si="58"/>
        <v>0</v>
      </c>
      <c r="U106" s="35">
        <v>1</v>
      </c>
      <c r="V106" s="35">
        <f t="shared" si="59"/>
        <v>0</v>
      </c>
      <c r="W106" s="35"/>
      <c r="X106" s="35">
        <f t="shared" si="60"/>
        <v>1025</v>
      </c>
      <c r="Y106" s="35">
        <f t="shared" si="61"/>
        <v>1025</v>
      </c>
      <c r="Z106" s="35">
        <v>1</v>
      </c>
      <c r="AA106" s="35">
        <f t="shared" si="62"/>
        <v>1025</v>
      </c>
      <c r="AB106" s="35">
        <f t="shared" si="63"/>
        <v>1025</v>
      </c>
      <c r="AC106" s="35">
        <f t="shared" si="64"/>
        <v>0</v>
      </c>
      <c r="AD106" s="11">
        <f t="shared" si="65"/>
        <v>1992.8333333333333</v>
      </c>
      <c r="AE106" s="11">
        <f t="shared" si="66"/>
        <v>2017.6666666666667</v>
      </c>
      <c r="AF106" s="11">
        <f t="shared" si="67"/>
        <v>2002.8333333333333</v>
      </c>
      <c r="AG106" s="11">
        <f t="shared" si="68"/>
        <v>2016.6666666666667</v>
      </c>
      <c r="AH106" s="11">
        <f t="shared" si="69"/>
        <v>-8.3333333333333329E-2</v>
      </c>
    </row>
    <row r="107" spans="2:34">
      <c r="B107" s="7"/>
      <c r="D107" s="32" t="s">
        <v>168</v>
      </c>
      <c r="E107" s="15">
        <v>1993</v>
      </c>
      <c r="F107" s="7">
        <v>2</v>
      </c>
      <c r="G107" s="56">
        <v>0</v>
      </c>
      <c r="H107" s="56"/>
      <c r="I107" s="15" t="s">
        <v>103</v>
      </c>
      <c r="J107" s="15">
        <v>10</v>
      </c>
      <c r="K107" s="9">
        <f t="shared" si="54"/>
        <v>2003</v>
      </c>
      <c r="L107" s="57"/>
      <c r="M107" s="7"/>
      <c r="N107" s="34">
        <v>577.79999999999995</v>
      </c>
      <c r="O107" s="44"/>
      <c r="P107" s="35">
        <f t="shared" si="55"/>
        <v>577.79999999999995</v>
      </c>
      <c r="Q107" s="35">
        <f t="shared" si="56"/>
        <v>4.8149999999999995</v>
      </c>
      <c r="R107" s="35">
        <f t="shared" si="57"/>
        <v>0</v>
      </c>
      <c r="S107" s="35"/>
      <c r="T107" s="35">
        <f t="shared" si="58"/>
        <v>0</v>
      </c>
      <c r="U107" s="35">
        <v>1</v>
      </c>
      <c r="V107" s="35">
        <f t="shared" si="59"/>
        <v>0</v>
      </c>
      <c r="W107" s="35"/>
      <c r="X107" s="35">
        <f t="shared" si="60"/>
        <v>577.79999999999995</v>
      </c>
      <c r="Y107" s="35">
        <f t="shared" si="61"/>
        <v>577.79999999999995</v>
      </c>
      <c r="Z107" s="35">
        <v>1</v>
      </c>
      <c r="AA107" s="35">
        <f t="shared" si="62"/>
        <v>577.79999999999995</v>
      </c>
      <c r="AB107" s="35">
        <f t="shared" si="63"/>
        <v>577.79999999999995</v>
      </c>
      <c r="AC107" s="35">
        <f t="shared" si="64"/>
        <v>0</v>
      </c>
      <c r="AD107" s="11">
        <f t="shared" si="65"/>
        <v>1993.0833333333333</v>
      </c>
      <c r="AE107" s="11">
        <f t="shared" si="66"/>
        <v>2017.6666666666667</v>
      </c>
      <c r="AF107" s="11">
        <f t="shared" si="67"/>
        <v>2003.0833333333333</v>
      </c>
      <c r="AG107" s="11">
        <f t="shared" si="68"/>
        <v>2016.6666666666667</v>
      </c>
      <c r="AH107" s="11">
        <f t="shared" si="69"/>
        <v>-8.3333333333333329E-2</v>
      </c>
    </row>
    <row r="108" spans="2:34">
      <c r="B108" s="7"/>
      <c r="C108" s="7">
        <v>1</v>
      </c>
      <c r="D108" s="32" t="s">
        <v>169</v>
      </c>
      <c r="E108" s="15">
        <v>1993</v>
      </c>
      <c r="F108" s="7">
        <v>4</v>
      </c>
      <c r="G108" s="56">
        <v>0</v>
      </c>
      <c r="H108" s="56"/>
      <c r="I108" s="15" t="s">
        <v>103</v>
      </c>
      <c r="J108" s="15">
        <v>10</v>
      </c>
      <c r="K108" s="9">
        <f t="shared" si="54"/>
        <v>2003</v>
      </c>
      <c r="L108" s="57"/>
      <c r="M108" s="7"/>
      <c r="N108" s="34">
        <v>720</v>
      </c>
      <c r="O108" s="44"/>
      <c r="P108" s="35">
        <f t="shared" si="55"/>
        <v>720</v>
      </c>
      <c r="Q108" s="35">
        <f t="shared" si="56"/>
        <v>6</v>
      </c>
      <c r="R108" s="35">
        <f t="shared" si="57"/>
        <v>0</v>
      </c>
      <c r="S108" s="35"/>
      <c r="T108" s="35">
        <f t="shared" si="58"/>
        <v>0</v>
      </c>
      <c r="U108" s="35">
        <v>1</v>
      </c>
      <c r="V108" s="35">
        <f t="shared" si="59"/>
        <v>0</v>
      </c>
      <c r="W108" s="35"/>
      <c r="X108" s="35">
        <f t="shared" si="60"/>
        <v>720</v>
      </c>
      <c r="Y108" s="35">
        <f t="shared" si="61"/>
        <v>720</v>
      </c>
      <c r="Z108" s="35">
        <v>1</v>
      </c>
      <c r="AA108" s="35">
        <f t="shared" si="62"/>
        <v>720</v>
      </c>
      <c r="AB108" s="35">
        <f t="shared" si="63"/>
        <v>720</v>
      </c>
      <c r="AC108" s="35">
        <f t="shared" si="64"/>
        <v>0</v>
      </c>
      <c r="AD108" s="11">
        <f t="shared" si="65"/>
        <v>1993.25</v>
      </c>
      <c r="AE108" s="11">
        <f t="shared" si="66"/>
        <v>2017.6666666666667</v>
      </c>
      <c r="AF108" s="11">
        <f t="shared" si="67"/>
        <v>2003.25</v>
      </c>
      <c r="AG108" s="11">
        <f t="shared" si="68"/>
        <v>2016.6666666666667</v>
      </c>
      <c r="AH108" s="11">
        <f t="shared" si="69"/>
        <v>-8.3333333333333329E-2</v>
      </c>
    </row>
    <row r="109" spans="2:34">
      <c r="B109" s="7"/>
      <c r="D109" s="32" t="s">
        <v>160</v>
      </c>
      <c r="E109" s="15">
        <v>1993</v>
      </c>
      <c r="F109" s="7">
        <v>4</v>
      </c>
      <c r="G109" s="56">
        <v>0</v>
      </c>
      <c r="H109" s="56"/>
      <c r="I109" s="15" t="s">
        <v>103</v>
      </c>
      <c r="J109" s="15">
        <v>10</v>
      </c>
      <c r="K109" s="9">
        <f t="shared" si="54"/>
        <v>2003</v>
      </c>
      <c r="L109" s="57"/>
      <c r="M109" s="7"/>
      <c r="N109" s="34">
        <v>6339.6</v>
      </c>
      <c r="O109" s="44"/>
      <c r="P109" s="35">
        <f t="shared" si="55"/>
        <v>6339.6</v>
      </c>
      <c r="Q109" s="35">
        <f t="shared" si="56"/>
        <v>52.830000000000005</v>
      </c>
      <c r="R109" s="35">
        <f t="shared" si="57"/>
        <v>0</v>
      </c>
      <c r="S109" s="35"/>
      <c r="T109" s="35">
        <f t="shared" si="58"/>
        <v>0</v>
      </c>
      <c r="U109" s="35">
        <v>1</v>
      </c>
      <c r="V109" s="35">
        <f t="shared" si="59"/>
        <v>0</v>
      </c>
      <c r="W109" s="35"/>
      <c r="X109" s="35">
        <f t="shared" si="60"/>
        <v>6339.6</v>
      </c>
      <c r="Y109" s="35">
        <f t="shared" si="61"/>
        <v>6339.6</v>
      </c>
      <c r="Z109" s="35">
        <v>1</v>
      </c>
      <c r="AA109" s="35">
        <f t="shared" si="62"/>
        <v>6339.6</v>
      </c>
      <c r="AB109" s="35">
        <f t="shared" si="63"/>
        <v>6339.6</v>
      </c>
      <c r="AC109" s="35">
        <f t="shared" si="64"/>
        <v>0</v>
      </c>
      <c r="AD109" s="11">
        <f t="shared" si="65"/>
        <v>1993.25</v>
      </c>
      <c r="AE109" s="11">
        <f t="shared" si="66"/>
        <v>2017.6666666666667</v>
      </c>
      <c r="AF109" s="11">
        <f t="shared" si="67"/>
        <v>2003.25</v>
      </c>
      <c r="AG109" s="11">
        <f t="shared" si="68"/>
        <v>2016.6666666666667</v>
      </c>
      <c r="AH109" s="11">
        <f t="shared" si="69"/>
        <v>-8.3333333333333329E-2</v>
      </c>
    </row>
    <row r="110" spans="2:34">
      <c r="B110" s="7"/>
      <c r="D110" s="32" t="s">
        <v>170</v>
      </c>
      <c r="E110" s="15">
        <v>1993</v>
      </c>
      <c r="F110" s="7">
        <v>4</v>
      </c>
      <c r="G110" s="56">
        <v>0</v>
      </c>
      <c r="H110" s="56"/>
      <c r="I110" s="15" t="s">
        <v>103</v>
      </c>
      <c r="J110" s="15">
        <v>10</v>
      </c>
      <c r="K110" s="9">
        <f t="shared" si="54"/>
        <v>2003</v>
      </c>
      <c r="L110" s="57"/>
      <c r="M110" s="7"/>
      <c r="N110" s="34">
        <v>388.8</v>
      </c>
      <c r="O110" s="44"/>
      <c r="P110" s="35">
        <f t="shared" si="55"/>
        <v>388.8</v>
      </c>
      <c r="Q110" s="35">
        <f t="shared" si="56"/>
        <v>3.24</v>
      </c>
      <c r="R110" s="35">
        <f t="shared" si="57"/>
        <v>0</v>
      </c>
      <c r="S110" s="35"/>
      <c r="T110" s="35">
        <f t="shared" si="58"/>
        <v>0</v>
      </c>
      <c r="U110" s="35">
        <v>1</v>
      </c>
      <c r="V110" s="35">
        <f t="shared" si="59"/>
        <v>0</v>
      </c>
      <c r="W110" s="35"/>
      <c r="X110" s="35">
        <f t="shared" si="60"/>
        <v>388.8</v>
      </c>
      <c r="Y110" s="35">
        <f t="shared" si="61"/>
        <v>388.8</v>
      </c>
      <c r="Z110" s="35">
        <v>1</v>
      </c>
      <c r="AA110" s="35">
        <f t="shared" si="62"/>
        <v>388.8</v>
      </c>
      <c r="AB110" s="35">
        <f t="shared" si="63"/>
        <v>388.8</v>
      </c>
      <c r="AC110" s="35">
        <f t="shared" si="64"/>
        <v>0</v>
      </c>
      <c r="AD110" s="11">
        <f t="shared" si="65"/>
        <v>1993.25</v>
      </c>
      <c r="AE110" s="11">
        <f t="shared" si="66"/>
        <v>2017.6666666666667</v>
      </c>
      <c r="AF110" s="11">
        <f t="shared" si="67"/>
        <v>2003.25</v>
      </c>
      <c r="AG110" s="11">
        <f t="shared" si="68"/>
        <v>2016.6666666666667</v>
      </c>
      <c r="AH110" s="11">
        <f t="shared" si="69"/>
        <v>-8.3333333333333329E-2</v>
      </c>
    </row>
    <row r="111" spans="2:34">
      <c r="B111" s="7"/>
      <c r="C111" s="7">
        <v>1</v>
      </c>
      <c r="D111" s="7" t="str">
        <f>D110</f>
        <v>Lids</v>
      </c>
      <c r="E111" s="15">
        <v>1993</v>
      </c>
      <c r="F111" s="7">
        <v>5</v>
      </c>
      <c r="G111" s="56">
        <v>0</v>
      </c>
      <c r="H111" s="56"/>
      <c r="I111" s="15" t="s">
        <v>103</v>
      </c>
      <c r="J111" s="15">
        <v>10</v>
      </c>
      <c r="K111" s="9">
        <f t="shared" si="54"/>
        <v>2003</v>
      </c>
      <c r="L111" s="57"/>
      <c r="M111" s="7"/>
      <c r="N111" s="34">
        <v>5373</v>
      </c>
      <c r="O111" s="44"/>
      <c r="P111" s="35">
        <f t="shared" si="55"/>
        <v>5373</v>
      </c>
      <c r="Q111" s="35">
        <f t="shared" si="56"/>
        <v>44.774999999999999</v>
      </c>
      <c r="R111" s="35">
        <f t="shared" si="57"/>
        <v>0</v>
      </c>
      <c r="S111" s="35"/>
      <c r="T111" s="35">
        <f t="shared" si="58"/>
        <v>0</v>
      </c>
      <c r="U111" s="35">
        <v>1</v>
      </c>
      <c r="V111" s="35">
        <f t="shared" si="59"/>
        <v>0</v>
      </c>
      <c r="W111" s="35"/>
      <c r="X111" s="35">
        <f t="shared" si="60"/>
        <v>5373</v>
      </c>
      <c r="Y111" s="35">
        <f t="shared" si="61"/>
        <v>5373</v>
      </c>
      <c r="Z111" s="35">
        <v>1</v>
      </c>
      <c r="AA111" s="35">
        <f t="shared" si="62"/>
        <v>5373</v>
      </c>
      <c r="AB111" s="35">
        <f t="shared" si="63"/>
        <v>5373</v>
      </c>
      <c r="AC111" s="35">
        <f t="shared" si="64"/>
        <v>0</v>
      </c>
      <c r="AD111" s="11">
        <f t="shared" si="65"/>
        <v>1993.3333333333333</v>
      </c>
      <c r="AE111" s="11">
        <f t="shared" si="66"/>
        <v>2017.6666666666667</v>
      </c>
      <c r="AF111" s="11">
        <f t="shared" si="67"/>
        <v>2003.3333333333333</v>
      </c>
      <c r="AG111" s="11">
        <f t="shared" si="68"/>
        <v>2016.6666666666667</v>
      </c>
      <c r="AH111" s="11">
        <f t="shared" si="69"/>
        <v>-8.3333333333333329E-2</v>
      </c>
    </row>
    <row r="112" spans="2:34">
      <c r="B112" s="7"/>
      <c r="C112" s="7">
        <v>1</v>
      </c>
      <c r="D112" s="7" t="str">
        <f>D111</f>
        <v>Lids</v>
      </c>
      <c r="E112" s="15">
        <v>1993</v>
      </c>
      <c r="F112" s="7">
        <v>8</v>
      </c>
      <c r="G112" s="56">
        <v>0</v>
      </c>
      <c r="H112" s="56"/>
      <c r="I112" s="15" t="s">
        <v>103</v>
      </c>
      <c r="J112" s="15">
        <v>10</v>
      </c>
      <c r="K112" s="9">
        <f t="shared" si="54"/>
        <v>2003</v>
      </c>
      <c r="L112" s="57"/>
      <c r="M112" s="7"/>
      <c r="N112" s="34">
        <v>3781.31</v>
      </c>
      <c r="O112" s="44"/>
      <c r="P112" s="35">
        <f t="shared" si="55"/>
        <v>3781.31</v>
      </c>
      <c r="Q112" s="35">
        <f t="shared" si="56"/>
        <v>31.510916666666663</v>
      </c>
      <c r="R112" s="35">
        <f t="shared" si="57"/>
        <v>0</v>
      </c>
      <c r="S112" s="35"/>
      <c r="T112" s="35">
        <f t="shared" si="58"/>
        <v>0</v>
      </c>
      <c r="U112" s="35">
        <v>1</v>
      </c>
      <c r="V112" s="35">
        <f t="shared" si="59"/>
        <v>0</v>
      </c>
      <c r="W112" s="35"/>
      <c r="X112" s="35">
        <f t="shared" si="60"/>
        <v>3781.31</v>
      </c>
      <c r="Y112" s="35">
        <f t="shared" si="61"/>
        <v>3781.31</v>
      </c>
      <c r="Z112" s="35">
        <v>1</v>
      </c>
      <c r="AA112" s="35">
        <f t="shared" si="62"/>
        <v>3781.31</v>
      </c>
      <c r="AB112" s="35">
        <f t="shared" si="63"/>
        <v>3781.31</v>
      </c>
      <c r="AC112" s="35">
        <f t="shared" si="64"/>
        <v>0</v>
      </c>
      <c r="AD112" s="11">
        <f t="shared" si="65"/>
        <v>1993.5833333333333</v>
      </c>
      <c r="AE112" s="11">
        <f t="shared" si="66"/>
        <v>2017.6666666666667</v>
      </c>
      <c r="AF112" s="11">
        <f t="shared" si="67"/>
        <v>2003.5833333333333</v>
      </c>
      <c r="AG112" s="11">
        <f t="shared" si="68"/>
        <v>2016.6666666666667</v>
      </c>
      <c r="AH112" s="11">
        <f t="shared" si="69"/>
        <v>-8.3333333333333329E-2</v>
      </c>
    </row>
    <row r="113" spans="2:34">
      <c r="B113" s="7"/>
      <c r="C113" s="7">
        <v>1</v>
      </c>
      <c r="D113" s="32" t="s">
        <v>171</v>
      </c>
      <c r="E113" s="15">
        <v>1993</v>
      </c>
      <c r="F113" s="7">
        <v>8</v>
      </c>
      <c r="G113" s="56">
        <v>0</v>
      </c>
      <c r="H113" s="56"/>
      <c r="I113" s="15" t="s">
        <v>103</v>
      </c>
      <c r="J113" s="15">
        <v>10</v>
      </c>
      <c r="K113" s="9">
        <f t="shared" si="54"/>
        <v>2003</v>
      </c>
      <c r="L113" s="57"/>
      <c r="M113" s="7"/>
      <c r="N113" s="34">
        <v>478.44</v>
      </c>
      <c r="O113" s="44"/>
      <c r="P113" s="35">
        <f t="shared" si="55"/>
        <v>478.44</v>
      </c>
      <c r="Q113" s="35">
        <f t="shared" si="56"/>
        <v>3.9870000000000001</v>
      </c>
      <c r="R113" s="35">
        <f t="shared" si="57"/>
        <v>0</v>
      </c>
      <c r="S113" s="35"/>
      <c r="T113" s="35">
        <f t="shared" si="58"/>
        <v>0</v>
      </c>
      <c r="U113" s="35">
        <v>1</v>
      </c>
      <c r="V113" s="35">
        <f t="shared" si="59"/>
        <v>0</v>
      </c>
      <c r="W113" s="35"/>
      <c r="X113" s="35">
        <f t="shared" si="60"/>
        <v>478.44</v>
      </c>
      <c r="Y113" s="35">
        <f t="shared" si="61"/>
        <v>478.44</v>
      </c>
      <c r="Z113" s="35">
        <v>1</v>
      </c>
      <c r="AA113" s="35">
        <f t="shared" si="62"/>
        <v>478.44</v>
      </c>
      <c r="AB113" s="35">
        <f t="shared" si="63"/>
        <v>478.44</v>
      </c>
      <c r="AC113" s="35">
        <f t="shared" si="64"/>
        <v>0</v>
      </c>
      <c r="AD113" s="11">
        <f t="shared" si="65"/>
        <v>1993.5833333333333</v>
      </c>
      <c r="AE113" s="11">
        <f t="shared" si="66"/>
        <v>2017.6666666666667</v>
      </c>
      <c r="AF113" s="11">
        <f t="shared" si="67"/>
        <v>2003.5833333333333</v>
      </c>
      <c r="AG113" s="11">
        <f t="shared" si="68"/>
        <v>2016.6666666666667</v>
      </c>
      <c r="AH113" s="11">
        <f t="shared" si="69"/>
        <v>-8.3333333333333329E-2</v>
      </c>
    </row>
    <row r="114" spans="2:34">
      <c r="B114" s="7"/>
      <c r="C114" s="7">
        <v>1</v>
      </c>
      <c r="D114" s="32" t="s">
        <v>172</v>
      </c>
      <c r="E114" s="15">
        <v>1994</v>
      </c>
      <c r="F114" s="7">
        <v>11</v>
      </c>
      <c r="G114" s="56">
        <v>0</v>
      </c>
      <c r="H114" s="56"/>
      <c r="I114" s="15" t="s">
        <v>103</v>
      </c>
      <c r="J114" s="15">
        <v>10</v>
      </c>
      <c r="K114" s="9">
        <f t="shared" si="54"/>
        <v>2004</v>
      </c>
      <c r="L114" s="57"/>
      <c r="M114" s="7"/>
      <c r="N114" s="34">
        <v>621</v>
      </c>
      <c r="O114" s="44"/>
      <c r="P114" s="35">
        <f t="shared" si="55"/>
        <v>621</v>
      </c>
      <c r="Q114" s="35">
        <f t="shared" si="56"/>
        <v>5.1749999999999998</v>
      </c>
      <c r="R114" s="35">
        <f t="shared" si="57"/>
        <v>0</v>
      </c>
      <c r="S114" s="35"/>
      <c r="T114" s="35">
        <f t="shared" si="58"/>
        <v>0</v>
      </c>
      <c r="U114" s="35">
        <v>1</v>
      </c>
      <c r="V114" s="35">
        <f t="shared" si="59"/>
        <v>0</v>
      </c>
      <c r="W114" s="35"/>
      <c r="X114" s="35">
        <f t="shared" si="60"/>
        <v>621</v>
      </c>
      <c r="Y114" s="35">
        <f t="shared" si="61"/>
        <v>621</v>
      </c>
      <c r="Z114" s="35">
        <v>1</v>
      </c>
      <c r="AA114" s="35">
        <f t="shared" si="62"/>
        <v>621</v>
      </c>
      <c r="AB114" s="35">
        <f t="shared" si="63"/>
        <v>621</v>
      </c>
      <c r="AC114" s="35">
        <f t="shared" si="64"/>
        <v>0</v>
      </c>
      <c r="AD114" s="11">
        <f t="shared" si="65"/>
        <v>1994.8333333333333</v>
      </c>
      <c r="AE114" s="11">
        <f t="shared" si="66"/>
        <v>2017.6666666666667</v>
      </c>
      <c r="AF114" s="11">
        <f t="shared" si="67"/>
        <v>2004.8333333333333</v>
      </c>
      <c r="AG114" s="11">
        <f t="shared" si="68"/>
        <v>2016.6666666666667</v>
      </c>
      <c r="AH114" s="11">
        <f t="shared" si="69"/>
        <v>-8.3333333333333329E-2</v>
      </c>
    </row>
    <row r="115" spans="2:34">
      <c r="B115" s="7"/>
      <c r="D115" s="45" t="s">
        <v>173</v>
      </c>
      <c r="E115" s="15">
        <v>1995</v>
      </c>
      <c r="F115" s="7">
        <v>6</v>
      </c>
      <c r="G115" s="56">
        <v>0</v>
      </c>
      <c r="H115" s="56"/>
      <c r="I115" s="15" t="s">
        <v>103</v>
      </c>
      <c r="J115" s="15">
        <v>10</v>
      </c>
      <c r="K115" s="9">
        <f t="shared" si="54"/>
        <v>2005</v>
      </c>
      <c r="L115" s="57"/>
      <c r="M115" s="7"/>
      <c r="N115" s="34">
        <v>407</v>
      </c>
      <c r="O115" s="44"/>
      <c r="P115" s="35">
        <f t="shared" si="55"/>
        <v>407</v>
      </c>
      <c r="Q115" s="35">
        <f t="shared" si="56"/>
        <v>3.3916666666666671</v>
      </c>
      <c r="R115" s="35">
        <f t="shared" si="57"/>
        <v>0</v>
      </c>
      <c r="S115" s="35"/>
      <c r="T115" s="35">
        <f t="shared" si="58"/>
        <v>0</v>
      </c>
      <c r="U115" s="35">
        <v>1</v>
      </c>
      <c r="V115" s="35">
        <f t="shared" si="59"/>
        <v>0</v>
      </c>
      <c r="W115" s="35"/>
      <c r="X115" s="35">
        <f t="shared" si="60"/>
        <v>407</v>
      </c>
      <c r="Y115" s="35">
        <f t="shared" si="61"/>
        <v>407</v>
      </c>
      <c r="Z115" s="35">
        <v>1</v>
      </c>
      <c r="AA115" s="35">
        <f t="shared" si="62"/>
        <v>407</v>
      </c>
      <c r="AB115" s="35">
        <f t="shared" si="63"/>
        <v>407</v>
      </c>
      <c r="AC115" s="35">
        <f t="shared" si="64"/>
        <v>0</v>
      </c>
      <c r="AD115" s="11">
        <f t="shared" si="65"/>
        <v>1995.4166666666667</v>
      </c>
      <c r="AE115" s="11">
        <f t="shared" si="66"/>
        <v>2017.6666666666667</v>
      </c>
      <c r="AF115" s="11">
        <f t="shared" si="67"/>
        <v>2005.4166666666667</v>
      </c>
      <c r="AG115" s="11">
        <f t="shared" si="68"/>
        <v>2016.6666666666667</v>
      </c>
      <c r="AH115" s="11">
        <f t="shared" si="69"/>
        <v>-8.3333333333333329E-2</v>
      </c>
    </row>
    <row r="116" spans="2:34">
      <c r="B116" s="7"/>
      <c r="C116" s="7">
        <v>4</v>
      </c>
      <c r="D116" s="45" t="s">
        <v>174</v>
      </c>
      <c r="E116" s="15">
        <v>1996</v>
      </c>
      <c r="F116" s="7">
        <v>7</v>
      </c>
      <c r="G116" s="56">
        <v>0</v>
      </c>
      <c r="H116" s="56"/>
      <c r="I116" s="15" t="s">
        <v>103</v>
      </c>
      <c r="J116" s="15">
        <v>10</v>
      </c>
      <c r="K116" s="9">
        <f t="shared" si="54"/>
        <v>2006</v>
      </c>
      <c r="L116" s="57"/>
      <c r="M116" s="7"/>
      <c r="N116" s="34">
        <v>1526</v>
      </c>
      <c r="O116" s="44"/>
      <c r="P116" s="35">
        <f t="shared" si="55"/>
        <v>1526</v>
      </c>
      <c r="Q116" s="35">
        <f t="shared" si="56"/>
        <v>12.716666666666667</v>
      </c>
      <c r="R116" s="35">
        <f t="shared" si="57"/>
        <v>0</v>
      </c>
      <c r="S116" s="35"/>
      <c r="T116" s="35">
        <f t="shared" si="58"/>
        <v>0</v>
      </c>
      <c r="U116" s="35">
        <v>1</v>
      </c>
      <c r="V116" s="35">
        <f t="shared" si="59"/>
        <v>0</v>
      </c>
      <c r="W116" s="35"/>
      <c r="X116" s="35">
        <f t="shared" si="60"/>
        <v>1526</v>
      </c>
      <c r="Y116" s="35">
        <f t="shared" si="61"/>
        <v>1526</v>
      </c>
      <c r="Z116" s="35">
        <v>1</v>
      </c>
      <c r="AA116" s="35">
        <f t="shared" si="62"/>
        <v>1526</v>
      </c>
      <c r="AB116" s="35">
        <f t="shared" si="63"/>
        <v>1526</v>
      </c>
      <c r="AC116" s="35">
        <f t="shared" si="64"/>
        <v>0</v>
      </c>
      <c r="AD116" s="11">
        <f t="shared" si="65"/>
        <v>1996.5</v>
      </c>
      <c r="AE116" s="11">
        <f t="shared" si="66"/>
        <v>2017.6666666666667</v>
      </c>
      <c r="AF116" s="11">
        <f t="shared" si="67"/>
        <v>2006.5</v>
      </c>
      <c r="AG116" s="11">
        <f t="shared" si="68"/>
        <v>2016.6666666666667</v>
      </c>
      <c r="AH116" s="11">
        <f t="shared" si="69"/>
        <v>-8.3333333333333329E-2</v>
      </c>
    </row>
    <row r="117" spans="2:34">
      <c r="B117" s="7"/>
      <c r="C117" s="7">
        <v>6</v>
      </c>
      <c r="D117" s="45" t="s">
        <v>175</v>
      </c>
      <c r="E117" s="15">
        <v>1996</v>
      </c>
      <c r="F117" s="7">
        <v>9</v>
      </c>
      <c r="G117" s="56">
        <v>0</v>
      </c>
      <c r="H117" s="56"/>
      <c r="I117" s="15" t="s">
        <v>103</v>
      </c>
      <c r="J117" s="15">
        <v>10</v>
      </c>
      <c r="K117" s="9">
        <f t="shared" si="54"/>
        <v>2006</v>
      </c>
      <c r="L117" s="57"/>
      <c r="M117" s="7"/>
      <c r="N117" s="34">
        <v>2205.2399999999998</v>
      </c>
      <c r="O117" s="44"/>
      <c r="P117" s="35">
        <f t="shared" si="55"/>
        <v>2205.2399999999998</v>
      </c>
      <c r="Q117" s="35">
        <f t="shared" si="56"/>
        <v>18.376999999999999</v>
      </c>
      <c r="R117" s="35">
        <f t="shared" si="57"/>
        <v>0</v>
      </c>
      <c r="S117" s="35"/>
      <c r="T117" s="35">
        <f t="shared" si="58"/>
        <v>0</v>
      </c>
      <c r="U117" s="35">
        <v>1</v>
      </c>
      <c r="V117" s="35">
        <f t="shared" si="59"/>
        <v>0</v>
      </c>
      <c r="W117" s="35"/>
      <c r="X117" s="35">
        <f t="shared" si="60"/>
        <v>2205.2399999999998</v>
      </c>
      <c r="Y117" s="35">
        <f t="shared" si="61"/>
        <v>2205.2399999999998</v>
      </c>
      <c r="Z117" s="35">
        <v>1</v>
      </c>
      <c r="AA117" s="35">
        <f t="shared" si="62"/>
        <v>2205.2399999999998</v>
      </c>
      <c r="AB117" s="35">
        <f t="shared" si="63"/>
        <v>2205.2399999999998</v>
      </c>
      <c r="AC117" s="35">
        <f t="shared" si="64"/>
        <v>0</v>
      </c>
      <c r="AD117" s="11">
        <f t="shared" si="65"/>
        <v>1996.6666666666667</v>
      </c>
      <c r="AE117" s="11">
        <f t="shared" si="66"/>
        <v>2017.6666666666667</v>
      </c>
      <c r="AF117" s="11">
        <f t="shared" si="67"/>
        <v>2006.6666666666667</v>
      </c>
      <c r="AG117" s="11">
        <f t="shared" si="68"/>
        <v>2016.6666666666667</v>
      </c>
      <c r="AH117" s="11">
        <f t="shared" si="69"/>
        <v>-8.3333333333333329E-2</v>
      </c>
    </row>
    <row r="118" spans="2:34">
      <c r="B118" s="7"/>
      <c r="C118" s="7">
        <v>10</v>
      </c>
      <c r="D118" s="32" t="s">
        <v>176</v>
      </c>
      <c r="E118" s="15">
        <v>1997</v>
      </c>
      <c r="F118" s="7">
        <v>6</v>
      </c>
      <c r="G118" s="56">
        <v>0</v>
      </c>
      <c r="H118" s="56"/>
      <c r="I118" s="15" t="s">
        <v>103</v>
      </c>
      <c r="J118" s="15">
        <v>10</v>
      </c>
      <c r="K118" s="9">
        <f t="shared" si="54"/>
        <v>2007</v>
      </c>
      <c r="L118" s="57"/>
      <c r="M118" s="7"/>
      <c r="N118" s="34">
        <v>8162</v>
      </c>
      <c r="O118" s="44"/>
      <c r="P118" s="35">
        <f t="shared" si="55"/>
        <v>8162</v>
      </c>
      <c r="Q118" s="35">
        <f t="shared" si="56"/>
        <v>68.016666666666666</v>
      </c>
      <c r="R118" s="35">
        <f t="shared" si="57"/>
        <v>0</v>
      </c>
      <c r="S118" s="35"/>
      <c r="T118" s="35">
        <f t="shared" si="58"/>
        <v>0</v>
      </c>
      <c r="U118" s="35">
        <v>1</v>
      </c>
      <c r="V118" s="35">
        <f t="shared" si="59"/>
        <v>0</v>
      </c>
      <c r="W118" s="35"/>
      <c r="X118" s="35">
        <f t="shared" si="60"/>
        <v>8162</v>
      </c>
      <c r="Y118" s="35">
        <f t="shared" si="61"/>
        <v>8162</v>
      </c>
      <c r="Z118" s="35">
        <v>1</v>
      </c>
      <c r="AA118" s="35">
        <f t="shared" si="62"/>
        <v>8162</v>
      </c>
      <c r="AB118" s="35">
        <f t="shared" si="63"/>
        <v>8162</v>
      </c>
      <c r="AC118" s="35">
        <f t="shared" si="64"/>
        <v>0</v>
      </c>
      <c r="AD118" s="11">
        <f t="shared" si="65"/>
        <v>1997.4166666666667</v>
      </c>
      <c r="AE118" s="11">
        <f t="shared" si="66"/>
        <v>2017.6666666666667</v>
      </c>
      <c r="AF118" s="11">
        <f t="shared" si="67"/>
        <v>2007.4166666666667</v>
      </c>
      <c r="AG118" s="11">
        <f t="shared" si="68"/>
        <v>2016.6666666666667</v>
      </c>
      <c r="AH118" s="11">
        <f t="shared" si="69"/>
        <v>-8.3333333333333329E-2</v>
      </c>
    </row>
    <row r="119" spans="2:34">
      <c r="B119" s="7"/>
      <c r="C119" s="7">
        <v>1</v>
      </c>
      <c r="D119" s="32" t="s">
        <v>177</v>
      </c>
      <c r="E119" s="15">
        <v>1997</v>
      </c>
      <c r="F119" s="7">
        <v>7</v>
      </c>
      <c r="G119" s="56">
        <v>0</v>
      </c>
      <c r="H119" s="56"/>
      <c r="I119" s="15" t="s">
        <v>103</v>
      </c>
      <c r="J119" s="15">
        <v>10</v>
      </c>
      <c r="K119" s="9">
        <f t="shared" si="54"/>
        <v>2007</v>
      </c>
      <c r="L119" s="57"/>
      <c r="M119" s="7"/>
      <c r="N119" s="34">
        <v>529</v>
      </c>
      <c r="O119" s="44"/>
      <c r="P119" s="35">
        <f t="shared" si="55"/>
        <v>529</v>
      </c>
      <c r="Q119" s="35">
        <f t="shared" si="56"/>
        <v>4.4083333333333332</v>
      </c>
      <c r="R119" s="35">
        <f t="shared" si="57"/>
        <v>0</v>
      </c>
      <c r="S119" s="35"/>
      <c r="T119" s="35">
        <f t="shared" si="58"/>
        <v>0</v>
      </c>
      <c r="U119" s="35">
        <v>1</v>
      </c>
      <c r="V119" s="35">
        <f t="shared" si="59"/>
        <v>0</v>
      </c>
      <c r="W119" s="35"/>
      <c r="X119" s="35">
        <f t="shared" si="60"/>
        <v>529</v>
      </c>
      <c r="Y119" s="35">
        <f t="shared" si="61"/>
        <v>529</v>
      </c>
      <c r="Z119" s="35">
        <v>1</v>
      </c>
      <c r="AA119" s="35">
        <f t="shared" si="62"/>
        <v>529</v>
      </c>
      <c r="AB119" s="35">
        <f t="shared" si="63"/>
        <v>529</v>
      </c>
      <c r="AC119" s="35">
        <f t="shared" si="64"/>
        <v>0</v>
      </c>
      <c r="AD119" s="11">
        <f t="shared" si="65"/>
        <v>1997.5</v>
      </c>
      <c r="AE119" s="11">
        <f t="shared" si="66"/>
        <v>2017.6666666666667</v>
      </c>
      <c r="AF119" s="11">
        <f t="shared" si="67"/>
        <v>2007.5</v>
      </c>
      <c r="AG119" s="11">
        <f t="shared" si="68"/>
        <v>2016.6666666666667</v>
      </c>
      <c r="AH119" s="11">
        <f t="shared" si="69"/>
        <v>-8.3333333333333329E-2</v>
      </c>
    </row>
    <row r="120" spans="2:34">
      <c r="B120" s="7"/>
      <c r="C120" s="7">
        <v>2</v>
      </c>
      <c r="D120" s="32" t="s">
        <v>178</v>
      </c>
      <c r="E120" s="15">
        <v>1997</v>
      </c>
      <c r="F120" s="7">
        <v>11</v>
      </c>
      <c r="G120" s="56">
        <v>0</v>
      </c>
      <c r="H120" s="56"/>
      <c r="I120" s="15" t="s">
        <v>103</v>
      </c>
      <c r="J120" s="15">
        <v>10</v>
      </c>
      <c r="K120" s="9">
        <f t="shared" si="54"/>
        <v>2007</v>
      </c>
      <c r="L120" s="57"/>
      <c r="M120" s="7"/>
      <c r="N120" s="34">
        <v>1650</v>
      </c>
      <c r="O120" s="44"/>
      <c r="P120" s="35">
        <f t="shared" si="55"/>
        <v>1650</v>
      </c>
      <c r="Q120" s="35">
        <f t="shared" si="56"/>
        <v>13.75</v>
      </c>
      <c r="R120" s="35">
        <f t="shared" si="57"/>
        <v>0</v>
      </c>
      <c r="S120" s="35"/>
      <c r="T120" s="35">
        <f t="shared" si="58"/>
        <v>0</v>
      </c>
      <c r="U120" s="35">
        <v>1</v>
      </c>
      <c r="V120" s="35">
        <f t="shared" si="59"/>
        <v>0</v>
      </c>
      <c r="W120" s="35"/>
      <c r="X120" s="35">
        <f t="shared" si="60"/>
        <v>1650</v>
      </c>
      <c r="Y120" s="35">
        <f t="shared" si="61"/>
        <v>1650</v>
      </c>
      <c r="Z120" s="35">
        <v>1</v>
      </c>
      <c r="AA120" s="35">
        <f t="shared" si="62"/>
        <v>1650</v>
      </c>
      <c r="AB120" s="35">
        <f t="shared" si="63"/>
        <v>1650</v>
      </c>
      <c r="AC120" s="35">
        <f t="shared" si="64"/>
        <v>0</v>
      </c>
      <c r="AD120" s="11">
        <f t="shared" si="65"/>
        <v>1997.8333333333333</v>
      </c>
      <c r="AE120" s="11">
        <f t="shared" si="66"/>
        <v>2017.6666666666667</v>
      </c>
      <c r="AF120" s="11">
        <f t="shared" si="67"/>
        <v>2007.8333333333333</v>
      </c>
      <c r="AG120" s="11">
        <f t="shared" si="68"/>
        <v>2016.6666666666667</v>
      </c>
      <c r="AH120" s="11">
        <f t="shared" si="69"/>
        <v>-8.3333333333333329E-2</v>
      </c>
    </row>
    <row r="121" spans="2:34">
      <c r="B121" s="7"/>
      <c r="D121" s="32" t="s">
        <v>179</v>
      </c>
      <c r="E121" s="15">
        <v>1997</v>
      </c>
      <c r="F121" s="7">
        <v>12</v>
      </c>
      <c r="G121" s="56">
        <v>0</v>
      </c>
      <c r="H121" s="56"/>
      <c r="I121" s="15" t="s">
        <v>103</v>
      </c>
      <c r="J121" s="15">
        <v>10</v>
      </c>
      <c r="K121" s="9">
        <f t="shared" si="54"/>
        <v>2007</v>
      </c>
      <c r="L121" s="57"/>
      <c r="M121" s="7"/>
      <c r="N121" s="34">
        <v>145</v>
      </c>
      <c r="O121" s="44"/>
      <c r="P121" s="35">
        <f t="shared" si="55"/>
        <v>145</v>
      </c>
      <c r="Q121" s="35">
        <f t="shared" si="56"/>
        <v>1.2083333333333333</v>
      </c>
      <c r="R121" s="35">
        <f t="shared" si="57"/>
        <v>0</v>
      </c>
      <c r="S121" s="35"/>
      <c r="T121" s="35">
        <f t="shared" si="58"/>
        <v>0</v>
      </c>
      <c r="U121" s="35">
        <v>1</v>
      </c>
      <c r="V121" s="35">
        <f t="shared" si="59"/>
        <v>0</v>
      </c>
      <c r="W121" s="35"/>
      <c r="X121" s="35">
        <f t="shared" si="60"/>
        <v>145</v>
      </c>
      <c r="Y121" s="35">
        <f t="shared" si="61"/>
        <v>145</v>
      </c>
      <c r="Z121" s="35">
        <v>1</v>
      </c>
      <c r="AA121" s="35">
        <f t="shared" si="62"/>
        <v>145</v>
      </c>
      <c r="AB121" s="35">
        <f t="shared" si="63"/>
        <v>145</v>
      </c>
      <c r="AC121" s="35">
        <f t="shared" si="64"/>
        <v>0</v>
      </c>
      <c r="AD121" s="11">
        <f t="shared" si="65"/>
        <v>1997.9166666666667</v>
      </c>
      <c r="AE121" s="11">
        <f t="shared" si="66"/>
        <v>2017.6666666666667</v>
      </c>
      <c r="AF121" s="11">
        <f t="shared" si="67"/>
        <v>2007.9166666666667</v>
      </c>
      <c r="AG121" s="11">
        <f t="shared" si="68"/>
        <v>2016.6666666666667</v>
      </c>
      <c r="AH121" s="11">
        <f t="shared" si="69"/>
        <v>-8.3333333333333329E-2</v>
      </c>
    </row>
    <row r="122" spans="2:34">
      <c r="B122" s="7"/>
      <c r="C122" s="7">
        <v>1</v>
      </c>
      <c r="D122" s="32" t="s">
        <v>180</v>
      </c>
      <c r="E122" s="15">
        <v>1998</v>
      </c>
      <c r="F122" s="7">
        <v>2</v>
      </c>
      <c r="G122" s="56">
        <v>0</v>
      </c>
      <c r="H122" s="56"/>
      <c r="I122" s="15" t="s">
        <v>103</v>
      </c>
      <c r="J122" s="15">
        <v>10</v>
      </c>
      <c r="K122" s="9">
        <f t="shared" si="54"/>
        <v>2008</v>
      </c>
      <c r="L122" s="57"/>
      <c r="M122" s="7"/>
      <c r="N122" s="34">
        <v>1732</v>
      </c>
      <c r="O122" s="44"/>
      <c r="P122" s="35">
        <f t="shared" si="55"/>
        <v>1732</v>
      </c>
      <c r="Q122" s="35">
        <f t="shared" si="56"/>
        <v>14.433333333333332</v>
      </c>
      <c r="R122" s="35">
        <f t="shared" si="57"/>
        <v>0</v>
      </c>
      <c r="S122" s="35"/>
      <c r="T122" s="35">
        <f t="shared" si="58"/>
        <v>0</v>
      </c>
      <c r="U122" s="35">
        <v>1</v>
      </c>
      <c r="V122" s="35">
        <f t="shared" si="59"/>
        <v>0</v>
      </c>
      <c r="W122" s="35"/>
      <c r="X122" s="35">
        <f t="shared" si="60"/>
        <v>1732</v>
      </c>
      <c r="Y122" s="35">
        <f t="shared" si="61"/>
        <v>1732</v>
      </c>
      <c r="Z122" s="35">
        <v>1</v>
      </c>
      <c r="AA122" s="35">
        <f t="shared" si="62"/>
        <v>1732</v>
      </c>
      <c r="AB122" s="35">
        <f t="shared" si="63"/>
        <v>1732</v>
      </c>
      <c r="AC122" s="35">
        <f t="shared" si="64"/>
        <v>0</v>
      </c>
      <c r="AD122" s="11">
        <f t="shared" si="65"/>
        <v>1998.0833333333333</v>
      </c>
      <c r="AE122" s="11">
        <f t="shared" si="66"/>
        <v>2017.6666666666667</v>
      </c>
      <c r="AF122" s="11">
        <f t="shared" si="67"/>
        <v>2008.0833333333333</v>
      </c>
      <c r="AG122" s="11">
        <f t="shared" si="68"/>
        <v>2016.6666666666667</v>
      </c>
      <c r="AH122" s="11">
        <f t="shared" si="69"/>
        <v>-8.3333333333333329E-2</v>
      </c>
    </row>
    <row r="123" spans="2:34">
      <c r="B123" s="7"/>
      <c r="C123" s="7">
        <v>1</v>
      </c>
      <c r="D123" s="32" t="str">
        <f>+D122</f>
        <v>Containers</v>
      </c>
      <c r="E123" s="15">
        <v>1998</v>
      </c>
      <c r="F123" s="7">
        <v>4</v>
      </c>
      <c r="G123" s="56">
        <v>0</v>
      </c>
      <c r="H123" s="56"/>
      <c r="I123" s="15" t="s">
        <v>103</v>
      </c>
      <c r="J123" s="15">
        <v>10</v>
      </c>
      <c r="K123" s="9">
        <f t="shared" si="54"/>
        <v>2008</v>
      </c>
      <c r="L123" s="57"/>
      <c r="M123" s="7"/>
      <c r="N123" s="34">
        <v>2971</v>
      </c>
      <c r="O123" s="44"/>
      <c r="P123" s="35">
        <f t="shared" si="55"/>
        <v>2971</v>
      </c>
      <c r="Q123" s="35">
        <f t="shared" si="56"/>
        <v>24.758333333333336</v>
      </c>
      <c r="R123" s="35">
        <f t="shared" si="57"/>
        <v>0</v>
      </c>
      <c r="S123" s="35"/>
      <c r="T123" s="35">
        <f t="shared" si="58"/>
        <v>0</v>
      </c>
      <c r="U123" s="35">
        <v>1</v>
      </c>
      <c r="V123" s="35">
        <f t="shared" si="59"/>
        <v>0</v>
      </c>
      <c r="W123" s="35"/>
      <c r="X123" s="35">
        <f t="shared" si="60"/>
        <v>2971</v>
      </c>
      <c r="Y123" s="35">
        <f t="shared" si="61"/>
        <v>2971</v>
      </c>
      <c r="Z123" s="35">
        <v>1</v>
      </c>
      <c r="AA123" s="35">
        <f t="shared" si="62"/>
        <v>2971</v>
      </c>
      <c r="AB123" s="35">
        <f t="shared" si="63"/>
        <v>2971</v>
      </c>
      <c r="AC123" s="35">
        <f t="shared" si="64"/>
        <v>0</v>
      </c>
      <c r="AD123" s="11">
        <f t="shared" si="65"/>
        <v>1998.25</v>
      </c>
      <c r="AE123" s="11">
        <f t="shared" si="66"/>
        <v>2017.6666666666667</v>
      </c>
      <c r="AF123" s="11">
        <f t="shared" si="67"/>
        <v>2008.25</v>
      </c>
      <c r="AG123" s="11">
        <f t="shared" si="68"/>
        <v>2016.6666666666667</v>
      </c>
      <c r="AH123" s="11">
        <f t="shared" si="69"/>
        <v>-8.3333333333333329E-2</v>
      </c>
    </row>
    <row r="124" spans="2:34">
      <c r="B124" s="7"/>
      <c r="C124" s="7">
        <v>1</v>
      </c>
      <c r="D124" s="32" t="str">
        <f>+D112</f>
        <v>Lids</v>
      </c>
      <c r="E124" s="15">
        <v>1998</v>
      </c>
      <c r="F124" s="7">
        <v>8</v>
      </c>
      <c r="G124" s="56">
        <v>0</v>
      </c>
      <c r="H124" s="56"/>
      <c r="I124" s="15" t="s">
        <v>103</v>
      </c>
      <c r="J124" s="15">
        <v>10</v>
      </c>
      <c r="K124" s="9">
        <f t="shared" si="54"/>
        <v>2008</v>
      </c>
      <c r="L124" s="57"/>
      <c r="M124" s="7"/>
      <c r="N124" s="34">
        <v>1692</v>
      </c>
      <c r="O124" s="44"/>
      <c r="P124" s="35">
        <f t="shared" si="55"/>
        <v>1692</v>
      </c>
      <c r="Q124" s="35">
        <f t="shared" si="56"/>
        <v>14.1</v>
      </c>
      <c r="R124" s="35">
        <f t="shared" si="57"/>
        <v>0</v>
      </c>
      <c r="S124" s="35"/>
      <c r="T124" s="35">
        <f t="shared" si="58"/>
        <v>0</v>
      </c>
      <c r="U124" s="35">
        <v>1</v>
      </c>
      <c r="V124" s="35">
        <f t="shared" si="59"/>
        <v>0</v>
      </c>
      <c r="W124" s="35"/>
      <c r="X124" s="35">
        <f t="shared" si="60"/>
        <v>1692</v>
      </c>
      <c r="Y124" s="35">
        <f t="shared" si="61"/>
        <v>1692</v>
      </c>
      <c r="Z124" s="35">
        <v>1</v>
      </c>
      <c r="AA124" s="35">
        <f t="shared" si="62"/>
        <v>1692</v>
      </c>
      <c r="AB124" s="35">
        <f t="shared" si="63"/>
        <v>1692</v>
      </c>
      <c r="AC124" s="35">
        <f t="shared" si="64"/>
        <v>0</v>
      </c>
      <c r="AD124" s="11">
        <f t="shared" si="65"/>
        <v>1998.5833333333333</v>
      </c>
      <c r="AE124" s="11">
        <f t="shared" si="66"/>
        <v>2017.6666666666667</v>
      </c>
      <c r="AF124" s="11">
        <f t="shared" si="67"/>
        <v>2008.5833333333333</v>
      </c>
      <c r="AG124" s="11">
        <f t="shared" si="68"/>
        <v>2016.6666666666667</v>
      </c>
      <c r="AH124" s="11">
        <f t="shared" si="69"/>
        <v>-8.3333333333333329E-2</v>
      </c>
    </row>
    <row r="125" spans="2:34">
      <c r="B125" s="7"/>
      <c r="C125" s="7">
        <v>1</v>
      </c>
      <c r="D125" s="32" t="str">
        <f>+D123</f>
        <v>Containers</v>
      </c>
      <c r="E125" s="15">
        <v>1998</v>
      </c>
      <c r="F125" s="7">
        <v>10</v>
      </c>
      <c r="G125" s="56">
        <v>0</v>
      </c>
      <c r="H125" s="56"/>
      <c r="I125" s="15" t="s">
        <v>103</v>
      </c>
      <c r="J125" s="15">
        <v>10</v>
      </c>
      <c r="K125" s="9">
        <f t="shared" si="54"/>
        <v>2008</v>
      </c>
      <c r="L125" s="57"/>
      <c r="M125" s="7"/>
      <c r="N125" s="34">
        <v>4494</v>
      </c>
      <c r="O125" s="44"/>
      <c r="P125" s="35">
        <f t="shared" si="55"/>
        <v>4494</v>
      </c>
      <c r="Q125" s="35">
        <f t="shared" si="56"/>
        <v>37.449999999999996</v>
      </c>
      <c r="R125" s="35">
        <f t="shared" si="57"/>
        <v>0</v>
      </c>
      <c r="S125" s="35"/>
      <c r="T125" s="35">
        <f t="shared" si="58"/>
        <v>0</v>
      </c>
      <c r="U125" s="35">
        <v>1</v>
      </c>
      <c r="V125" s="35">
        <f t="shared" si="59"/>
        <v>0</v>
      </c>
      <c r="W125" s="35"/>
      <c r="X125" s="35">
        <f t="shared" si="60"/>
        <v>4494</v>
      </c>
      <c r="Y125" s="35">
        <f t="shared" si="61"/>
        <v>4494</v>
      </c>
      <c r="Z125" s="35">
        <v>1</v>
      </c>
      <c r="AA125" s="35">
        <f t="shared" si="62"/>
        <v>4494</v>
      </c>
      <c r="AB125" s="35">
        <f t="shared" si="63"/>
        <v>4494</v>
      </c>
      <c r="AC125" s="35">
        <f t="shared" si="64"/>
        <v>0</v>
      </c>
      <c r="AD125" s="11">
        <f t="shared" si="65"/>
        <v>1998.75</v>
      </c>
      <c r="AE125" s="11">
        <f t="shared" si="66"/>
        <v>2017.6666666666667</v>
      </c>
      <c r="AF125" s="11">
        <f t="shared" si="67"/>
        <v>2008.75</v>
      </c>
      <c r="AG125" s="11">
        <f t="shared" si="68"/>
        <v>2016.6666666666667</v>
      </c>
      <c r="AH125" s="11">
        <f t="shared" si="69"/>
        <v>-8.3333333333333329E-2</v>
      </c>
    </row>
    <row r="126" spans="2:34">
      <c r="B126" s="7"/>
      <c r="D126" s="32" t="str">
        <f>+D125</f>
        <v>Containers</v>
      </c>
      <c r="E126" s="15">
        <v>1999</v>
      </c>
      <c r="F126" s="7">
        <v>3</v>
      </c>
      <c r="G126" s="56">
        <v>0</v>
      </c>
      <c r="H126" s="56"/>
      <c r="I126" s="15" t="s">
        <v>103</v>
      </c>
      <c r="J126" s="15">
        <v>10</v>
      </c>
      <c r="K126" s="9">
        <f t="shared" si="54"/>
        <v>2009</v>
      </c>
      <c r="L126" s="57"/>
      <c r="M126" s="7"/>
      <c r="N126" s="34">
        <v>2751</v>
      </c>
      <c r="O126" s="44"/>
      <c r="P126" s="35">
        <f t="shared" si="55"/>
        <v>2751</v>
      </c>
      <c r="Q126" s="35">
        <f t="shared" si="56"/>
        <v>22.925000000000001</v>
      </c>
      <c r="R126" s="35">
        <f t="shared" si="57"/>
        <v>0</v>
      </c>
      <c r="S126" s="35"/>
      <c r="T126" s="35">
        <f t="shared" si="58"/>
        <v>0</v>
      </c>
      <c r="U126" s="35">
        <v>1</v>
      </c>
      <c r="V126" s="35">
        <f t="shared" si="59"/>
        <v>0</v>
      </c>
      <c r="W126" s="35"/>
      <c r="X126" s="35">
        <f t="shared" si="60"/>
        <v>2751</v>
      </c>
      <c r="Y126" s="35">
        <f t="shared" si="61"/>
        <v>2751</v>
      </c>
      <c r="Z126" s="35">
        <v>1</v>
      </c>
      <c r="AA126" s="35">
        <f t="shared" si="62"/>
        <v>2751</v>
      </c>
      <c r="AB126" s="35">
        <f t="shared" si="63"/>
        <v>2751</v>
      </c>
      <c r="AC126" s="35">
        <f t="shared" si="64"/>
        <v>0</v>
      </c>
      <c r="AD126" s="11">
        <f t="shared" si="65"/>
        <v>1999.1666666666667</v>
      </c>
      <c r="AE126" s="11">
        <f t="shared" si="66"/>
        <v>2017.6666666666667</v>
      </c>
      <c r="AF126" s="11">
        <f t="shared" si="67"/>
        <v>2009.1666666666667</v>
      </c>
      <c r="AG126" s="11">
        <f t="shared" si="68"/>
        <v>2016.6666666666667</v>
      </c>
      <c r="AH126" s="11">
        <f t="shared" si="69"/>
        <v>-8.3333333333333329E-2</v>
      </c>
    </row>
    <row r="127" spans="2:34">
      <c r="B127" s="7"/>
      <c r="D127" s="32" t="str">
        <f>+D126</f>
        <v>Containers</v>
      </c>
      <c r="E127" s="15">
        <v>1999</v>
      </c>
      <c r="F127" s="7">
        <v>7</v>
      </c>
      <c r="G127" s="56">
        <v>0</v>
      </c>
      <c r="H127" s="56"/>
      <c r="I127" s="15" t="s">
        <v>103</v>
      </c>
      <c r="J127" s="15">
        <v>10</v>
      </c>
      <c r="K127" s="9">
        <f t="shared" si="54"/>
        <v>2009</v>
      </c>
      <c r="L127" s="57"/>
      <c r="M127" s="7"/>
      <c r="N127" s="34">
        <v>1740</v>
      </c>
      <c r="O127" s="44"/>
      <c r="P127" s="35">
        <f t="shared" si="55"/>
        <v>1740</v>
      </c>
      <c r="Q127" s="35">
        <f t="shared" si="56"/>
        <v>14.5</v>
      </c>
      <c r="R127" s="35">
        <f t="shared" si="57"/>
        <v>0</v>
      </c>
      <c r="S127" s="35"/>
      <c r="T127" s="35">
        <f t="shared" si="58"/>
        <v>0</v>
      </c>
      <c r="U127" s="35">
        <v>1</v>
      </c>
      <c r="V127" s="35">
        <f t="shared" si="59"/>
        <v>0</v>
      </c>
      <c r="W127" s="35"/>
      <c r="X127" s="35">
        <f t="shared" si="60"/>
        <v>1740</v>
      </c>
      <c r="Y127" s="35">
        <f t="shared" si="61"/>
        <v>1740</v>
      </c>
      <c r="Z127" s="35">
        <v>1</v>
      </c>
      <c r="AA127" s="35">
        <f t="shared" si="62"/>
        <v>1740</v>
      </c>
      <c r="AB127" s="35">
        <f t="shared" si="63"/>
        <v>1740</v>
      </c>
      <c r="AC127" s="35">
        <f t="shared" si="64"/>
        <v>0</v>
      </c>
      <c r="AD127" s="11">
        <f t="shared" si="65"/>
        <v>1999.5</v>
      </c>
      <c r="AE127" s="11">
        <f t="shared" si="66"/>
        <v>2017.6666666666667</v>
      </c>
      <c r="AF127" s="11">
        <f t="shared" si="67"/>
        <v>2009.5</v>
      </c>
      <c r="AG127" s="11">
        <f t="shared" si="68"/>
        <v>2016.6666666666667</v>
      </c>
      <c r="AH127" s="11">
        <f t="shared" si="69"/>
        <v>-8.3333333333333329E-2</v>
      </c>
    </row>
    <row r="128" spans="2:34">
      <c r="B128" s="7"/>
      <c r="D128" s="32" t="s">
        <v>181</v>
      </c>
      <c r="E128" s="15">
        <v>1999</v>
      </c>
      <c r="F128" s="7">
        <v>9</v>
      </c>
      <c r="G128" s="56">
        <v>0</v>
      </c>
      <c r="H128" s="56"/>
      <c r="I128" s="15" t="s">
        <v>103</v>
      </c>
      <c r="J128" s="15">
        <v>10</v>
      </c>
      <c r="K128" s="9">
        <f t="shared" si="54"/>
        <v>2009</v>
      </c>
      <c r="L128" s="57"/>
      <c r="M128" s="7"/>
      <c r="N128" s="34">
        <v>9489</v>
      </c>
      <c r="O128" s="44"/>
      <c r="P128" s="35">
        <f t="shared" si="55"/>
        <v>9489</v>
      </c>
      <c r="Q128" s="35">
        <f t="shared" si="56"/>
        <v>79.075000000000003</v>
      </c>
      <c r="R128" s="35">
        <f t="shared" si="57"/>
        <v>0</v>
      </c>
      <c r="S128" s="35"/>
      <c r="T128" s="35">
        <f t="shared" si="58"/>
        <v>0</v>
      </c>
      <c r="U128" s="35">
        <v>1</v>
      </c>
      <c r="V128" s="35">
        <f t="shared" si="59"/>
        <v>0</v>
      </c>
      <c r="W128" s="35"/>
      <c r="X128" s="35">
        <f t="shared" si="60"/>
        <v>9489</v>
      </c>
      <c r="Y128" s="35">
        <f t="shared" si="61"/>
        <v>9489</v>
      </c>
      <c r="Z128" s="35">
        <v>1</v>
      </c>
      <c r="AA128" s="35">
        <f t="shared" si="62"/>
        <v>9489</v>
      </c>
      <c r="AB128" s="35">
        <f t="shared" si="63"/>
        <v>9489</v>
      </c>
      <c r="AC128" s="35">
        <f t="shared" si="64"/>
        <v>0</v>
      </c>
      <c r="AD128" s="11">
        <f t="shared" si="65"/>
        <v>1999.6666666666667</v>
      </c>
      <c r="AE128" s="11">
        <f t="shared" si="66"/>
        <v>2017.6666666666667</v>
      </c>
      <c r="AF128" s="11">
        <f t="shared" si="67"/>
        <v>2009.6666666666667</v>
      </c>
      <c r="AG128" s="11">
        <f t="shared" si="68"/>
        <v>2016.6666666666667</v>
      </c>
      <c r="AH128" s="11">
        <f t="shared" si="69"/>
        <v>-8.3333333333333329E-2</v>
      </c>
    </row>
    <row r="129" spans="2:34">
      <c r="B129" s="7"/>
      <c r="D129" s="32" t="s">
        <v>182</v>
      </c>
      <c r="E129" s="15">
        <v>1999</v>
      </c>
      <c r="F129" s="7">
        <v>12</v>
      </c>
      <c r="G129" s="56">
        <v>0</v>
      </c>
      <c r="H129" s="56"/>
      <c r="I129" s="15" t="s">
        <v>103</v>
      </c>
      <c r="J129" s="15">
        <v>10</v>
      </c>
      <c r="K129" s="9">
        <f t="shared" ref="K129:K192" si="70">E129+J129</f>
        <v>2009</v>
      </c>
      <c r="L129" s="57"/>
      <c r="M129" s="7"/>
      <c r="N129" s="34">
        <v>1199.9100000000001</v>
      </c>
      <c r="O129" s="44"/>
      <c r="P129" s="35">
        <f t="shared" ref="P129:P192" si="71">N129-N129*G129</f>
        <v>1199.9100000000001</v>
      </c>
      <c r="Q129" s="35">
        <f t="shared" ref="Q129:Q192" si="72">P129/J129/12</f>
        <v>9.9992500000000017</v>
      </c>
      <c r="R129" s="35">
        <f t="shared" ref="R129:R192" si="73">IF(O129&gt;0,0,IF(OR(AD129&gt;AE129,AF129&lt;AG129),0,IF(AND(AF129&gt;=AG129,AF129&lt;=AE129),Q129*((AF129-AG129)*12),IF(AND(AG129&lt;=AD129,AE129&gt;=AD129),((AE129-AD129)*12)*Q129,IF(AF129&gt;AE129,12*Q129,0)))))</f>
        <v>0</v>
      </c>
      <c r="S129" s="35"/>
      <c r="T129" s="35">
        <f t="shared" ref="T129:T192" si="74">IF(S129&gt;0,S129,R129)</f>
        <v>0</v>
      </c>
      <c r="U129" s="35">
        <v>1</v>
      </c>
      <c r="V129" s="35">
        <f t="shared" ref="V129:V192" si="75">U129*SUM(R129:S129)</f>
        <v>0</v>
      </c>
      <c r="W129" s="35"/>
      <c r="X129" s="35">
        <f t="shared" ref="X129:X192" si="76">IF(AD129&gt;AE129,0,IF(AF129&lt;AG129,P129,IF(AND(AF129&gt;=AG129,AF129&lt;=AE129),(P129-T129),IF(AND(AG129&lt;=AD129,AE129&gt;=AD129),0,IF(AF129&gt;AE129,((AG129-AD129)*12)*Q129,0)))))</f>
        <v>1199.9100000000001</v>
      </c>
      <c r="Y129" s="35">
        <f t="shared" ref="Y129:Y192" si="77">X129*U129</f>
        <v>1199.9100000000001</v>
      </c>
      <c r="Z129" s="35">
        <v>1</v>
      </c>
      <c r="AA129" s="35">
        <f t="shared" ref="AA129:AA192" si="78">Y129*Z129</f>
        <v>1199.9100000000001</v>
      </c>
      <c r="AB129" s="35">
        <f t="shared" ref="AB129:AB192" si="79">IF(O129&gt;0,0,AA129+V129*Z129)*Z129</f>
        <v>1199.9100000000001</v>
      </c>
      <c r="AC129" s="35">
        <f t="shared" ref="AC129:AC192" si="80">IF(O129&gt;0,(N129-AA129)/2,IF(AD129&gt;=AG129,(((N129*U129)*Z129)-AB129)/2,((((N129*U129)*Z129)-AA129)+(((N129*U129)*Z129)-AB129))/2))</f>
        <v>0</v>
      </c>
      <c r="AD129" s="11">
        <f t="shared" ref="AD129:AD192" si="81">$E129+(($F129-1)/12)</f>
        <v>1999.9166666666667</v>
      </c>
      <c r="AE129" s="11">
        <f t="shared" ref="AE129:AE192" si="82">($P$5+1)-($P$2/12)</f>
        <v>2017.6666666666667</v>
      </c>
      <c r="AF129" s="11">
        <f t="shared" ref="AF129:AF192" si="83">$K129+(($F129-1)/12)</f>
        <v>2009.9166666666667</v>
      </c>
      <c r="AG129" s="11">
        <f t="shared" ref="AG129:AG192" si="84">$P$4+($P$3/12)</f>
        <v>2016.6666666666667</v>
      </c>
      <c r="AH129" s="11">
        <f t="shared" ref="AH129:AH192" si="85">$L129+(($M129-1)/12)</f>
        <v>-8.3333333333333329E-2</v>
      </c>
    </row>
    <row r="130" spans="2:34">
      <c r="B130" s="7"/>
      <c r="D130" s="32" t="s">
        <v>183</v>
      </c>
      <c r="E130" s="15">
        <v>1999</v>
      </c>
      <c r="F130" s="7">
        <v>12</v>
      </c>
      <c r="G130" s="56">
        <v>0</v>
      </c>
      <c r="H130" s="56"/>
      <c r="I130" s="15" t="s">
        <v>103</v>
      </c>
      <c r="J130" s="15">
        <v>10</v>
      </c>
      <c r="K130" s="9">
        <f t="shared" si="70"/>
        <v>2009</v>
      </c>
      <c r="L130" s="57"/>
      <c r="M130" s="7"/>
      <c r="N130" s="34">
        <v>2578.19</v>
      </c>
      <c r="O130" s="44"/>
      <c r="P130" s="35">
        <f t="shared" si="71"/>
        <v>2578.19</v>
      </c>
      <c r="Q130" s="35">
        <f t="shared" si="72"/>
        <v>21.484916666666667</v>
      </c>
      <c r="R130" s="35">
        <f t="shared" si="73"/>
        <v>0</v>
      </c>
      <c r="S130" s="35"/>
      <c r="T130" s="35">
        <f t="shared" si="74"/>
        <v>0</v>
      </c>
      <c r="U130" s="35">
        <v>1</v>
      </c>
      <c r="V130" s="35">
        <f t="shared" si="75"/>
        <v>0</v>
      </c>
      <c r="W130" s="35"/>
      <c r="X130" s="35">
        <f t="shared" si="76"/>
        <v>2578.19</v>
      </c>
      <c r="Y130" s="35">
        <f t="shared" si="77"/>
        <v>2578.19</v>
      </c>
      <c r="Z130" s="35">
        <v>1</v>
      </c>
      <c r="AA130" s="35">
        <f t="shared" si="78"/>
        <v>2578.19</v>
      </c>
      <c r="AB130" s="35">
        <f t="shared" si="79"/>
        <v>2578.19</v>
      </c>
      <c r="AC130" s="35">
        <f t="shared" si="80"/>
        <v>0</v>
      </c>
      <c r="AD130" s="11">
        <f t="shared" si="81"/>
        <v>1999.9166666666667</v>
      </c>
      <c r="AE130" s="11">
        <f t="shared" si="82"/>
        <v>2017.6666666666667</v>
      </c>
      <c r="AF130" s="11">
        <f t="shared" si="83"/>
        <v>2009.9166666666667</v>
      </c>
      <c r="AG130" s="11">
        <f t="shared" si="84"/>
        <v>2016.6666666666667</v>
      </c>
      <c r="AH130" s="11">
        <f t="shared" si="85"/>
        <v>-8.3333333333333329E-2</v>
      </c>
    </row>
    <row r="131" spans="2:34">
      <c r="B131" s="7"/>
      <c r="D131" s="32" t="s">
        <v>184</v>
      </c>
      <c r="E131" s="15">
        <v>1999</v>
      </c>
      <c r="F131" s="7">
        <v>12</v>
      </c>
      <c r="G131" s="56">
        <v>0</v>
      </c>
      <c r="H131" s="56"/>
      <c r="I131" s="15" t="s">
        <v>103</v>
      </c>
      <c r="J131" s="15">
        <v>10</v>
      </c>
      <c r="K131" s="9">
        <f t="shared" si="70"/>
        <v>2009</v>
      </c>
      <c r="L131" s="57"/>
      <c r="M131" s="7"/>
      <c r="N131" s="34">
        <v>4367.96</v>
      </c>
      <c r="O131" s="44"/>
      <c r="P131" s="35">
        <f t="shared" si="71"/>
        <v>4367.96</v>
      </c>
      <c r="Q131" s="35">
        <f t="shared" si="72"/>
        <v>36.399666666666668</v>
      </c>
      <c r="R131" s="35">
        <f t="shared" si="73"/>
        <v>0</v>
      </c>
      <c r="S131" s="35"/>
      <c r="T131" s="35">
        <f t="shared" si="74"/>
        <v>0</v>
      </c>
      <c r="U131" s="35">
        <v>1</v>
      </c>
      <c r="V131" s="35">
        <f t="shared" si="75"/>
        <v>0</v>
      </c>
      <c r="W131" s="35"/>
      <c r="X131" s="35">
        <f t="shared" si="76"/>
        <v>4367.96</v>
      </c>
      <c r="Y131" s="35">
        <f t="shared" si="77"/>
        <v>4367.96</v>
      </c>
      <c r="Z131" s="35">
        <v>1</v>
      </c>
      <c r="AA131" s="35">
        <f t="shared" si="78"/>
        <v>4367.96</v>
      </c>
      <c r="AB131" s="35">
        <f t="shared" si="79"/>
        <v>4367.96</v>
      </c>
      <c r="AC131" s="35">
        <f t="shared" si="80"/>
        <v>0</v>
      </c>
      <c r="AD131" s="11">
        <f t="shared" si="81"/>
        <v>1999.9166666666667</v>
      </c>
      <c r="AE131" s="11">
        <f t="shared" si="82"/>
        <v>2017.6666666666667</v>
      </c>
      <c r="AF131" s="11">
        <f t="shared" si="83"/>
        <v>2009.9166666666667</v>
      </c>
      <c r="AG131" s="11">
        <f t="shared" si="84"/>
        <v>2016.6666666666667</v>
      </c>
      <c r="AH131" s="11">
        <f t="shared" si="85"/>
        <v>-8.3333333333333329E-2</v>
      </c>
    </row>
    <row r="132" spans="2:34">
      <c r="B132" s="7"/>
      <c r="D132" s="32" t="s">
        <v>185</v>
      </c>
      <c r="E132" s="15">
        <v>2000</v>
      </c>
      <c r="F132" s="7">
        <v>7</v>
      </c>
      <c r="G132" s="56">
        <v>0</v>
      </c>
      <c r="H132" s="56"/>
      <c r="I132" s="15" t="s">
        <v>103</v>
      </c>
      <c r="J132" s="15">
        <v>10</v>
      </c>
      <c r="K132" s="9">
        <f t="shared" si="70"/>
        <v>2010</v>
      </c>
      <c r="L132" s="57"/>
      <c r="M132" s="7"/>
      <c r="N132" s="34">
        <v>1491.78</v>
      </c>
      <c r="O132" s="44"/>
      <c r="P132" s="35">
        <f t="shared" si="71"/>
        <v>1491.78</v>
      </c>
      <c r="Q132" s="35">
        <f t="shared" si="72"/>
        <v>12.4315</v>
      </c>
      <c r="R132" s="35">
        <f t="shared" si="73"/>
        <v>0</v>
      </c>
      <c r="S132" s="35"/>
      <c r="T132" s="35">
        <f t="shared" si="74"/>
        <v>0</v>
      </c>
      <c r="U132" s="35">
        <v>1</v>
      </c>
      <c r="V132" s="35">
        <f t="shared" si="75"/>
        <v>0</v>
      </c>
      <c r="W132" s="35"/>
      <c r="X132" s="35">
        <f t="shared" si="76"/>
        <v>1491.78</v>
      </c>
      <c r="Y132" s="35">
        <f t="shared" si="77"/>
        <v>1491.78</v>
      </c>
      <c r="Z132" s="35">
        <v>1</v>
      </c>
      <c r="AA132" s="35">
        <f t="shared" si="78"/>
        <v>1491.78</v>
      </c>
      <c r="AB132" s="35">
        <f t="shared" si="79"/>
        <v>1491.78</v>
      </c>
      <c r="AC132" s="35">
        <f t="shared" si="80"/>
        <v>0</v>
      </c>
      <c r="AD132" s="11">
        <f t="shared" si="81"/>
        <v>2000.5</v>
      </c>
      <c r="AE132" s="11">
        <f t="shared" si="82"/>
        <v>2017.6666666666667</v>
      </c>
      <c r="AF132" s="11">
        <f t="shared" si="83"/>
        <v>2010.5</v>
      </c>
      <c r="AG132" s="11">
        <f t="shared" si="84"/>
        <v>2016.6666666666667</v>
      </c>
      <c r="AH132" s="11">
        <f t="shared" si="85"/>
        <v>-8.3333333333333329E-2</v>
      </c>
    </row>
    <row r="133" spans="2:34">
      <c r="B133" s="7"/>
      <c r="D133" s="32" t="s">
        <v>186</v>
      </c>
      <c r="E133" s="15">
        <v>2000</v>
      </c>
      <c r="F133" s="7">
        <v>8</v>
      </c>
      <c r="G133" s="56">
        <v>0</v>
      </c>
      <c r="H133" s="56"/>
      <c r="I133" s="15" t="s">
        <v>103</v>
      </c>
      <c r="J133" s="15">
        <v>10</v>
      </c>
      <c r="K133" s="9">
        <f t="shared" si="70"/>
        <v>2010</v>
      </c>
      <c r="L133" s="57"/>
      <c r="M133" s="7"/>
      <c r="N133" s="34">
        <v>713.46</v>
      </c>
      <c r="O133" s="44"/>
      <c r="P133" s="35">
        <f t="shared" si="71"/>
        <v>713.46</v>
      </c>
      <c r="Q133" s="35">
        <f t="shared" si="72"/>
        <v>5.9455</v>
      </c>
      <c r="R133" s="35">
        <f t="shared" si="73"/>
        <v>0</v>
      </c>
      <c r="S133" s="35"/>
      <c r="T133" s="35">
        <f t="shared" si="74"/>
        <v>0</v>
      </c>
      <c r="U133" s="35">
        <v>1</v>
      </c>
      <c r="V133" s="35">
        <f t="shared" si="75"/>
        <v>0</v>
      </c>
      <c r="W133" s="35"/>
      <c r="X133" s="35">
        <f t="shared" si="76"/>
        <v>713.46</v>
      </c>
      <c r="Y133" s="35">
        <f t="shared" si="77"/>
        <v>713.46</v>
      </c>
      <c r="Z133" s="35">
        <v>1</v>
      </c>
      <c r="AA133" s="35">
        <f t="shared" si="78"/>
        <v>713.46</v>
      </c>
      <c r="AB133" s="35">
        <f t="shared" si="79"/>
        <v>713.46</v>
      </c>
      <c r="AC133" s="35">
        <f t="shared" si="80"/>
        <v>0</v>
      </c>
      <c r="AD133" s="11">
        <f t="shared" si="81"/>
        <v>2000.5833333333333</v>
      </c>
      <c r="AE133" s="11">
        <f t="shared" si="82"/>
        <v>2017.6666666666667</v>
      </c>
      <c r="AF133" s="11">
        <f t="shared" si="83"/>
        <v>2010.5833333333333</v>
      </c>
      <c r="AG133" s="11">
        <f t="shared" si="84"/>
        <v>2016.6666666666667</v>
      </c>
      <c r="AH133" s="11">
        <f t="shared" si="85"/>
        <v>-8.3333333333333329E-2</v>
      </c>
    </row>
    <row r="134" spans="2:34">
      <c r="B134" s="7"/>
      <c r="D134" s="32" t="s">
        <v>187</v>
      </c>
      <c r="E134" s="15">
        <v>2000</v>
      </c>
      <c r="F134" s="7">
        <v>8</v>
      </c>
      <c r="G134" s="56">
        <v>0</v>
      </c>
      <c r="H134" s="56"/>
      <c r="I134" s="15" t="s">
        <v>103</v>
      </c>
      <c r="J134" s="15">
        <v>10</v>
      </c>
      <c r="K134" s="9">
        <f t="shared" si="70"/>
        <v>2010</v>
      </c>
      <c r="L134" s="57"/>
      <c r="M134" s="7"/>
      <c r="N134" s="34">
        <v>778.32</v>
      </c>
      <c r="O134" s="44"/>
      <c r="P134" s="35">
        <f t="shared" si="71"/>
        <v>778.32</v>
      </c>
      <c r="Q134" s="35">
        <f t="shared" si="72"/>
        <v>6.4860000000000007</v>
      </c>
      <c r="R134" s="35">
        <f t="shared" si="73"/>
        <v>0</v>
      </c>
      <c r="S134" s="35"/>
      <c r="T134" s="35">
        <f t="shared" si="74"/>
        <v>0</v>
      </c>
      <c r="U134" s="35">
        <v>1</v>
      </c>
      <c r="V134" s="35">
        <f t="shared" si="75"/>
        <v>0</v>
      </c>
      <c r="W134" s="35"/>
      <c r="X134" s="35">
        <f t="shared" si="76"/>
        <v>778.32</v>
      </c>
      <c r="Y134" s="35">
        <f t="shared" si="77"/>
        <v>778.32</v>
      </c>
      <c r="Z134" s="35">
        <v>1</v>
      </c>
      <c r="AA134" s="35">
        <f t="shared" si="78"/>
        <v>778.32</v>
      </c>
      <c r="AB134" s="35">
        <f t="shared" si="79"/>
        <v>778.32</v>
      </c>
      <c r="AC134" s="35">
        <f t="shared" si="80"/>
        <v>0</v>
      </c>
      <c r="AD134" s="11">
        <f t="shared" si="81"/>
        <v>2000.5833333333333</v>
      </c>
      <c r="AE134" s="11">
        <f t="shared" si="82"/>
        <v>2017.6666666666667</v>
      </c>
      <c r="AF134" s="11">
        <f t="shared" si="83"/>
        <v>2010.5833333333333</v>
      </c>
      <c r="AG134" s="11">
        <f t="shared" si="84"/>
        <v>2016.6666666666667</v>
      </c>
      <c r="AH134" s="11">
        <f t="shared" si="85"/>
        <v>-8.3333333333333329E-2</v>
      </c>
    </row>
    <row r="135" spans="2:34">
      <c r="B135" s="7"/>
      <c r="D135" s="32" t="s">
        <v>180</v>
      </c>
      <c r="E135" s="15">
        <v>2000</v>
      </c>
      <c r="F135" s="7">
        <v>8</v>
      </c>
      <c r="G135" s="56">
        <v>0</v>
      </c>
      <c r="H135" s="56"/>
      <c r="I135" s="15" t="s">
        <v>103</v>
      </c>
      <c r="J135" s="15">
        <v>10</v>
      </c>
      <c r="K135" s="9">
        <f t="shared" si="70"/>
        <v>2010</v>
      </c>
      <c r="L135" s="57"/>
      <c r="M135" s="7"/>
      <c r="N135" s="34">
        <v>6739.42</v>
      </c>
      <c r="O135" s="44"/>
      <c r="P135" s="35">
        <f t="shared" si="71"/>
        <v>6739.42</v>
      </c>
      <c r="Q135" s="35">
        <f t="shared" si="72"/>
        <v>56.161833333333334</v>
      </c>
      <c r="R135" s="35">
        <f t="shared" si="73"/>
        <v>0</v>
      </c>
      <c r="S135" s="35"/>
      <c r="T135" s="35">
        <f t="shared" si="74"/>
        <v>0</v>
      </c>
      <c r="U135" s="35">
        <v>1</v>
      </c>
      <c r="V135" s="35">
        <f t="shared" si="75"/>
        <v>0</v>
      </c>
      <c r="W135" s="35"/>
      <c r="X135" s="35">
        <f t="shared" si="76"/>
        <v>6739.42</v>
      </c>
      <c r="Y135" s="35">
        <f t="shared" si="77"/>
        <v>6739.42</v>
      </c>
      <c r="Z135" s="35">
        <v>1</v>
      </c>
      <c r="AA135" s="35">
        <f t="shared" si="78"/>
        <v>6739.42</v>
      </c>
      <c r="AB135" s="35">
        <f t="shared" si="79"/>
        <v>6739.42</v>
      </c>
      <c r="AC135" s="35">
        <f t="shared" si="80"/>
        <v>0</v>
      </c>
      <c r="AD135" s="11">
        <f t="shared" si="81"/>
        <v>2000.5833333333333</v>
      </c>
      <c r="AE135" s="11">
        <f t="shared" si="82"/>
        <v>2017.6666666666667</v>
      </c>
      <c r="AF135" s="11">
        <f t="shared" si="83"/>
        <v>2010.5833333333333</v>
      </c>
      <c r="AG135" s="11">
        <f t="shared" si="84"/>
        <v>2016.6666666666667</v>
      </c>
      <c r="AH135" s="11">
        <f t="shared" si="85"/>
        <v>-8.3333333333333329E-2</v>
      </c>
    </row>
    <row r="136" spans="2:34">
      <c r="B136" s="7"/>
      <c r="D136" s="32" t="s">
        <v>185</v>
      </c>
      <c r="E136" s="15">
        <v>2000</v>
      </c>
      <c r="F136" s="7">
        <v>10</v>
      </c>
      <c r="G136" s="56">
        <v>0</v>
      </c>
      <c r="H136" s="56"/>
      <c r="I136" s="15" t="s">
        <v>103</v>
      </c>
      <c r="J136" s="15">
        <v>10</v>
      </c>
      <c r="K136" s="9">
        <f t="shared" si="70"/>
        <v>2010</v>
      </c>
      <c r="L136" s="57"/>
      <c r="M136" s="7"/>
      <c r="N136" s="34">
        <v>1459.35</v>
      </c>
      <c r="O136" s="44"/>
      <c r="P136" s="35">
        <f t="shared" si="71"/>
        <v>1459.35</v>
      </c>
      <c r="Q136" s="35">
        <f t="shared" si="72"/>
        <v>12.161250000000001</v>
      </c>
      <c r="R136" s="35">
        <f t="shared" si="73"/>
        <v>0</v>
      </c>
      <c r="S136" s="35"/>
      <c r="T136" s="35">
        <f t="shared" si="74"/>
        <v>0</v>
      </c>
      <c r="U136" s="35">
        <v>1</v>
      </c>
      <c r="V136" s="35">
        <f t="shared" si="75"/>
        <v>0</v>
      </c>
      <c r="W136" s="35"/>
      <c r="X136" s="35">
        <f t="shared" si="76"/>
        <v>1459.35</v>
      </c>
      <c r="Y136" s="35">
        <f t="shared" si="77"/>
        <v>1459.35</v>
      </c>
      <c r="Z136" s="35">
        <v>1</v>
      </c>
      <c r="AA136" s="35">
        <f t="shared" si="78"/>
        <v>1459.35</v>
      </c>
      <c r="AB136" s="35">
        <f t="shared" si="79"/>
        <v>1459.35</v>
      </c>
      <c r="AC136" s="35">
        <f t="shared" si="80"/>
        <v>0</v>
      </c>
      <c r="AD136" s="11">
        <f t="shared" si="81"/>
        <v>2000.75</v>
      </c>
      <c r="AE136" s="11">
        <f t="shared" si="82"/>
        <v>2017.6666666666667</v>
      </c>
      <c r="AF136" s="11">
        <f t="shared" si="83"/>
        <v>2010.75</v>
      </c>
      <c r="AG136" s="11">
        <f t="shared" si="84"/>
        <v>2016.6666666666667</v>
      </c>
      <c r="AH136" s="11">
        <f t="shared" si="85"/>
        <v>-8.3333333333333329E-2</v>
      </c>
    </row>
    <row r="137" spans="2:34">
      <c r="B137" s="7"/>
      <c r="D137" s="32" t="s">
        <v>188</v>
      </c>
      <c r="E137" s="15">
        <v>2000</v>
      </c>
      <c r="F137" s="7">
        <v>11</v>
      </c>
      <c r="G137" s="56">
        <v>0</v>
      </c>
      <c r="H137" s="56"/>
      <c r="I137" s="15" t="s">
        <v>103</v>
      </c>
      <c r="J137" s="15">
        <v>10</v>
      </c>
      <c r="K137" s="9">
        <f t="shared" si="70"/>
        <v>2010</v>
      </c>
      <c r="L137" s="57"/>
      <c r="M137" s="7"/>
      <c r="N137" s="34">
        <f>610*1.081</f>
        <v>659.41</v>
      </c>
      <c r="O137" s="44"/>
      <c r="P137" s="35">
        <f t="shared" si="71"/>
        <v>659.41</v>
      </c>
      <c r="Q137" s="35">
        <f t="shared" si="72"/>
        <v>5.4950833333333335</v>
      </c>
      <c r="R137" s="35">
        <f t="shared" si="73"/>
        <v>0</v>
      </c>
      <c r="S137" s="35"/>
      <c r="T137" s="35">
        <f t="shared" si="74"/>
        <v>0</v>
      </c>
      <c r="U137" s="35">
        <v>1</v>
      </c>
      <c r="V137" s="35">
        <f t="shared" si="75"/>
        <v>0</v>
      </c>
      <c r="W137" s="35"/>
      <c r="X137" s="35">
        <f t="shared" si="76"/>
        <v>659.41</v>
      </c>
      <c r="Y137" s="35">
        <f t="shared" si="77"/>
        <v>659.41</v>
      </c>
      <c r="Z137" s="35">
        <v>1</v>
      </c>
      <c r="AA137" s="35">
        <f t="shared" si="78"/>
        <v>659.41</v>
      </c>
      <c r="AB137" s="35">
        <f t="shared" si="79"/>
        <v>659.41</v>
      </c>
      <c r="AC137" s="35">
        <f t="shared" si="80"/>
        <v>0</v>
      </c>
      <c r="AD137" s="11">
        <f t="shared" si="81"/>
        <v>2000.8333333333333</v>
      </c>
      <c r="AE137" s="11">
        <f t="shared" si="82"/>
        <v>2017.6666666666667</v>
      </c>
      <c r="AF137" s="11">
        <f t="shared" si="83"/>
        <v>2010.8333333333333</v>
      </c>
      <c r="AG137" s="11">
        <f t="shared" si="84"/>
        <v>2016.6666666666667</v>
      </c>
      <c r="AH137" s="11">
        <f t="shared" si="85"/>
        <v>-8.3333333333333329E-2</v>
      </c>
    </row>
    <row r="138" spans="2:34">
      <c r="B138" s="7"/>
      <c r="D138" s="32" t="s">
        <v>189</v>
      </c>
      <c r="E138" s="15">
        <v>2000</v>
      </c>
      <c r="F138" s="7">
        <v>11</v>
      </c>
      <c r="G138" s="56">
        <v>0</v>
      </c>
      <c r="H138" s="56"/>
      <c r="I138" s="15" t="s">
        <v>103</v>
      </c>
      <c r="J138" s="15">
        <v>10</v>
      </c>
      <c r="K138" s="9">
        <f t="shared" si="70"/>
        <v>2010</v>
      </c>
      <c r="L138" s="57"/>
      <c r="M138" s="7"/>
      <c r="N138" s="34">
        <f>740*1.081</f>
        <v>799.93999999999994</v>
      </c>
      <c r="O138" s="44"/>
      <c r="P138" s="35">
        <f t="shared" si="71"/>
        <v>799.93999999999994</v>
      </c>
      <c r="Q138" s="35">
        <f t="shared" si="72"/>
        <v>6.6661666666666664</v>
      </c>
      <c r="R138" s="35">
        <f t="shared" si="73"/>
        <v>0</v>
      </c>
      <c r="S138" s="35"/>
      <c r="T138" s="35">
        <f t="shared" si="74"/>
        <v>0</v>
      </c>
      <c r="U138" s="35">
        <v>1</v>
      </c>
      <c r="V138" s="35">
        <f t="shared" si="75"/>
        <v>0</v>
      </c>
      <c r="W138" s="35"/>
      <c r="X138" s="35">
        <f t="shared" si="76"/>
        <v>799.93999999999994</v>
      </c>
      <c r="Y138" s="35">
        <f t="shared" si="77"/>
        <v>799.93999999999994</v>
      </c>
      <c r="Z138" s="35">
        <v>1</v>
      </c>
      <c r="AA138" s="35">
        <f t="shared" si="78"/>
        <v>799.93999999999994</v>
      </c>
      <c r="AB138" s="35">
        <f t="shared" si="79"/>
        <v>799.93999999999994</v>
      </c>
      <c r="AC138" s="35">
        <f t="shared" si="80"/>
        <v>0</v>
      </c>
      <c r="AD138" s="11">
        <f t="shared" si="81"/>
        <v>2000.8333333333333</v>
      </c>
      <c r="AE138" s="11">
        <f t="shared" si="82"/>
        <v>2017.6666666666667</v>
      </c>
      <c r="AF138" s="11">
        <f t="shared" si="83"/>
        <v>2010.8333333333333</v>
      </c>
      <c r="AG138" s="11">
        <f t="shared" si="84"/>
        <v>2016.6666666666667</v>
      </c>
      <c r="AH138" s="11">
        <f t="shared" si="85"/>
        <v>-8.3333333333333329E-2</v>
      </c>
    </row>
    <row r="139" spans="2:34">
      <c r="B139" s="7"/>
      <c r="D139" s="45" t="s">
        <v>190</v>
      </c>
      <c r="E139" s="15">
        <v>2000</v>
      </c>
      <c r="F139" s="7">
        <v>12</v>
      </c>
      <c r="G139" s="56">
        <v>0</v>
      </c>
      <c r="H139" s="56"/>
      <c r="I139" s="15" t="s">
        <v>103</v>
      </c>
      <c r="J139" s="15">
        <v>10</v>
      </c>
      <c r="K139" s="9">
        <f t="shared" si="70"/>
        <v>2010</v>
      </c>
      <c r="L139" s="57"/>
      <c r="M139" s="7"/>
      <c r="N139" s="34">
        <v>2788.98</v>
      </c>
      <c r="O139" s="44"/>
      <c r="P139" s="35">
        <f t="shared" si="71"/>
        <v>2788.98</v>
      </c>
      <c r="Q139" s="35">
        <f t="shared" si="72"/>
        <v>23.241500000000002</v>
      </c>
      <c r="R139" s="35">
        <f t="shared" si="73"/>
        <v>0</v>
      </c>
      <c r="S139" s="35"/>
      <c r="T139" s="35">
        <f t="shared" si="74"/>
        <v>0</v>
      </c>
      <c r="U139" s="35">
        <v>1</v>
      </c>
      <c r="V139" s="35">
        <f t="shared" si="75"/>
        <v>0</v>
      </c>
      <c r="W139" s="35"/>
      <c r="X139" s="35">
        <f t="shared" si="76"/>
        <v>2788.98</v>
      </c>
      <c r="Y139" s="35">
        <f t="shared" si="77"/>
        <v>2788.98</v>
      </c>
      <c r="Z139" s="35">
        <v>1</v>
      </c>
      <c r="AA139" s="35">
        <f t="shared" si="78"/>
        <v>2788.98</v>
      </c>
      <c r="AB139" s="35">
        <f t="shared" si="79"/>
        <v>2788.98</v>
      </c>
      <c r="AC139" s="35">
        <f t="shared" si="80"/>
        <v>0</v>
      </c>
      <c r="AD139" s="11">
        <f t="shared" si="81"/>
        <v>2000.9166666666667</v>
      </c>
      <c r="AE139" s="11">
        <f t="shared" si="82"/>
        <v>2017.6666666666667</v>
      </c>
      <c r="AF139" s="11">
        <f t="shared" si="83"/>
        <v>2010.9166666666667</v>
      </c>
      <c r="AG139" s="11">
        <f t="shared" si="84"/>
        <v>2016.6666666666667</v>
      </c>
      <c r="AH139" s="11">
        <f t="shared" si="85"/>
        <v>-8.3333333333333329E-2</v>
      </c>
    </row>
    <row r="140" spans="2:34">
      <c r="B140" s="7"/>
      <c r="D140" s="32" t="s">
        <v>191</v>
      </c>
      <c r="E140" s="15">
        <v>2001</v>
      </c>
      <c r="F140" s="7">
        <v>3</v>
      </c>
      <c r="G140" s="56">
        <v>0</v>
      </c>
      <c r="H140" s="56"/>
      <c r="I140" s="15" t="s">
        <v>103</v>
      </c>
      <c r="J140" s="15">
        <v>10</v>
      </c>
      <c r="K140" s="9">
        <f t="shared" si="70"/>
        <v>2011</v>
      </c>
      <c r="L140" s="57"/>
      <c r="M140" s="7"/>
      <c r="N140" s="34">
        <f>795*1.081</f>
        <v>859.39499999999998</v>
      </c>
      <c r="O140" s="44"/>
      <c r="P140" s="35">
        <f t="shared" si="71"/>
        <v>859.39499999999998</v>
      </c>
      <c r="Q140" s="35">
        <f t="shared" si="72"/>
        <v>7.1616249999999999</v>
      </c>
      <c r="R140" s="35">
        <f t="shared" si="73"/>
        <v>0</v>
      </c>
      <c r="S140" s="35"/>
      <c r="T140" s="35">
        <f t="shared" si="74"/>
        <v>0</v>
      </c>
      <c r="U140" s="35">
        <v>1</v>
      </c>
      <c r="V140" s="35">
        <f t="shared" si="75"/>
        <v>0</v>
      </c>
      <c r="W140" s="35"/>
      <c r="X140" s="35">
        <f t="shared" si="76"/>
        <v>859.39499999999998</v>
      </c>
      <c r="Y140" s="35">
        <f t="shared" si="77"/>
        <v>859.39499999999998</v>
      </c>
      <c r="Z140" s="35">
        <v>1</v>
      </c>
      <c r="AA140" s="35">
        <f t="shared" si="78"/>
        <v>859.39499999999998</v>
      </c>
      <c r="AB140" s="35">
        <f t="shared" si="79"/>
        <v>859.39499999999998</v>
      </c>
      <c r="AC140" s="35">
        <f t="shared" si="80"/>
        <v>0</v>
      </c>
      <c r="AD140" s="11">
        <f t="shared" si="81"/>
        <v>2001.1666666666667</v>
      </c>
      <c r="AE140" s="11">
        <f t="shared" si="82"/>
        <v>2017.6666666666667</v>
      </c>
      <c r="AF140" s="11">
        <f t="shared" si="83"/>
        <v>2011.1666666666667</v>
      </c>
      <c r="AG140" s="11">
        <f t="shared" si="84"/>
        <v>2016.6666666666667</v>
      </c>
      <c r="AH140" s="11">
        <f t="shared" si="85"/>
        <v>-8.3333333333333329E-2</v>
      </c>
    </row>
    <row r="141" spans="2:34">
      <c r="B141" s="7"/>
      <c r="D141" s="32" t="s">
        <v>192</v>
      </c>
      <c r="E141" s="15">
        <v>2001</v>
      </c>
      <c r="F141" s="7">
        <v>3</v>
      </c>
      <c r="G141" s="56">
        <v>0</v>
      </c>
      <c r="H141" s="56"/>
      <c r="I141" s="15" t="s">
        <v>103</v>
      </c>
      <c r="J141" s="15">
        <v>10</v>
      </c>
      <c r="K141" s="9">
        <f t="shared" si="70"/>
        <v>2011</v>
      </c>
      <c r="L141" s="57"/>
      <c r="M141" s="7"/>
      <c r="N141" s="34">
        <f>1440*1.081</f>
        <v>1556.6399999999999</v>
      </c>
      <c r="O141" s="44"/>
      <c r="P141" s="35">
        <f t="shared" si="71"/>
        <v>1556.6399999999999</v>
      </c>
      <c r="Q141" s="35">
        <f t="shared" si="72"/>
        <v>12.972</v>
      </c>
      <c r="R141" s="35">
        <f t="shared" si="73"/>
        <v>0</v>
      </c>
      <c r="S141" s="35"/>
      <c r="T141" s="35">
        <f t="shared" si="74"/>
        <v>0</v>
      </c>
      <c r="U141" s="35">
        <v>1</v>
      </c>
      <c r="V141" s="35">
        <f t="shared" si="75"/>
        <v>0</v>
      </c>
      <c r="W141" s="35"/>
      <c r="X141" s="35">
        <f t="shared" si="76"/>
        <v>1556.6399999999999</v>
      </c>
      <c r="Y141" s="35">
        <f t="shared" si="77"/>
        <v>1556.6399999999999</v>
      </c>
      <c r="Z141" s="35">
        <v>1</v>
      </c>
      <c r="AA141" s="35">
        <f t="shared" si="78"/>
        <v>1556.6399999999999</v>
      </c>
      <c r="AB141" s="35">
        <f t="shared" si="79"/>
        <v>1556.6399999999999</v>
      </c>
      <c r="AC141" s="35">
        <f t="shared" si="80"/>
        <v>0</v>
      </c>
      <c r="AD141" s="11">
        <f t="shared" si="81"/>
        <v>2001.1666666666667</v>
      </c>
      <c r="AE141" s="11">
        <f t="shared" si="82"/>
        <v>2017.6666666666667</v>
      </c>
      <c r="AF141" s="11">
        <f t="shared" si="83"/>
        <v>2011.1666666666667</v>
      </c>
      <c r="AG141" s="11">
        <f t="shared" si="84"/>
        <v>2016.6666666666667</v>
      </c>
      <c r="AH141" s="11">
        <f t="shared" si="85"/>
        <v>-8.3333333333333329E-2</v>
      </c>
    </row>
    <row r="142" spans="2:34">
      <c r="B142" s="7"/>
      <c r="C142" s="7">
        <v>3</v>
      </c>
      <c r="D142" s="32" t="s">
        <v>193</v>
      </c>
      <c r="E142" s="15">
        <v>2003</v>
      </c>
      <c r="F142" s="7">
        <v>2</v>
      </c>
      <c r="G142" s="56">
        <v>0</v>
      </c>
      <c r="H142" s="56"/>
      <c r="I142" s="15" t="s">
        <v>103</v>
      </c>
      <c r="J142" s="15">
        <v>10</v>
      </c>
      <c r="K142" s="9">
        <f t="shared" si="70"/>
        <v>2013</v>
      </c>
      <c r="L142" s="57"/>
      <c r="M142" s="7"/>
      <c r="N142" s="34">
        <v>1261</v>
      </c>
      <c r="O142" s="44"/>
      <c r="P142" s="35">
        <f t="shared" si="71"/>
        <v>1261</v>
      </c>
      <c r="Q142" s="35">
        <f t="shared" si="72"/>
        <v>10.508333333333333</v>
      </c>
      <c r="R142" s="35">
        <f t="shared" si="73"/>
        <v>0</v>
      </c>
      <c r="S142" s="35"/>
      <c r="T142" s="35">
        <f t="shared" si="74"/>
        <v>0</v>
      </c>
      <c r="U142" s="35">
        <v>1</v>
      </c>
      <c r="V142" s="35">
        <f t="shared" si="75"/>
        <v>0</v>
      </c>
      <c r="W142" s="35"/>
      <c r="X142" s="35">
        <f t="shared" si="76"/>
        <v>1261</v>
      </c>
      <c r="Y142" s="35">
        <f t="shared" si="77"/>
        <v>1261</v>
      </c>
      <c r="Z142" s="35">
        <v>1</v>
      </c>
      <c r="AA142" s="35">
        <f t="shared" si="78"/>
        <v>1261</v>
      </c>
      <c r="AB142" s="35">
        <f t="shared" si="79"/>
        <v>1261</v>
      </c>
      <c r="AC142" s="35">
        <f t="shared" si="80"/>
        <v>0</v>
      </c>
      <c r="AD142" s="11">
        <f t="shared" si="81"/>
        <v>2003.0833333333333</v>
      </c>
      <c r="AE142" s="11">
        <f t="shared" si="82"/>
        <v>2017.6666666666667</v>
      </c>
      <c r="AF142" s="11">
        <f t="shared" si="83"/>
        <v>2013.0833333333333</v>
      </c>
      <c r="AG142" s="11">
        <f t="shared" si="84"/>
        <v>2016.6666666666667</v>
      </c>
      <c r="AH142" s="11">
        <f t="shared" si="85"/>
        <v>-8.3333333333333329E-2</v>
      </c>
    </row>
    <row r="143" spans="2:34">
      <c r="B143" s="7"/>
      <c r="C143" s="7">
        <v>15</v>
      </c>
      <c r="D143" s="32" t="s">
        <v>194</v>
      </c>
      <c r="E143" s="15">
        <v>2003</v>
      </c>
      <c r="F143" s="7">
        <v>5</v>
      </c>
      <c r="G143" s="56">
        <v>0</v>
      </c>
      <c r="H143" s="56"/>
      <c r="I143" s="15" t="s">
        <v>103</v>
      </c>
      <c r="J143" s="15">
        <v>10</v>
      </c>
      <c r="K143" s="9">
        <f t="shared" si="70"/>
        <v>2013</v>
      </c>
      <c r="L143" s="57"/>
      <c r="M143" s="7"/>
      <c r="N143" s="34">
        <v>6180.08</v>
      </c>
      <c r="O143" s="44"/>
      <c r="P143" s="35">
        <f t="shared" si="71"/>
        <v>6180.08</v>
      </c>
      <c r="Q143" s="35">
        <f t="shared" si="72"/>
        <v>51.500666666666667</v>
      </c>
      <c r="R143" s="35">
        <f t="shared" si="73"/>
        <v>0</v>
      </c>
      <c r="S143" s="35"/>
      <c r="T143" s="35">
        <f t="shared" si="74"/>
        <v>0</v>
      </c>
      <c r="U143" s="35">
        <v>1</v>
      </c>
      <c r="V143" s="35">
        <f t="shared" si="75"/>
        <v>0</v>
      </c>
      <c r="W143" s="35"/>
      <c r="X143" s="35">
        <f t="shared" si="76"/>
        <v>6180.08</v>
      </c>
      <c r="Y143" s="35">
        <f t="shared" si="77"/>
        <v>6180.08</v>
      </c>
      <c r="Z143" s="35">
        <v>1</v>
      </c>
      <c r="AA143" s="35">
        <f t="shared" si="78"/>
        <v>6180.08</v>
      </c>
      <c r="AB143" s="35">
        <f t="shared" si="79"/>
        <v>6180.08</v>
      </c>
      <c r="AC143" s="35">
        <f t="shared" si="80"/>
        <v>0</v>
      </c>
      <c r="AD143" s="11">
        <f t="shared" si="81"/>
        <v>2003.3333333333333</v>
      </c>
      <c r="AE143" s="11">
        <f t="shared" si="82"/>
        <v>2017.6666666666667</v>
      </c>
      <c r="AF143" s="11">
        <f t="shared" si="83"/>
        <v>2013.3333333333333</v>
      </c>
      <c r="AG143" s="11">
        <f t="shared" si="84"/>
        <v>2016.6666666666667</v>
      </c>
      <c r="AH143" s="11">
        <f t="shared" si="85"/>
        <v>-8.3333333333333329E-2</v>
      </c>
    </row>
    <row r="144" spans="2:34">
      <c r="B144" s="7"/>
      <c r="C144" s="7">
        <v>2</v>
      </c>
      <c r="D144" s="32" t="s">
        <v>195</v>
      </c>
      <c r="E144" s="15">
        <v>2003</v>
      </c>
      <c r="F144" s="7">
        <v>5</v>
      </c>
      <c r="G144" s="56">
        <v>0</v>
      </c>
      <c r="H144" s="56"/>
      <c r="I144" s="15" t="s">
        <v>103</v>
      </c>
      <c r="J144" s="15">
        <v>10</v>
      </c>
      <c r="K144" s="9">
        <f t="shared" si="70"/>
        <v>2013</v>
      </c>
      <c r="L144" s="57"/>
      <c r="M144" s="7"/>
      <c r="N144" s="34">
        <v>778.32</v>
      </c>
      <c r="O144" s="44"/>
      <c r="P144" s="35">
        <f t="shared" si="71"/>
        <v>778.32</v>
      </c>
      <c r="Q144" s="35">
        <f t="shared" si="72"/>
        <v>6.4860000000000007</v>
      </c>
      <c r="R144" s="35">
        <f t="shared" si="73"/>
        <v>0</v>
      </c>
      <c r="S144" s="35"/>
      <c r="T144" s="35">
        <f t="shared" si="74"/>
        <v>0</v>
      </c>
      <c r="U144" s="35">
        <v>1</v>
      </c>
      <c r="V144" s="35">
        <f t="shared" si="75"/>
        <v>0</v>
      </c>
      <c r="W144" s="35"/>
      <c r="X144" s="35">
        <f t="shared" si="76"/>
        <v>778.32</v>
      </c>
      <c r="Y144" s="35">
        <f t="shared" si="77"/>
        <v>778.32</v>
      </c>
      <c r="Z144" s="35">
        <v>1</v>
      </c>
      <c r="AA144" s="35">
        <f t="shared" si="78"/>
        <v>778.32</v>
      </c>
      <c r="AB144" s="35">
        <f t="shared" si="79"/>
        <v>778.32</v>
      </c>
      <c r="AC144" s="35">
        <f t="shared" si="80"/>
        <v>0</v>
      </c>
      <c r="AD144" s="11">
        <f t="shared" si="81"/>
        <v>2003.3333333333333</v>
      </c>
      <c r="AE144" s="11">
        <f t="shared" si="82"/>
        <v>2017.6666666666667</v>
      </c>
      <c r="AF144" s="11">
        <f t="shared" si="83"/>
        <v>2013.3333333333333</v>
      </c>
      <c r="AG144" s="11">
        <f t="shared" si="84"/>
        <v>2016.6666666666667</v>
      </c>
      <c r="AH144" s="11">
        <f t="shared" si="85"/>
        <v>-8.3333333333333329E-2</v>
      </c>
    </row>
    <row r="145" spans="2:34">
      <c r="B145" s="7"/>
      <c r="C145" s="7">
        <v>13</v>
      </c>
      <c r="D145" s="32" t="s">
        <v>196</v>
      </c>
      <c r="E145" s="15">
        <v>2003</v>
      </c>
      <c r="F145" s="7">
        <v>7</v>
      </c>
      <c r="G145" s="56">
        <v>0</v>
      </c>
      <c r="H145" s="56"/>
      <c r="I145" s="15" t="s">
        <v>103</v>
      </c>
      <c r="J145" s="15">
        <v>7</v>
      </c>
      <c r="K145" s="9">
        <f t="shared" si="70"/>
        <v>2010</v>
      </c>
      <c r="L145" s="57"/>
      <c r="M145" s="7"/>
      <c r="N145" s="34">
        <v>2425.92</v>
      </c>
      <c r="O145" s="44"/>
      <c r="P145" s="35">
        <f t="shared" si="71"/>
        <v>2425.92</v>
      </c>
      <c r="Q145" s="35">
        <f t="shared" si="72"/>
        <v>28.88</v>
      </c>
      <c r="R145" s="35">
        <f t="shared" si="73"/>
        <v>0</v>
      </c>
      <c r="S145" s="35"/>
      <c r="T145" s="35">
        <f t="shared" si="74"/>
        <v>0</v>
      </c>
      <c r="U145" s="35">
        <v>1</v>
      </c>
      <c r="V145" s="35">
        <f t="shared" si="75"/>
        <v>0</v>
      </c>
      <c r="W145" s="35"/>
      <c r="X145" s="35">
        <f t="shared" si="76"/>
        <v>2425.92</v>
      </c>
      <c r="Y145" s="35">
        <f t="shared" si="77"/>
        <v>2425.92</v>
      </c>
      <c r="Z145" s="35">
        <v>1</v>
      </c>
      <c r="AA145" s="35">
        <f t="shared" si="78"/>
        <v>2425.92</v>
      </c>
      <c r="AB145" s="35">
        <f t="shared" si="79"/>
        <v>2425.92</v>
      </c>
      <c r="AC145" s="35">
        <f t="shared" si="80"/>
        <v>0</v>
      </c>
      <c r="AD145" s="11">
        <f t="shared" si="81"/>
        <v>2003.5</v>
      </c>
      <c r="AE145" s="11">
        <f t="shared" si="82"/>
        <v>2017.6666666666667</v>
      </c>
      <c r="AF145" s="11">
        <f t="shared" si="83"/>
        <v>2010.5</v>
      </c>
      <c r="AG145" s="11">
        <f t="shared" si="84"/>
        <v>2016.6666666666667</v>
      </c>
      <c r="AH145" s="11">
        <f t="shared" si="85"/>
        <v>-8.3333333333333329E-2</v>
      </c>
    </row>
    <row r="146" spans="2:34">
      <c r="B146" s="7"/>
      <c r="C146" s="7">
        <v>1</v>
      </c>
      <c r="D146" s="32" t="s">
        <v>197</v>
      </c>
      <c r="E146" s="15">
        <v>2003</v>
      </c>
      <c r="F146" s="7">
        <v>7</v>
      </c>
      <c r="G146" s="56">
        <v>0</v>
      </c>
      <c r="H146" s="56"/>
      <c r="I146" s="15" t="s">
        <v>103</v>
      </c>
      <c r="J146" s="15">
        <v>10</v>
      </c>
      <c r="K146" s="9">
        <f t="shared" si="70"/>
        <v>2013</v>
      </c>
      <c r="L146" s="57"/>
      <c r="M146" s="7"/>
      <c r="N146" s="34">
        <v>989.12</v>
      </c>
      <c r="O146" s="44"/>
      <c r="P146" s="35">
        <f t="shared" si="71"/>
        <v>989.12</v>
      </c>
      <c r="Q146" s="35">
        <f t="shared" si="72"/>
        <v>8.2426666666666666</v>
      </c>
      <c r="R146" s="35">
        <f t="shared" si="73"/>
        <v>0</v>
      </c>
      <c r="S146" s="35"/>
      <c r="T146" s="35">
        <f t="shared" si="74"/>
        <v>0</v>
      </c>
      <c r="U146" s="35">
        <v>1</v>
      </c>
      <c r="V146" s="35">
        <f t="shared" si="75"/>
        <v>0</v>
      </c>
      <c r="W146" s="35"/>
      <c r="X146" s="35">
        <f t="shared" si="76"/>
        <v>989.12</v>
      </c>
      <c r="Y146" s="35">
        <f t="shared" si="77"/>
        <v>989.12</v>
      </c>
      <c r="Z146" s="35">
        <v>1</v>
      </c>
      <c r="AA146" s="35">
        <f t="shared" si="78"/>
        <v>989.12</v>
      </c>
      <c r="AB146" s="35">
        <f t="shared" si="79"/>
        <v>989.12</v>
      </c>
      <c r="AC146" s="35">
        <f t="shared" si="80"/>
        <v>0</v>
      </c>
      <c r="AD146" s="11">
        <f t="shared" si="81"/>
        <v>2003.5</v>
      </c>
      <c r="AE146" s="11">
        <f t="shared" si="82"/>
        <v>2017.6666666666667</v>
      </c>
      <c r="AF146" s="11">
        <f t="shared" si="83"/>
        <v>2013.5</v>
      </c>
      <c r="AG146" s="11">
        <f t="shared" si="84"/>
        <v>2016.6666666666667</v>
      </c>
      <c r="AH146" s="11">
        <f t="shared" si="85"/>
        <v>-8.3333333333333329E-2</v>
      </c>
    </row>
    <row r="147" spans="2:34">
      <c r="B147" s="7"/>
      <c r="D147" s="32" t="s">
        <v>198</v>
      </c>
      <c r="E147" s="15">
        <v>2003</v>
      </c>
      <c r="F147" s="7">
        <v>7</v>
      </c>
      <c r="G147" s="56">
        <v>0</v>
      </c>
      <c r="H147" s="56"/>
      <c r="I147" s="15" t="s">
        <v>103</v>
      </c>
      <c r="J147" s="15">
        <v>10</v>
      </c>
      <c r="K147" s="9">
        <f t="shared" si="70"/>
        <v>2013</v>
      </c>
      <c r="L147" s="57"/>
      <c r="M147" s="7"/>
      <c r="N147" s="34">
        <v>4763.8500000000004</v>
      </c>
      <c r="O147" s="44"/>
      <c r="P147" s="35">
        <f t="shared" si="71"/>
        <v>4763.8500000000004</v>
      </c>
      <c r="Q147" s="35">
        <f t="shared" si="72"/>
        <v>39.698750000000004</v>
      </c>
      <c r="R147" s="35">
        <f t="shared" si="73"/>
        <v>0</v>
      </c>
      <c r="S147" s="35"/>
      <c r="T147" s="35">
        <f t="shared" si="74"/>
        <v>0</v>
      </c>
      <c r="U147" s="35">
        <v>1</v>
      </c>
      <c r="V147" s="35">
        <f t="shared" si="75"/>
        <v>0</v>
      </c>
      <c r="W147" s="35"/>
      <c r="X147" s="35">
        <f t="shared" si="76"/>
        <v>4763.8500000000004</v>
      </c>
      <c r="Y147" s="35">
        <f t="shared" si="77"/>
        <v>4763.8500000000004</v>
      </c>
      <c r="Z147" s="35">
        <v>1</v>
      </c>
      <c r="AA147" s="35">
        <f t="shared" si="78"/>
        <v>4763.8500000000004</v>
      </c>
      <c r="AB147" s="35">
        <f t="shared" si="79"/>
        <v>4763.8500000000004</v>
      </c>
      <c r="AC147" s="35">
        <f t="shared" si="80"/>
        <v>0</v>
      </c>
      <c r="AD147" s="11">
        <f t="shared" si="81"/>
        <v>2003.5</v>
      </c>
      <c r="AE147" s="11">
        <f t="shared" si="82"/>
        <v>2017.6666666666667</v>
      </c>
      <c r="AF147" s="11">
        <f t="shared" si="83"/>
        <v>2013.5</v>
      </c>
      <c r="AG147" s="11">
        <f t="shared" si="84"/>
        <v>2016.6666666666667</v>
      </c>
      <c r="AH147" s="11">
        <f t="shared" si="85"/>
        <v>-8.3333333333333329E-2</v>
      </c>
    </row>
    <row r="148" spans="2:34">
      <c r="B148" s="7"/>
      <c r="C148" s="7">
        <v>2</v>
      </c>
      <c r="D148" s="32" t="s">
        <v>199</v>
      </c>
      <c r="E148" s="15">
        <v>2003</v>
      </c>
      <c r="F148" s="7">
        <v>9</v>
      </c>
      <c r="G148" s="56">
        <v>0</v>
      </c>
      <c r="H148" s="56"/>
      <c r="I148" s="15" t="s">
        <v>103</v>
      </c>
      <c r="J148" s="15">
        <v>10</v>
      </c>
      <c r="K148" s="9">
        <f t="shared" si="70"/>
        <v>2013</v>
      </c>
      <c r="L148" s="57"/>
      <c r="M148" s="7"/>
      <c r="N148" s="34">
        <v>1563.13</v>
      </c>
      <c r="O148" s="44"/>
      <c r="P148" s="35">
        <f t="shared" si="71"/>
        <v>1563.13</v>
      </c>
      <c r="Q148" s="35">
        <f t="shared" si="72"/>
        <v>13.026083333333334</v>
      </c>
      <c r="R148" s="35">
        <f t="shared" si="73"/>
        <v>0</v>
      </c>
      <c r="S148" s="35"/>
      <c r="T148" s="35">
        <f t="shared" si="74"/>
        <v>0</v>
      </c>
      <c r="U148" s="35">
        <v>1</v>
      </c>
      <c r="V148" s="35">
        <f t="shared" si="75"/>
        <v>0</v>
      </c>
      <c r="W148" s="35"/>
      <c r="X148" s="35">
        <f t="shared" si="76"/>
        <v>1563.13</v>
      </c>
      <c r="Y148" s="35">
        <f t="shared" si="77"/>
        <v>1563.13</v>
      </c>
      <c r="Z148" s="35">
        <v>1</v>
      </c>
      <c r="AA148" s="35">
        <f t="shared" si="78"/>
        <v>1563.13</v>
      </c>
      <c r="AB148" s="35">
        <f t="shared" si="79"/>
        <v>1563.13</v>
      </c>
      <c r="AC148" s="35">
        <f t="shared" si="80"/>
        <v>0</v>
      </c>
      <c r="AD148" s="11">
        <f t="shared" si="81"/>
        <v>2003.6666666666667</v>
      </c>
      <c r="AE148" s="11">
        <f t="shared" si="82"/>
        <v>2017.6666666666667</v>
      </c>
      <c r="AF148" s="11">
        <f t="shared" si="83"/>
        <v>2013.6666666666667</v>
      </c>
      <c r="AG148" s="11">
        <f t="shared" si="84"/>
        <v>2016.6666666666667</v>
      </c>
      <c r="AH148" s="11">
        <f t="shared" si="85"/>
        <v>-8.3333333333333329E-2</v>
      </c>
    </row>
    <row r="149" spans="2:34">
      <c r="B149" s="7"/>
      <c r="C149" s="7">
        <v>2</v>
      </c>
      <c r="D149" s="32" t="s">
        <v>178</v>
      </c>
      <c r="E149" s="15">
        <v>2003</v>
      </c>
      <c r="F149" s="7">
        <v>9</v>
      </c>
      <c r="G149" s="56">
        <v>0</v>
      </c>
      <c r="H149" s="56"/>
      <c r="I149" s="15" t="s">
        <v>103</v>
      </c>
      <c r="J149" s="15">
        <v>10</v>
      </c>
      <c r="K149" s="9">
        <f t="shared" si="70"/>
        <v>2013</v>
      </c>
      <c r="L149" s="57"/>
      <c r="M149" s="7"/>
      <c r="N149" s="34">
        <v>1714.47</v>
      </c>
      <c r="O149" s="44"/>
      <c r="P149" s="35">
        <f t="shared" si="71"/>
        <v>1714.47</v>
      </c>
      <c r="Q149" s="35">
        <f t="shared" si="72"/>
        <v>14.28725</v>
      </c>
      <c r="R149" s="35">
        <f t="shared" si="73"/>
        <v>0</v>
      </c>
      <c r="S149" s="35"/>
      <c r="T149" s="35">
        <f t="shared" si="74"/>
        <v>0</v>
      </c>
      <c r="U149" s="35">
        <v>1</v>
      </c>
      <c r="V149" s="35">
        <f t="shared" si="75"/>
        <v>0</v>
      </c>
      <c r="W149" s="35"/>
      <c r="X149" s="35">
        <f t="shared" si="76"/>
        <v>1714.47</v>
      </c>
      <c r="Y149" s="35">
        <f t="shared" si="77"/>
        <v>1714.47</v>
      </c>
      <c r="Z149" s="35">
        <v>1</v>
      </c>
      <c r="AA149" s="35">
        <f t="shared" si="78"/>
        <v>1714.47</v>
      </c>
      <c r="AB149" s="35">
        <f t="shared" si="79"/>
        <v>1714.47</v>
      </c>
      <c r="AC149" s="35">
        <f t="shared" si="80"/>
        <v>0</v>
      </c>
      <c r="AD149" s="11">
        <f t="shared" si="81"/>
        <v>2003.6666666666667</v>
      </c>
      <c r="AE149" s="11">
        <f t="shared" si="82"/>
        <v>2017.6666666666667</v>
      </c>
      <c r="AF149" s="11">
        <f t="shared" si="83"/>
        <v>2013.6666666666667</v>
      </c>
      <c r="AG149" s="11">
        <f t="shared" si="84"/>
        <v>2016.6666666666667</v>
      </c>
      <c r="AH149" s="11">
        <f t="shared" si="85"/>
        <v>-8.3333333333333329E-2</v>
      </c>
    </row>
    <row r="150" spans="2:34">
      <c r="B150" s="7"/>
      <c r="C150" s="7">
        <v>3</v>
      </c>
      <c r="D150" s="32" t="s">
        <v>193</v>
      </c>
      <c r="E150" s="15">
        <v>2003</v>
      </c>
      <c r="F150" s="7">
        <v>9</v>
      </c>
      <c r="G150" s="56">
        <v>0</v>
      </c>
      <c r="H150" s="56"/>
      <c r="I150" s="15" t="s">
        <v>103</v>
      </c>
      <c r="J150" s="15">
        <v>10</v>
      </c>
      <c r="K150" s="9">
        <f t="shared" si="70"/>
        <v>2013</v>
      </c>
      <c r="L150" s="57"/>
      <c r="M150" s="7"/>
      <c r="N150" s="34">
        <v>1092.8900000000001</v>
      </c>
      <c r="O150" s="44"/>
      <c r="P150" s="35">
        <f t="shared" si="71"/>
        <v>1092.8900000000001</v>
      </c>
      <c r="Q150" s="35">
        <f t="shared" si="72"/>
        <v>9.1074166666666674</v>
      </c>
      <c r="R150" s="35">
        <f t="shared" si="73"/>
        <v>0</v>
      </c>
      <c r="S150" s="35"/>
      <c r="T150" s="35">
        <f t="shared" si="74"/>
        <v>0</v>
      </c>
      <c r="U150" s="35">
        <v>1</v>
      </c>
      <c r="V150" s="35">
        <f t="shared" si="75"/>
        <v>0</v>
      </c>
      <c r="W150" s="35"/>
      <c r="X150" s="35">
        <f t="shared" si="76"/>
        <v>1092.8900000000001</v>
      </c>
      <c r="Y150" s="35">
        <f t="shared" si="77"/>
        <v>1092.8900000000001</v>
      </c>
      <c r="Z150" s="35">
        <v>1</v>
      </c>
      <c r="AA150" s="35">
        <f t="shared" si="78"/>
        <v>1092.8900000000001</v>
      </c>
      <c r="AB150" s="35">
        <f t="shared" si="79"/>
        <v>1092.8900000000001</v>
      </c>
      <c r="AC150" s="35">
        <f t="shared" si="80"/>
        <v>0</v>
      </c>
      <c r="AD150" s="11">
        <f t="shared" si="81"/>
        <v>2003.6666666666667</v>
      </c>
      <c r="AE150" s="11">
        <f t="shared" si="82"/>
        <v>2017.6666666666667</v>
      </c>
      <c r="AF150" s="11">
        <f t="shared" si="83"/>
        <v>2013.6666666666667</v>
      </c>
      <c r="AG150" s="11">
        <f t="shared" si="84"/>
        <v>2016.6666666666667</v>
      </c>
      <c r="AH150" s="11">
        <f t="shared" si="85"/>
        <v>-8.3333333333333329E-2</v>
      </c>
    </row>
    <row r="151" spans="2:34">
      <c r="B151" s="7"/>
      <c r="C151" s="7">
        <v>10</v>
      </c>
      <c r="D151" s="32" t="s">
        <v>200</v>
      </c>
      <c r="E151" s="15">
        <v>2004</v>
      </c>
      <c r="F151" s="7">
        <v>7</v>
      </c>
      <c r="G151" s="56">
        <v>0</v>
      </c>
      <c r="H151" s="56"/>
      <c r="I151" s="15" t="s">
        <v>103</v>
      </c>
      <c r="J151" s="15">
        <v>10</v>
      </c>
      <c r="K151" s="9">
        <f t="shared" si="70"/>
        <v>2014</v>
      </c>
      <c r="L151" s="57"/>
      <c r="M151" s="7"/>
      <c r="N151" s="34">
        <v>3950</v>
      </c>
      <c r="O151" s="44"/>
      <c r="P151" s="35">
        <f t="shared" si="71"/>
        <v>3950</v>
      </c>
      <c r="Q151" s="35">
        <f t="shared" si="72"/>
        <v>32.916666666666664</v>
      </c>
      <c r="R151" s="35">
        <f t="shared" si="73"/>
        <v>0</v>
      </c>
      <c r="S151" s="35"/>
      <c r="T151" s="35">
        <f t="shared" si="74"/>
        <v>0</v>
      </c>
      <c r="U151" s="35">
        <v>1</v>
      </c>
      <c r="V151" s="35">
        <f t="shared" si="75"/>
        <v>0</v>
      </c>
      <c r="W151" s="35"/>
      <c r="X151" s="35">
        <f t="shared" si="76"/>
        <v>3950</v>
      </c>
      <c r="Y151" s="35">
        <f t="shared" si="77"/>
        <v>3950</v>
      </c>
      <c r="Z151" s="35">
        <v>1</v>
      </c>
      <c r="AA151" s="35">
        <f t="shared" si="78"/>
        <v>3950</v>
      </c>
      <c r="AB151" s="35">
        <f t="shared" si="79"/>
        <v>3950</v>
      </c>
      <c r="AC151" s="35">
        <f t="shared" si="80"/>
        <v>0</v>
      </c>
      <c r="AD151" s="11">
        <f t="shared" si="81"/>
        <v>2004.5</v>
      </c>
      <c r="AE151" s="11">
        <f t="shared" si="82"/>
        <v>2017.6666666666667</v>
      </c>
      <c r="AF151" s="11">
        <f t="shared" si="83"/>
        <v>2014.5</v>
      </c>
      <c r="AG151" s="11">
        <f t="shared" si="84"/>
        <v>2016.6666666666667</v>
      </c>
      <c r="AH151" s="11">
        <f t="shared" si="85"/>
        <v>-8.3333333333333329E-2</v>
      </c>
    </row>
    <row r="152" spans="2:34">
      <c r="B152" s="7"/>
      <c r="C152" s="7">
        <v>4</v>
      </c>
      <c r="D152" s="32" t="s">
        <v>201</v>
      </c>
      <c r="E152" s="15">
        <v>2004</v>
      </c>
      <c r="F152" s="7">
        <v>7</v>
      </c>
      <c r="G152" s="56">
        <v>0</v>
      </c>
      <c r="H152" s="56"/>
      <c r="I152" s="15" t="s">
        <v>103</v>
      </c>
      <c r="J152" s="15">
        <v>10</v>
      </c>
      <c r="K152" s="9">
        <f t="shared" si="70"/>
        <v>2014</v>
      </c>
      <c r="L152" s="57"/>
      <c r="M152" s="7"/>
      <c r="N152" s="34">
        <v>3040</v>
      </c>
      <c r="O152" s="44"/>
      <c r="P152" s="35">
        <f t="shared" si="71"/>
        <v>3040</v>
      </c>
      <c r="Q152" s="35">
        <f t="shared" si="72"/>
        <v>25.333333333333332</v>
      </c>
      <c r="R152" s="35">
        <f t="shared" si="73"/>
        <v>0</v>
      </c>
      <c r="S152" s="35"/>
      <c r="T152" s="35">
        <f t="shared" si="74"/>
        <v>0</v>
      </c>
      <c r="U152" s="35">
        <v>1</v>
      </c>
      <c r="V152" s="35">
        <f t="shared" si="75"/>
        <v>0</v>
      </c>
      <c r="W152" s="35"/>
      <c r="X152" s="35">
        <f t="shared" si="76"/>
        <v>3040</v>
      </c>
      <c r="Y152" s="35">
        <f t="shared" si="77"/>
        <v>3040</v>
      </c>
      <c r="Z152" s="35">
        <v>1</v>
      </c>
      <c r="AA152" s="35">
        <f t="shared" si="78"/>
        <v>3040</v>
      </c>
      <c r="AB152" s="35">
        <f t="shared" si="79"/>
        <v>3040</v>
      </c>
      <c r="AC152" s="35">
        <f t="shared" si="80"/>
        <v>0</v>
      </c>
      <c r="AD152" s="11">
        <f t="shared" si="81"/>
        <v>2004.5</v>
      </c>
      <c r="AE152" s="11">
        <f t="shared" si="82"/>
        <v>2017.6666666666667</v>
      </c>
      <c r="AF152" s="11">
        <f t="shared" si="83"/>
        <v>2014.5</v>
      </c>
      <c r="AG152" s="11">
        <f t="shared" si="84"/>
        <v>2016.6666666666667</v>
      </c>
      <c r="AH152" s="11">
        <f t="shared" si="85"/>
        <v>-8.3333333333333329E-2</v>
      </c>
    </row>
    <row r="153" spans="2:34">
      <c r="B153" s="7"/>
      <c r="C153" s="7">
        <v>5</v>
      </c>
      <c r="D153" s="32" t="s">
        <v>202</v>
      </c>
      <c r="E153" s="15">
        <v>2004</v>
      </c>
      <c r="F153" s="7">
        <v>7</v>
      </c>
      <c r="G153" s="56">
        <v>0</v>
      </c>
      <c r="H153" s="56"/>
      <c r="I153" s="15" t="s">
        <v>103</v>
      </c>
      <c r="J153" s="15">
        <v>10</v>
      </c>
      <c r="K153" s="9">
        <f t="shared" si="70"/>
        <v>2014</v>
      </c>
      <c r="L153" s="57"/>
      <c r="M153" s="7"/>
      <c r="N153" s="34">
        <v>1925</v>
      </c>
      <c r="O153" s="44"/>
      <c r="P153" s="35">
        <f t="shared" si="71"/>
        <v>1925</v>
      </c>
      <c r="Q153" s="35">
        <f t="shared" si="72"/>
        <v>16.041666666666668</v>
      </c>
      <c r="R153" s="35">
        <f t="shared" si="73"/>
        <v>0</v>
      </c>
      <c r="S153" s="35"/>
      <c r="T153" s="35">
        <f t="shared" si="74"/>
        <v>0</v>
      </c>
      <c r="U153" s="35">
        <v>1</v>
      </c>
      <c r="V153" s="35">
        <f t="shared" si="75"/>
        <v>0</v>
      </c>
      <c r="W153" s="35"/>
      <c r="X153" s="35">
        <f t="shared" si="76"/>
        <v>1925</v>
      </c>
      <c r="Y153" s="35">
        <f t="shared" si="77"/>
        <v>1925</v>
      </c>
      <c r="Z153" s="35">
        <v>1</v>
      </c>
      <c r="AA153" s="35">
        <f t="shared" si="78"/>
        <v>1925</v>
      </c>
      <c r="AB153" s="35">
        <f t="shared" si="79"/>
        <v>1925</v>
      </c>
      <c r="AC153" s="35">
        <f t="shared" si="80"/>
        <v>0</v>
      </c>
      <c r="AD153" s="11">
        <f t="shared" si="81"/>
        <v>2004.5</v>
      </c>
      <c r="AE153" s="11">
        <f t="shared" si="82"/>
        <v>2017.6666666666667</v>
      </c>
      <c r="AF153" s="11">
        <f t="shared" si="83"/>
        <v>2014.5</v>
      </c>
      <c r="AG153" s="11">
        <f t="shared" si="84"/>
        <v>2016.6666666666667</v>
      </c>
      <c r="AH153" s="11">
        <f t="shared" si="85"/>
        <v>-8.3333333333333329E-2</v>
      </c>
    </row>
    <row r="154" spans="2:34">
      <c r="B154" s="7"/>
      <c r="C154" s="7">
        <v>6</v>
      </c>
      <c r="D154" s="32" t="s">
        <v>203</v>
      </c>
      <c r="E154" s="15">
        <v>2004</v>
      </c>
      <c r="F154" s="7">
        <v>7</v>
      </c>
      <c r="G154" s="56">
        <v>0</v>
      </c>
      <c r="H154" s="56"/>
      <c r="I154" s="15" t="s">
        <v>103</v>
      </c>
      <c r="J154" s="15">
        <v>10</v>
      </c>
      <c r="K154" s="9">
        <f t="shared" si="70"/>
        <v>2014</v>
      </c>
      <c r="L154" s="57"/>
      <c r="M154" s="7"/>
      <c r="N154" s="34">
        <v>4590</v>
      </c>
      <c r="O154" s="44"/>
      <c r="P154" s="35">
        <f t="shared" si="71"/>
        <v>4590</v>
      </c>
      <c r="Q154" s="35">
        <f t="shared" si="72"/>
        <v>38.25</v>
      </c>
      <c r="R154" s="35">
        <f t="shared" si="73"/>
        <v>0</v>
      </c>
      <c r="S154" s="35"/>
      <c r="T154" s="35">
        <f t="shared" si="74"/>
        <v>0</v>
      </c>
      <c r="U154" s="35">
        <v>1</v>
      </c>
      <c r="V154" s="35">
        <f t="shared" si="75"/>
        <v>0</v>
      </c>
      <c r="W154" s="35"/>
      <c r="X154" s="35">
        <f t="shared" si="76"/>
        <v>4590</v>
      </c>
      <c r="Y154" s="35">
        <f t="shared" si="77"/>
        <v>4590</v>
      </c>
      <c r="Z154" s="35">
        <v>1</v>
      </c>
      <c r="AA154" s="35">
        <f t="shared" si="78"/>
        <v>4590</v>
      </c>
      <c r="AB154" s="35">
        <f t="shared" si="79"/>
        <v>4590</v>
      </c>
      <c r="AC154" s="35">
        <f t="shared" si="80"/>
        <v>0</v>
      </c>
      <c r="AD154" s="11">
        <f t="shared" si="81"/>
        <v>2004.5</v>
      </c>
      <c r="AE154" s="11">
        <f t="shared" si="82"/>
        <v>2017.6666666666667</v>
      </c>
      <c r="AF154" s="11">
        <f t="shared" si="83"/>
        <v>2014.5</v>
      </c>
      <c r="AG154" s="11">
        <f t="shared" si="84"/>
        <v>2016.6666666666667</v>
      </c>
      <c r="AH154" s="11">
        <f t="shared" si="85"/>
        <v>-8.3333333333333329E-2</v>
      </c>
    </row>
    <row r="155" spans="2:34">
      <c r="B155" s="7"/>
      <c r="C155" s="7">
        <v>3</v>
      </c>
      <c r="D155" s="32" t="s">
        <v>204</v>
      </c>
      <c r="E155" s="15">
        <v>2004</v>
      </c>
      <c r="F155" s="7">
        <v>8</v>
      </c>
      <c r="G155" s="56">
        <v>0</v>
      </c>
      <c r="H155" s="56"/>
      <c r="I155" s="15" t="s">
        <v>103</v>
      </c>
      <c r="J155" s="15">
        <v>10</v>
      </c>
      <c r="K155" s="9">
        <f t="shared" si="70"/>
        <v>2014</v>
      </c>
      <c r="L155" s="57"/>
      <c r="M155" s="7"/>
      <c r="N155" s="34">
        <v>2745</v>
      </c>
      <c r="O155" s="44"/>
      <c r="P155" s="35">
        <f t="shared" si="71"/>
        <v>2745</v>
      </c>
      <c r="Q155" s="35">
        <f t="shared" si="72"/>
        <v>22.875</v>
      </c>
      <c r="R155" s="35">
        <f t="shared" si="73"/>
        <v>0</v>
      </c>
      <c r="S155" s="35"/>
      <c r="T155" s="35">
        <f t="shared" si="74"/>
        <v>0</v>
      </c>
      <c r="U155" s="35">
        <v>1</v>
      </c>
      <c r="V155" s="35">
        <f t="shared" si="75"/>
        <v>0</v>
      </c>
      <c r="W155" s="35"/>
      <c r="X155" s="35">
        <f t="shared" si="76"/>
        <v>2745</v>
      </c>
      <c r="Y155" s="35">
        <f t="shared" si="77"/>
        <v>2745</v>
      </c>
      <c r="Z155" s="35">
        <v>1</v>
      </c>
      <c r="AA155" s="35">
        <f t="shared" si="78"/>
        <v>2745</v>
      </c>
      <c r="AB155" s="35">
        <f t="shared" si="79"/>
        <v>2745</v>
      </c>
      <c r="AC155" s="35">
        <f t="shared" si="80"/>
        <v>0</v>
      </c>
      <c r="AD155" s="11">
        <f t="shared" si="81"/>
        <v>2004.5833333333333</v>
      </c>
      <c r="AE155" s="11">
        <f t="shared" si="82"/>
        <v>2017.6666666666667</v>
      </c>
      <c r="AF155" s="11">
        <f t="shared" si="83"/>
        <v>2014.5833333333333</v>
      </c>
      <c r="AG155" s="11">
        <f t="shared" si="84"/>
        <v>2016.6666666666667</v>
      </c>
      <c r="AH155" s="11">
        <f t="shared" si="85"/>
        <v>-8.3333333333333329E-2</v>
      </c>
    </row>
    <row r="156" spans="2:34">
      <c r="B156" s="7"/>
      <c r="C156" s="7">
        <v>8</v>
      </c>
      <c r="D156" s="45" t="s">
        <v>205</v>
      </c>
      <c r="E156" s="15">
        <v>2005</v>
      </c>
      <c r="F156" s="7">
        <v>3</v>
      </c>
      <c r="G156" s="56">
        <v>0</v>
      </c>
      <c r="H156" s="56"/>
      <c r="I156" s="15" t="s">
        <v>103</v>
      </c>
      <c r="J156" s="15">
        <v>10</v>
      </c>
      <c r="K156" s="9">
        <f t="shared" si="70"/>
        <v>2015</v>
      </c>
      <c r="L156" s="57"/>
      <c r="M156" s="7"/>
      <c r="N156" s="34">
        <v>6400</v>
      </c>
      <c r="O156" s="44"/>
      <c r="P156" s="35">
        <f t="shared" si="71"/>
        <v>6400</v>
      </c>
      <c r="Q156" s="35">
        <f t="shared" si="72"/>
        <v>53.333333333333336</v>
      </c>
      <c r="R156" s="35">
        <f t="shared" si="73"/>
        <v>0</v>
      </c>
      <c r="S156" s="35"/>
      <c r="T156" s="35">
        <f t="shared" si="74"/>
        <v>0</v>
      </c>
      <c r="U156" s="35">
        <v>1</v>
      </c>
      <c r="V156" s="35">
        <f t="shared" si="75"/>
        <v>0</v>
      </c>
      <c r="W156" s="35"/>
      <c r="X156" s="35">
        <f t="shared" si="76"/>
        <v>6400</v>
      </c>
      <c r="Y156" s="35">
        <f t="shared" si="77"/>
        <v>6400</v>
      </c>
      <c r="Z156" s="35">
        <v>1</v>
      </c>
      <c r="AA156" s="35">
        <f t="shared" si="78"/>
        <v>6400</v>
      </c>
      <c r="AB156" s="35">
        <f t="shared" si="79"/>
        <v>6400</v>
      </c>
      <c r="AC156" s="35">
        <f t="shared" si="80"/>
        <v>0</v>
      </c>
      <c r="AD156" s="11">
        <f t="shared" si="81"/>
        <v>2005.1666666666667</v>
      </c>
      <c r="AE156" s="11">
        <f t="shared" si="82"/>
        <v>2017.6666666666667</v>
      </c>
      <c r="AF156" s="11">
        <f t="shared" si="83"/>
        <v>2015.1666666666667</v>
      </c>
      <c r="AG156" s="11">
        <f t="shared" si="84"/>
        <v>2016.6666666666667</v>
      </c>
      <c r="AH156" s="11">
        <f t="shared" si="85"/>
        <v>-8.3333333333333329E-2</v>
      </c>
    </row>
    <row r="157" spans="2:34">
      <c r="B157" s="7"/>
      <c r="C157" s="7">
        <v>3</v>
      </c>
      <c r="D157" s="32" t="s">
        <v>206</v>
      </c>
      <c r="E157" s="15">
        <v>2005</v>
      </c>
      <c r="F157" s="7">
        <v>5</v>
      </c>
      <c r="G157" s="56">
        <v>0</v>
      </c>
      <c r="H157" s="56"/>
      <c r="I157" s="15" t="s">
        <v>103</v>
      </c>
      <c r="J157" s="15">
        <v>10</v>
      </c>
      <c r="K157" s="9">
        <f t="shared" si="70"/>
        <v>2015</v>
      </c>
      <c r="L157" s="57"/>
      <c r="M157" s="7"/>
      <c r="N157" s="34">
        <v>2469</v>
      </c>
      <c r="O157" s="44"/>
      <c r="P157" s="35">
        <f t="shared" si="71"/>
        <v>2469</v>
      </c>
      <c r="Q157" s="35">
        <f t="shared" si="72"/>
        <v>20.574999999999999</v>
      </c>
      <c r="R157" s="35">
        <f t="shared" si="73"/>
        <v>0</v>
      </c>
      <c r="S157" s="35"/>
      <c r="T157" s="35">
        <f t="shared" si="74"/>
        <v>0</v>
      </c>
      <c r="U157" s="35">
        <v>1</v>
      </c>
      <c r="V157" s="35">
        <f t="shared" si="75"/>
        <v>0</v>
      </c>
      <c r="W157" s="35"/>
      <c r="X157" s="35">
        <f t="shared" si="76"/>
        <v>2469</v>
      </c>
      <c r="Y157" s="35">
        <f t="shared" si="77"/>
        <v>2469</v>
      </c>
      <c r="Z157" s="35">
        <v>1</v>
      </c>
      <c r="AA157" s="35">
        <f t="shared" si="78"/>
        <v>2469</v>
      </c>
      <c r="AB157" s="35">
        <f t="shared" si="79"/>
        <v>2469</v>
      </c>
      <c r="AC157" s="35">
        <f t="shared" si="80"/>
        <v>0</v>
      </c>
      <c r="AD157" s="11">
        <f t="shared" si="81"/>
        <v>2005.3333333333333</v>
      </c>
      <c r="AE157" s="11">
        <f t="shared" si="82"/>
        <v>2017.6666666666667</v>
      </c>
      <c r="AF157" s="11">
        <f t="shared" si="83"/>
        <v>2015.3333333333333</v>
      </c>
      <c r="AG157" s="11">
        <f t="shared" si="84"/>
        <v>2016.6666666666667</v>
      </c>
      <c r="AH157" s="11">
        <f t="shared" si="85"/>
        <v>-8.3333333333333329E-2</v>
      </c>
    </row>
    <row r="158" spans="2:34">
      <c r="B158" s="7"/>
      <c r="C158" s="7">
        <v>2</v>
      </c>
      <c r="D158" s="32" t="s">
        <v>207</v>
      </c>
      <c r="E158" s="15">
        <v>2005</v>
      </c>
      <c r="F158" s="7">
        <v>5</v>
      </c>
      <c r="G158" s="56">
        <v>0</v>
      </c>
      <c r="H158" s="56"/>
      <c r="I158" s="15" t="s">
        <v>103</v>
      </c>
      <c r="J158" s="15">
        <v>10</v>
      </c>
      <c r="K158" s="9">
        <f t="shared" si="70"/>
        <v>2015</v>
      </c>
      <c r="L158" s="57"/>
      <c r="M158" s="7"/>
      <c r="N158" s="34">
        <v>863</v>
      </c>
      <c r="O158" s="44"/>
      <c r="P158" s="35">
        <f t="shared" si="71"/>
        <v>863</v>
      </c>
      <c r="Q158" s="35">
        <f t="shared" si="72"/>
        <v>7.1916666666666664</v>
      </c>
      <c r="R158" s="35">
        <f t="shared" si="73"/>
        <v>0</v>
      </c>
      <c r="S158" s="35"/>
      <c r="T158" s="35">
        <f t="shared" si="74"/>
        <v>0</v>
      </c>
      <c r="U158" s="35">
        <v>1</v>
      </c>
      <c r="V158" s="35">
        <f t="shared" si="75"/>
        <v>0</v>
      </c>
      <c r="W158" s="35"/>
      <c r="X158" s="35">
        <f t="shared" si="76"/>
        <v>863</v>
      </c>
      <c r="Y158" s="35">
        <f t="shared" si="77"/>
        <v>863</v>
      </c>
      <c r="Z158" s="35">
        <v>1</v>
      </c>
      <c r="AA158" s="35">
        <f t="shared" si="78"/>
        <v>863</v>
      </c>
      <c r="AB158" s="35">
        <f t="shared" si="79"/>
        <v>863</v>
      </c>
      <c r="AC158" s="35">
        <f t="shared" si="80"/>
        <v>0</v>
      </c>
      <c r="AD158" s="11">
        <f t="shared" si="81"/>
        <v>2005.3333333333333</v>
      </c>
      <c r="AE158" s="11">
        <f t="shared" si="82"/>
        <v>2017.6666666666667</v>
      </c>
      <c r="AF158" s="11">
        <f t="shared" si="83"/>
        <v>2015.3333333333333</v>
      </c>
      <c r="AG158" s="11">
        <f t="shared" si="84"/>
        <v>2016.6666666666667</v>
      </c>
      <c r="AH158" s="11">
        <f t="shared" si="85"/>
        <v>-8.3333333333333329E-2</v>
      </c>
    </row>
    <row r="159" spans="2:34">
      <c r="B159" s="7"/>
      <c r="C159" s="7">
        <v>3</v>
      </c>
      <c r="D159" s="32" t="s">
        <v>206</v>
      </c>
      <c r="E159" s="15">
        <v>2005</v>
      </c>
      <c r="F159" s="7">
        <v>8</v>
      </c>
      <c r="G159" s="56">
        <v>0</v>
      </c>
      <c r="H159" s="56"/>
      <c r="I159" s="15" t="s">
        <v>103</v>
      </c>
      <c r="J159" s="15">
        <v>10</v>
      </c>
      <c r="K159" s="9">
        <f t="shared" si="70"/>
        <v>2015</v>
      </c>
      <c r="L159" s="57"/>
      <c r="M159" s="7"/>
      <c r="N159" s="34">
        <v>2469</v>
      </c>
      <c r="O159" s="44"/>
      <c r="P159" s="35">
        <f t="shared" si="71"/>
        <v>2469</v>
      </c>
      <c r="Q159" s="35">
        <f t="shared" si="72"/>
        <v>20.574999999999999</v>
      </c>
      <c r="R159" s="35">
        <f t="shared" si="73"/>
        <v>0</v>
      </c>
      <c r="S159" s="35"/>
      <c r="T159" s="35">
        <f t="shared" si="74"/>
        <v>0</v>
      </c>
      <c r="U159" s="35">
        <v>1</v>
      </c>
      <c r="V159" s="35">
        <f t="shared" si="75"/>
        <v>0</v>
      </c>
      <c r="W159" s="35"/>
      <c r="X159" s="35">
        <f t="shared" si="76"/>
        <v>2469</v>
      </c>
      <c r="Y159" s="35">
        <f t="shared" si="77"/>
        <v>2469</v>
      </c>
      <c r="Z159" s="35">
        <v>1</v>
      </c>
      <c r="AA159" s="35">
        <f t="shared" si="78"/>
        <v>2469</v>
      </c>
      <c r="AB159" s="35">
        <f t="shared" si="79"/>
        <v>2469</v>
      </c>
      <c r="AC159" s="35">
        <f t="shared" si="80"/>
        <v>0</v>
      </c>
      <c r="AD159" s="11">
        <f t="shared" si="81"/>
        <v>2005.5833333333333</v>
      </c>
      <c r="AE159" s="11">
        <f t="shared" si="82"/>
        <v>2017.6666666666667</v>
      </c>
      <c r="AF159" s="11">
        <f t="shared" si="83"/>
        <v>2015.5833333333333</v>
      </c>
      <c r="AG159" s="11">
        <f t="shared" si="84"/>
        <v>2016.6666666666667</v>
      </c>
      <c r="AH159" s="11">
        <f t="shared" si="85"/>
        <v>-8.3333333333333329E-2</v>
      </c>
    </row>
    <row r="160" spans="2:34">
      <c r="B160" s="7"/>
      <c r="C160" s="7">
        <v>4</v>
      </c>
      <c r="D160" s="32" t="s">
        <v>206</v>
      </c>
      <c r="E160" s="15">
        <v>2006</v>
      </c>
      <c r="F160" s="7">
        <v>2</v>
      </c>
      <c r="G160" s="56">
        <v>0</v>
      </c>
      <c r="H160" s="56"/>
      <c r="I160" s="15" t="s">
        <v>103</v>
      </c>
      <c r="J160" s="15">
        <v>10</v>
      </c>
      <c r="K160" s="9">
        <f t="shared" si="70"/>
        <v>2016</v>
      </c>
      <c r="L160" s="57"/>
      <c r="M160" s="7"/>
      <c r="N160" s="34">
        <v>2588.33</v>
      </c>
      <c r="O160" s="44"/>
      <c r="P160" s="35">
        <f t="shared" si="71"/>
        <v>2588.33</v>
      </c>
      <c r="Q160" s="35">
        <f t="shared" si="72"/>
        <v>21.569416666666665</v>
      </c>
      <c r="R160" s="35">
        <f t="shared" si="73"/>
        <v>0</v>
      </c>
      <c r="S160" s="35"/>
      <c r="T160" s="35">
        <f t="shared" si="74"/>
        <v>0</v>
      </c>
      <c r="U160" s="35">
        <v>1</v>
      </c>
      <c r="V160" s="35">
        <f t="shared" si="75"/>
        <v>0</v>
      </c>
      <c r="W160" s="35"/>
      <c r="X160" s="35">
        <f t="shared" si="76"/>
        <v>2588.33</v>
      </c>
      <c r="Y160" s="35">
        <f t="shared" si="77"/>
        <v>2588.33</v>
      </c>
      <c r="Z160" s="35">
        <v>1</v>
      </c>
      <c r="AA160" s="35">
        <f t="shared" si="78"/>
        <v>2588.33</v>
      </c>
      <c r="AB160" s="35">
        <f t="shared" si="79"/>
        <v>2588.33</v>
      </c>
      <c r="AC160" s="35">
        <f t="shared" si="80"/>
        <v>0</v>
      </c>
      <c r="AD160" s="11">
        <f t="shared" si="81"/>
        <v>2006.0833333333333</v>
      </c>
      <c r="AE160" s="11">
        <f t="shared" si="82"/>
        <v>2017.6666666666667</v>
      </c>
      <c r="AF160" s="11">
        <f t="shared" si="83"/>
        <v>2016.0833333333333</v>
      </c>
      <c r="AG160" s="11">
        <f t="shared" si="84"/>
        <v>2016.6666666666667</v>
      </c>
      <c r="AH160" s="11">
        <f t="shared" si="85"/>
        <v>-8.3333333333333329E-2</v>
      </c>
    </row>
    <row r="161" spans="2:34">
      <c r="B161" s="7"/>
      <c r="C161" s="7">
        <v>4</v>
      </c>
      <c r="D161" s="32" t="s">
        <v>207</v>
      </c>
      <c r="E161" s="15">
        <v>2006</v>
      </c>
      <c r="F161" s="7">
        <v>2</v>
      </c>
      <c r="G161" s="56">
        <v>0</v>
      </c>
      <c r="H161" s="56"/>
      <c r="I161" s="15" t="s">
        <v>103</v>
      </c>
      <c r="J161" s="15">
        <v>10</v>
      </c>
      <c r="K161" s="9">
        <f t="shared" si="70"/>
        <v>2016</v>
      </c>
      <c r="L161" s="57"/>
      <c r="M161" s="7"/>
      <c r="N161" s="34">
        <v>3127.61</v>
      </c>
      <c r="O161" s="44"/>
      <c r="P161" s="35">
        <f t="shared" si="71"/>
        <v>3127.61</v>
      </c>
      <c r="Q161" s="35">
        <f t="shared" si="72"/>
        <v>26.063416666666669</v>
      </c>
      <c r="R161" s="35">
        <f t="shared" si="73"/>
        <v>0</v>
      </c>
      <c r="S161" s="35"/>
      <c r="T161" s="35">
        <f t="shared" si="74"/>
        <v>0</v>
      </c>
      <c r="U161" s="35">
        <v>1</v>
      </c>
      <c r="V161" s="35">
        <f t="shared" si="75"/>
        <v>0</v>
      </c>
      <c r="W161" s="35"/>
      <c r="X161" s="35">
        <f t="shared" si="76"/>
        <v>3127.61</v>
      </c>
      <c r="Y161" s="35">
        <f t="shared" si="77"/>
        <v>3127.61</v>
      </c>
      <c r="Z161" s="35">
        <v>1</v>
      </c>
      <c r="AA161" s="35">
        <f t="shared" si="78"/>
        <v>3127.61</v>
      </c>
      <c r="AB161" s="35">
        <f t="shared" si="79"/>
        <v>3127.61</v>
      </c>
      <c r="AC161" s="35">
        <f t="shared" si="80"/>
        <v>0</v>
      </c>
      <c r="AD161" s="11">
        <f t="shared" si="81"/>
        <v>2006.0833333333333</v>
      </c>
      <c r="AE161" s="11">
        <f t="shared" si="82"/>
        <v>2017.6666666666667</v>
      </c>
      <c r="AF161" s="11">
        <f t="shared" si="83"/>
        <v>2016.0833333333333</v>
      </c>
      <c r="AG161" s="11">
        <f t="shared" si="84"/>
        <v>2016.6666666666667</v>
      </c>
      <c r="AH161" s="11">
        <f t="shared" si="85"/>
        <v>-8.3333333333333329E-2</v>
      </c>
    </row>
    <row r="162" spans="2:34">
      <c r="B162" s="7"/>
      <c r="C162" s="7">
        <v>8</v>
      </c>
      <c r="D162" s="32" t="s">
        <v>208</v>
      </c>
      <c r="E162" s="15">
        <v>2006</v>
      </c>
      <c r="F162" s="7">
        <v>3</v>
      </c>
      <c r="G162" s="56">
        <v>0</v>
      </c>
      <c r="H162" s="56"/>
      <c r="I162" s="15" t="s">
        <v>103</v>
      </c>
      <c r="J162" s="15">
        <v>10</v>
      </c>
      <c r="K162" s="9">
        <f t="shared" si="70"/>
        <v>2016</v>
      </c>
      <c r="L162" s="57"/>
      <c r="M162" s="7"/>
      <c r="N162" s="34">
        <v>3749.76</v>
      </c>
      <c r="O162" s="44"/>
      <c r="P162" s="35">
        <f t="shared" si="71"/>
        <v>3749.76</v>
      </c>
      <c r="Q162" s="35">
        <f t="shared" si="72"/>
        <v>31.248000000000001</v>
      </c>
      <c r="R162" s="35">
        <f t="shared" si="73"/>
        <v>0</v>
      </c>
      <c r="S162" s="35"/>
      <c r="T162" s="35">
        <f t="shared" si="74"/>
        <v>0</v>
      </c>
      <c r="U162" s="35">
        <v>1</v>
      </c>
      <c r="V162" s="35">
        <f t="shared" si="75"/>
        <v>0</v>
      </c>
      <c r="W162" s="35"/>
      <c r="X162" s="35">
        <f t="shared" si="76"/>
        <v>3749.76</v>
      </c>
      <c r="Y162" s="35">
        <f t="shared" si="77"/>
        <v>3749.76</v>
      </c>
      <c r="Z162" s="35">
        <v>1</v>
      </c>
      <c r="AA162" s="35">
        <f t="shared" si="78"/>
        <v>3749.76</v>
      </c>
      <c r="AB162" s="35">
        <f t="shared" si="79"/>
        <v>3749.76</v>
      </c>
      <c r="AC162" s="35">
        <f t="shared" si="80"/>
        <v>0</v>
      </c>
      <c r="AD162" s="11">
        <f t="shared" si="81"/>
        <v>2006.1666666666667</v>
      </c>
      <c r="AE162" s="11">
        <f t="shared" si="82"/>
        <v>2017.6666666666667</v>
      </c>
      <c r="AF162" s="11">
        <f t="shared" si="83"/>
        <v>2016.1666666666667</v>
      </c>
      <c r="AG162" s="11">
        <f t="shared" si="84"/>
        <v>2016.6666666666667</v>
      </c>
      <c r="AH162" s="11">
        <f t="shared" si="85"/>
        <v>-8.3333333333333329E-2</v>
      </c>
    </row>
    <row r="163" spans="2:34">
      <c r="B163" s="7"/>
      <c r="C163" s="7">
        <v>13</v>
      </c>
      <c r="D163" s="32" t="s">
        <v>209</v>
      </c>
      <c r="E163" s="15">
        <v>2006</v>
      </c>
      <c r="F163" s="7">
        <v>4</v>
      </c>
      <c r="G163" s="56">
        <v>0</v>
      </c>
      <c r="H163" s="56"/>
      <c r="I163" s="15" t="s">
        <v>103</v>
      </c>
      <c r="J163" s="15">
        <v>10</v>
      </c>
      <c r="K163" s="9">
        <f t="shared" si="70"/>
        <v>2016</v>
      </c>
      <c r="L163" s="57"/>
      <c r="M163" s="7"/>
      <c r="N163" s="34">
        <f>5005+430.43</f>
        <v>5435.43</v>
      </c>
      <c r="O163" s="44"/>
      <c r="P163" s="35">
        <f t="shared" si="71"/>
        <v>5435.43</v>
      </c>
      <c r="Q163" s="35">
        <f t="shared" si="72"/>
        <v>45.295250000000003</v>
      </c>
      <c r="R163" s="35">
        <f t="shared" si="73"/>
        <v>0</v>
      </c>
      <c r="S163" s="35"/>
      <c r="T163" s="35">
        <f t="shared" si="74"/>
        <v>0</v>
      </c>
      <c r="U163" s="35">
        <v>1</v>
      </c>
      <c r="V163" s="35">
        <f t="shared" si="75"/>
        <v>0</v>
      </c>
      <c r="W163" s="35"/>
      <c r="X163" s="35">
        <f t="shared" si="76"/>
        <v>5435.43</v>
      </c>
      <c r="Y163" s="35">
        <f t="shared" si="77"/>
        <v>5435.43</v>
      </c>
      <c r="Z163" s="35">
        <v>1</v>
      </c>
      <c r="AA163" s="35">
        <f t="shared" si="78"/>
        <v>5435.43</v>
      </c>
      <c r="AB163" s="35">
        <f t="shared" si="79"/>
        <v>5435.43</v>
      </c>
      <c r="AC163" s="35">
        <f t="shared" si="80"/>
        <v>0</v>
      </c>
      <c r="AD163" s="11">
        <f t="shared" si="81"/>
        <v>2006.25</v>
      </c>
      <c r="AE163" s="11">
        <f t="shared" si="82"/>
        <v>2017.6666666666667</v>
      </c>
      <c r="AF163" s="11">
        <f t="shared" si="83"/>
        <v>2016.25</v>
      </c>
      <c r="AG163" s="11">
        <f t="shared" si="84"/>
        <v>2016.6666666666667</v>
      </c>
      <c r="AH163" s="11">
        <f t="shared" si="85"/>
        <v>-8.3333333333333329E-2</v>
      </c>
    </row>
    <row r="164" spans="2:34">
      <c r="B164" s="7"/>
      <c r="C164" s="7">
        <v>5</v>
      </c>
      <c r="D164" s="32" t="s">
        <v>210</v>
      </c>
      <c r="E164" s="15">
        <v>2006</v>
      </c>
      <c r="F164" s="7">
        <v>4</v>
      </c>
      <c r="G164" s="56">
        <v>0</v>
      </c>
      <c r="H164" s="56"/>
      <c r="I164" s="15" t="s">
        <v>103</v>
      </c>
      <c r="J164" s="15">
        <v>10</v>
      </c>
      <c r="K164" s="9">
        <f t="shared" si="70"/>
        <v>2016</v>
      </c>
      <c r="L164" s="57"/>
      <c r="M164" s="7"/>
      <c r="N164" s="34">
        <f>2075+178.45</f>
        <v>2253.4499999999998</v>
      </c>
      <c r="O164" s="44"/>
      <c r="P164" s="35">
        <f t="shared" si="71"/>
        <v>2253.4499999999998</v>
      </c>
      <c r="Q164" s="35">
        <f t="shared" si="72"/>
        <v>18.778749999999999</v>
      </c>
      <c r="R164" s="35">
        <f t="shared" si="73"/>
        <v>0</v>
      </c>
      <c r="S164" s="35"/>
      <c r="T164" s="35">
        <f t="shared" si="74"/>
        <v>0</v>
      </c>
      <c r="U164" s="35">
        <v>1</v>
      </c>
      <c r="V164" s="35">
        <f t="shared" si="75"/>
        <v>0</v>
      </c>
      <c r="W164" s="35"/>
      <c r="X164" s="35">
        <f t="shared" si="76"/>
        <v>2253.4499999999998</v>
      </c>
      <c r="Y164" s="35">
        <f t="shared" si="77"/>
        <v>2253.4499999999998</v>
      </c>
      <c r="Z164" s="35">
        <v>1</v>
      </c>
      <c r="AA164" s="35">
        <f t="shared" si="78"/>
        <v>2253.4499999999998</v>
      </c>
      <c r="AB164" s="35">
        <f t="shared" si="79"/>
        <v>2253.4499999999998</v>
      </c>
      <c r="AC164" s="35">
        <f t="shared" si="80"/>
        <v>0</v>
      </c>
      <c r="AD164" s="11">
        <f t="shared" si="81"/>
        <v>2006.25</v>
      </c>
      <c r="AE164" s="11">
        <f t="shared" si="82"/>
        <v>2017.6666666666667</v>
      </c>
      <c r="AF164" s="11">
        <f t="shared" si="83"/>
        <v>2016.25</v>
      </c>
      <c r="AG164" s="11">
        <f t="shared" si="84"/>
        <v>2016.6666666666667</v>
      </c>
      <c r="AH164" s="11">
        <f t="shared" si="85"/>
        <v>-8.3333333333333329E-2</v>
      </c>
    </row>
    <row r="165" spans="2:34">
      <c r="B165" s="7"/>
      <c r="C165" s="7">
        <v>2</v>
      </c>
      <c r="D165" s="32" t="s">
        <v>206</v>
      </c>
      <c r="E165" s="15">
        <v>2006</v>
      </c>
      <c r="F165" s="7">
        <v>4</v>
      </c>
      <c r="G165" s="56">
        <v>0</v>
      </c>
      <c r="H165" s="56"/>
      <c r="I165" s="15" t="s">
        <v>103</v>
      </c>
      <c r="J165" s="15">
        <v>10</v>
      </c>
      <c r="K165" s="9">
        <f t="shared" si="70"/>
        <v>2016</v>
      </c>
      <c r="L165" s="57"/>
      <c r="M165" s="7"/>
      <c r="N165" s="34">
        <f>1660+142.76</f>
        <v>1802.76</v>
      </c>
      <c r="O165" s="44"/>
      <c r="P165" s="35">
        <f t="shared" si="71"/>
        <v>1802.76</v>
      </c>
      <c r="Q165" s="35">
        <f t="shared" si="72"/>
        <v>15.023000000000001</v>
      </c>
      <c r="R165" s="35">
        <f t="shared" si="73"/>
        <v>0</v>
      </c>
      <c r="S165" s="35"/>
      <c r="T165" s="35">
        <f t="shared" si="74"/>
        <v>0</v>
      </c>
      <c r="U165" s="35">
        <v>1</v>
      </c>
      <c r="V165" s="35">
        <f t="shared" si="75"/>
        <v>0</v>
      </c>
      <c r="W165" s="35"/>
      <c r="X165" s="35">
        <f t="shared" si="76"/>
        <v>1802.76</v>
      </c>
      <c r="Y165" s="35">
        <f t="shared" si="77"/>
        <v>1802.76</v>
      </c>
      <c r="Z165" s="35">
        <v>1</v>
      </c>
      <c r="AA165" s="35">
        <f t="shared" si="78"/>
        <v>1802.76</v>
      </c>
      <c r="AB165" s="35">
        <f t="shared" si="79"/>
        <v>1802.76</v>
      </c>
      <c r="AC165" s="35">
        <f t="shared" si="80"/>
        <v>0</v>
      </c>
      <c r="AD165" s="11">
        <f t="shared" si="81"/>
        <v>2006.25</v>
      </c>
      <c r="AE165" s="11">
        <f t="shared" si="82"/>
        <v>2017.6666666666667</v>
      </c>
      <c r="AF165" s="11">
        <f t="shared" si="83"/>
        <v>2016.25</v>
      </c>
      <c r="AG165" s="11">
        <f t="shared" si="84"/>
        <v>2016.6666666666667</v>
      </c>
      <c r="AH165" s="11">
        <f t="shared" si="85"/>
        <v>-8.3333333333333329E-2</v>
      </c>
    </row>
    <row r="166" spans="2:34">
      <c r="B166" s="7"/>
      <c r="C166" s="7">
        <v>8</v>
      </c>
      <c r="D166" s="32" t="s">
        <v>206</v>
      </c>
      <c r="E166" s="15">
        <v>2006</v>
      </c>
      <c r="F166" s="7">
        <v>8</v>
      </c>
      <c r="G166" s="56">
        <v>0</v>
      </c>
      <c r="H166" s="56"/>
      <c r="I166" s="15" t="s">
        <v>103</v>
      </c>
      <c r="J166" s="15">
        <v>10</v>
      </c>
      <c r="K166" s="9">
        <f t="shared" si="70"/>
        <v>2016</v>
      </c>
      <c r="L166" s="57"/>
      <c r="M166" s="7"/>
      <c r="N166" s="34">
        <v>4912</v>
      </c>
      <c r="O166" s="44"/>
      <c r="P166" s="35">
        <f t="shared" si="71"/>
        <v>4912</v>
      </c>
      <c r="Q166" s="35">
        <f t="shared" si="72"/>
        <v>40.93333333333333</v>
      </c>
      <c r="R166" s="35">
        <f t="shared" si="73"/>
        <v>0</v>
      </c>
      <c r="S166" s="35"/>
      <c r="T166" s="35">
        <f t="shared" si="74"/>
        <v>0</v>
      </c>
      <c r="U166" s="35">
        <v>1</v>
      </c>
      <c r="V166" s="35">
        <f t="shared" si="75"/>
        <v>0</v>
      </c>
      <c r="W166" s="35"/>
      <c r="X166" s="35">
        <f t="shared" si="76"/>
        <v>4912</v>
      </c>
      <c r="Y166" s="35">
        <f t="shared" si="77"/>
        <v>4912</v>
      </c>
      <c r="Z166" s="35">
        <v>1</v>
      </c>
      <c r="AA166" s="35">
        <f t="shared" si="78"/>
        <v>4912</v>
      </c>
      <c r="AB166" s="35">
        <f t="shared" si="79"/>
        <v>4912</v>
      </c>
      <c r="AC166" s="35">
        <f t="shared" si="80"/>
        <v>0</v>
      </c>
      <c r="AD166" s="11">
        <f t="shared" si="81"/>
        <v>2006.5833333333333</v>
      </c>
      <c r="AE166" s="11">
        <f t="shared" si="82"/>
        <v>2017.6666666666667</v>
      </c>
      <c r="AF166" s="11">
        <f t="shared" si="83"/>
        <v>2016.5833333333333</v>
      </c>
      <c r="AG166" s="11">
        <f t="shared" si="84"/>
        <v>2016.6666666666667</v>
      </c>
      <c r="AH166" s="11">
        <f t="shared" si="85"/>
        <v>-8.3333333333333329E-2</v>
      </c>
    </row>
    <row r="167" spans="2:34">
      <c r="B167" s="7"/>
      <c r="C167" s="7">
        <v>2</v>
      </c>
      <c r="D167" s="32" t="s">
        <v>207</v>
      </c>
      <c r="E167" s="15">
        <v>2006</v>
      </c>
      <c r="F167" s="7">
        <v>8</v>
      </c>
      <c r="G167" s="56">
        <v>0</v>
      </c>
      <c r="H167" s="56"/>
      <c r="I167" s="15" t="s">
        <v>103</v>
      </c>
      <c r="J167" s="15">
        <v>10</v>
      </c>
      <c r="K167" s="9">
        <f t="shared" si="70"/>
        <v>2016</v>
      </c>
      <c r="L167" s="57"/>
      <c r="M167" s="7"/>
      <c r="N167" s="34">
        <v>1454</v>
      </c>
      <c r="O167" s="44"/>
      <c r="P167" s="35">
        <f t="shared" si="71"/>
        <v>1454</v>
      </c>
      <c r="Q167" s="35">
        <f t="shared" si="72"/>
        <v>12.116666666666667</v>
      </c>
      <c r="R167" s="35">
        <f t="shared" si="73"/>
        <v>0</v>
      </c>
      <c r="S167" s="35"/>
      <c r="T167" s="35">
        <f t="shared" si="74"/>
        <v>0</v>
      </c>
      <c r="U167" s="35">
        <v>1</v>
      </c>
      <c r="V167" s="35">
        <f t="shared" si="75"/>
        <v>0</v>
      </c>
      <c r="W167" s="35"/>
      <c r="X167" s="35">
        <f t="shared" si="76"/>
        <v>1454</v>
      </c>
      <c r="Y167" s="35">
        <f t="shared" si="77"/>
        <v>1454</v>
      </c>
      <c r="Z167" s="35">
        <v>1</v>
      </c>
      <c r="AA167" s="35">
        <f t="shared" si="78"/>
        <v>1454</v>
      </c>
      <c r="AB167" s="35">
        <f t="shared" si="79"/>
        <v>1454</v>
      </c>
      <c r="AC167" s="35">
        <f t="shared" si="80"/>
        <v>0</v>
      </c>
      <c r="AD167" s="11">
        <f t="shared" si="81"/>
        <v>2006.5833333333333</v>
      </c>
      <c r="AE167" s="11">
        <f t="shared" si="82"/>
        <v>2017.6666666666667</v>
      </c>
      <c r="AF167" s="11">
        <f t="shared" si="83"/>
        <v>2016.5833333333333</v>
      </c>
      <c r="AG167" s="11">
        <f t="shared" si="84"/>
        <v>2016.6666666666667</v>
      </c>
      <c r="AH167" s="11">
        <f t="shared" si="85"/>
        <v>-8.3333333333333329E-2</v>
      </c>
    </row>
    <row r="168" spans="2:34">
      <c r="B168" s="7"/>
      <c r="C168" s="7">
        <v>2</v>
      </c>
      <c r="D168" s="32" t="s">
        <v>209</v>
      </c>
      <c r="E168" s="15">
        <v>2007</v>
      </c>
      <c r="F168" s="7">
        <v>1</v>
      </c>
      <c r="G168" s="56">
        <v>0</v>
      </c>
      <c r="H168" s="56"/>
      <c r="I168" s="15" t="s">
        <v>103</v>
      </c>
      <c r="J168" s="15">
        <v>10</v>
      </c>
      <c r="K168" s="9">
        <f t="shared" si="70"/>
        <v>2017</v>
      </c>
      <c r="L168" s="57"/>
      <c r="M168" s="7"/>
      <c r="N168" s="34">
        <v>860</v>
      </c>
      <c r="O168" s="44"/>
      <c r="P168" s="35">
        <f t="shared" si="71"/>
        <v>860</v>
      </c>
      <c r="Q168" s="35">
        <f t="shared" si="72"/>
        <v>7.166666666666667</v>
      </c>
      <c r="R168" s="35">
        <f t="shared" si="73"/>
        <v>28.666666666660149</v>
      </c>
      <c r="S168" s="35"/>
      <c r="T168" s="35">
        <f t="shared" si="74"/>
        <v>28.666666666660149</v>
      </c>
      <c r="U168" s="35">
        <v>1</v>
      </c>
      <c r="V168" s="35">
        <f t="shared" si="75"/>
        <v>28.666666666660149</v>
      </c>
      <c r="W168" s="35"/>
      <c r="X168" s="35">
        <f t="shared" si="76"/>
        <v>831.33333333333985</v>
      </c>
      <c r="Y168" s="35">
        <f t="shared" si="77"/>
        <v>831.33333333333985</v>
      </c>
      <c r="Z168" s="35">
        <v>1</v>
      </c>
      <c r="AA168" s="35">
        <f t="shared" si="78"/>
        <v>831.33333333333985</v>
      </c>
      <c r="AB168" s="35">
        <f t="shared" si="79"/>
        <v>860</v>
      </c>
      <c r="AC168" s="35">
        <f t="shared" si="80"/>
        <v>14.333333333330074</v>
      </c>
      <c r="AD168" s="11">
        <f t="shared" si="81"/>
        <v>2007</v>
      </c>
      <c r="AE168" s="11">
        <f t="shared" si="82"/>
        <v>2017.6666666666667</v>
      </c>
      <c r="AF168" s="11">
        <f t="shared" si="83"/>
        <v>2017</v>
      </c>
      <c r="AG168" s="11">
        <f t="shared" si="84"/>
        <v>2016.6666666666667</v>
      </c>
      <c r="AH168" s="11">
        <f t="shared" si="85"/>
        <v>-8.3333333333333329E-2</v>
      </c>
    </row>
    <row r="169" spans="2:34">
      <c r="B169" s="7"/>
      <c r="C169" s="7">
        <v>2</v>
      </c>
      <c r="D169" s="32" t="s">
        <v>210</v>
      </c>
      <c r="E169" s="15">
        <v>2007</v>
      </c>
      <c r="F169" s="7">
        <v>1</v>
      </c>
      <c r="G169" s="56">
        <v>0</v>
      </c>
      <c r="H169" s="56"/>
      <c r="I169" s="15" t="s">
        <v>103</v>
      </c>
      <c r="J169" s="15">
        <v>10</v>
      </c>
      <c r="K169" s="9">
        <f t="shared" si="70"/>
        <v>2017</v>
      </c>
      <c r="L169" s="57"/>
      <c r="M169" s="7"/>
      <c r="N169" s="34">
        <v>900</v>
      </c>
      <c r="O169" s="44"/>
      <c r="P169" s="35">
        <f t="shared" si="71"/>
        <v>900</v>
      </c>
      <c r="Q169" s="35">
        <f t="shared" si="72"/>
        <v>7.5</v>
      </c>
      <c r="R169" s="35">
        <f t="shared" si="73"/>
        <v>29.999999999993179</v>
      </c>
      <c r="S169" s="35"/>
      <c r="T169" s="35">
        <f t="shared" si="74"/>
        <v>29.999999999993179</v>
      </c>
      <c r="U169" s="35">
        <v>1</v>
      </c>
      <c r="V169" s="35">
        <f t="shared" si="75"/>
        <v>29.999999999993179</v>
      </c>
      <c r="W169" s="35"/>
      <c r="X169" s="35">
        <f t="shared" si="76"/>
        <v>870.00000000000682</v>
      </c>
      <c r="Y169" s="35">
        <f t="shared" si="77"/>
        <v>870.00000000000682</v>
      </c>
      <c r="Z169" s="35">
        <v>1</v>
      </c>
      <c r="AA169" s="35">
        <f t="shared" si="78"/>
        <v>870.00000000000682</v>
      </c>
      <c r="AB169" s="35">
        <f t="shared" si="79"/>
        <v>900</v>
      </c>
      <c r="AC169" s="35">
        <f t="shared" si="80"/>
        <v>14.999999999996589</v>
      </c>
      <c r="AD169" s="11">
        <f t="shared" si="81"/>
        <v>2007</v>
      </c>
      <c r="AE169" s="11">
        <f t="shared" si="82"/>
        <v>2017.6666666666667</v>
      </c>
      <c r="AF169" s="11">
        <f t="shared" si="83"/>
        <v>2017</v>
      </c>
      <c r="AG169" s="11">
        <f t="shared" si="84"/>
        <v>2016.6666666666667</v>
      </c>
      <c r="AH169" s="11">
        <f t="shared" si="85"/>
        <v>-8.3333333333333329E-2</v>
      </c>
    </row>
    <row r="170" spans="2:34">
      <c r="B170" s="7"/>
      <c r="C170" s="7">
        <v>3</v>
      </c>
      <c r="D170" s="32" t="s">
        <v>208</v>
      </c>
      <c r="E170" s="15">
        <v>2007</v>
      </c>
      <c r="F170" s="7">
        <v>1</v>
      </c>
      <c r="G170" s="56">
        <v>0</v>
      </c>
      <c r="H170" s="56"/>
      <c r="I170" s="15" t="s">
        <v>103</v>
      </c>
      <c r="J170" s="15">
        <v>10</v>
      </c>
      <c r="K170" s="9">
        <f t="shared" si="70"/>
        <v>2017</v>
      </c>
      <c r="L170" s="57"/>
      <c r="M170" s="7"/>
      <c r="N170" s="34">
        <v>1410</v>
      </c>
      <c r="O170" s="44"/>
      <c r="P170" s="35">
        <f t="shared" si="71"/>
        <v>1410</v>
      </c>
      <c r="Q170" s="35">
        <f t="shared" si="72"/>
        <v>11.75</v>
      </c>
      <c r="R170" s="35">
        <f t="shared" si="73"/>
        <v>46.999999999989313</v>
      </c>
      <c r="S170" s="35"/>
      <c r="T170" s="35">
        <f t="shared" si="74"/>
        <v>46.999999999989313</v>
      </c>
      <c r="U170" s="35">
        <v>1</v>
      </c>
      <c r="V170" s="35">
        <f t="shared" si="75"/>
        <v>46.999999999989313</v>
      </c>
      <c r="W170" s="35"/>
      <c r="X170" s="35">
        <f t="shared" si="76"/>
        <v>1363.0000000000107</v>
      </c>
      <c r="Y170" s="35">
        <f t="shared" si="77"/>
        <v>1363.0000000000107</v>
      </c>
      <c r="Z170" s="35">
        <v>1</v>
      </c>
      <c r="AA170" s="35">
        <f t="shared" si="78"/>
        <v>1363.0000000000107</v>
      </c>
      <c r="AB170" s="35">
        <f t="shared" si="79"/>
        <v>1410</v>
      </c>
      <c r="AC170" s="35">
        <f t="shared" si="80"/>
        <v>23.499999999994657</v>
      </c>
      <c r="AD170" s="11">
        <f t="shared" si="81"/>
        <v>2007</v>
      </c>
      <c r="AE170" s="11">
        <f t="shared" si="82"/>
        <v>2017.6666666666667</v>
      </c>
      <c r="AF170" s="11">
        <f t="shared" si="83"/>
        <v>2017</v>
      </c>
      <c r="AG170" s="11">
        <f t="shared" si="84"/>
        <v>2016.6666666666667</v>
      </c>
      <c r="AH170" s="11">
        <f t="shared" si="85"/>
        <v>-8.3333333333333329E-2</v>
      </c>
    </row>
    <row r="171" spans="2:34">
      <c r="B171" s="7"/>
      <c r="C171" s="7">
        <v>12</v>
      </c>
      <c r="D171" s="32" t="s">
        <v>209</v>
      </c>
      <c r="E171" s="15">
        <v>2007</v>
      </c>
      <c r="F171" s="7">
        <v>7</v>
      </c>
      <c r="G171" s="56">
        <v>0</v>
      </c>
      <c r="H171" s="56"/>
      <c r="I171" s="15" t="s">
        <v>103</v>
      </c>
      <c r="J171" s="15">
        <v>10</v>
      </c>
      <c r="K171" s="9">
        <f t="shared" si="70"/>
        <v>2017</v>
      </c>
      <c r="L171" s="57"/>
      <c r="M171" s="7"/>
      <c r="N171" s="34">
        <v>5539</v>
      </c>
      <c r="O171" s="44"/>
      <c r="P171" s="35">
        <f t="shared" si="71"/>
        <v>5539</v>
      </c>
      <c r="Q171" s="35">
        <f t="shared" si="72"/>
        <v>46.158333333333331</v>
      </c>
      <c r="R171" s="35">
        <f t="shared" si="73"/>
        <v>461.58333333329131</v>
      </c>
      <c r="S171" s="35"/>
      <c r="T171" s="35">
        <f t="shared" si="74"/>
        <v>461.58333333329131</v>
      </c>
      <c r="U171" s="35">
        <v>1</v>
      </c>
      <c r="V171" s="35">
        <f t="shared" si="75"/>
        <v>461.58333333329131</v>
      </c>
      <c r="W171" s="35"/>
      <c r="X171" s="35">
        <f t="shared" si="76"/>
        <v>5077.4166666667088</v>
      </c>
      <c r="Y171" s="35">
        <f t="shared" si="77"/>
        <v>5077.4166666667088</v>
      </c>
      <c r="Z171" s="35">
        <v>1</v>
      </c>
      <c r="AA171" s="35">
        <f t="shared" si="78"/>
        <v>5077.4166666667088</v>
      </c>
      <c r="AB171" s="35">
        <f t="shared" si="79"/>
        <v>5539</v>
      </c>
      <c r="AC171" s="35">
        <f t="shared" si="80"/>
        <v>230.7916666666456</v>
      </c>
      <c r="AD171" s="11">
        <f t="shared" si="81"/>
        <v>2007.5</v>
      </c>
      <c r="AE171" s="11">
        <f t="shared" si="82"/>
        <v>2017.6666666666667</v>
      </c>
      <c r="AF171" s="11">
        <f t="shared" si="83"/>
        <v>2017.5</v>
      </c>
      <c r="AG171" s="11">
        <f t="shared" si="84"/>
        <v>2016.6666666666667</v>
      </c>
      <c r="AH171" s="11">
        <f t="shared" si="85"/>
        <v>-8.3333333333333329E-2</v>
      </c>
    </row>
    <row r="172" spans="2:34">
      <c r="B172" s="7"/>
      <c r="C172" s="7">
        <v>3</v>
      </c>
      <c r="D172" s="32" t="s">
        <v>210</v>
      </c>
      <c r="E172" s="15">
        <v>2007</v>
      </c>
      <c r="F172" s="7">
        <v>7</v>
      </c>
      <c r="G172" s="56">
        <v>0</v>
      </c>
      <c r="H172" s="56"/>
      <c r="I172" s="15" t="s">
        <v>103</v>
      </c>
      <c r="J172" s="15">
        <v>10</v>
      </c>
      <c r="K172" s="9">
        <f t="shared" si="70"/>
        <v>2017</v>
      </c>
      <c r="L172" s="57"/>
      <c r="M172" s="7"/>
      <c r="N172" s="34">
        <f>1335*1.086</f>
        <v>1449.8100000000002</v>
      </c>
      <c r="O172" s="44"/>
      <c r="P172" s="35">
        <f t="shared" si="71"/>
        <v>1449.8100000000002</v>
      </c>
      <c r="Q172" s="35">
        <f t="shared" si="72"/>
        <v>12.081750000000001</v>
      </c>
      <c r="R172" s="35">
        <f t="shared" si="73"/>
        <v>120.81749999998902</v>
      </c>
      <c r="S172" s="35"/>
      <c r="T172" s="35">
        <f t="shared" si="74"/>
        <v>120.81749999998902</v>
      </c>
      <c r="U172" s="35">
        <v>1</v>
      </c>
      <c r="V172" s="35">
        <f t="shared" si="75"/>
        <v>120.81749999998902</v>
      </c>
      <c r="W172" s="35"/>
      <c r="X172" s="35">
        <f t="shared" si="76"/>
        <v>1328.9925000000112</v>
      </c>
      <c r="Y172" s="35">
        <f t="shared" si="77"/>
        <v>1328.9925000000112</v>
      </c>
      <c r="Z172" s="35">
        <v>1</v>
      </c>
      <c r="AA172" s="35">
        <f t="shared" si="78"/>
        <v>1328.9925000000112</v>
      </c>
      <c r="AB172" s="35">
        <f t="shared" si="79"/>
        <v>1449.8100000000002</v>
      </c>
      <c r="AC172" s="35">
        <f t="shared" si="80"/>
        <v>60.408749999994484</v>
      </c>
      <c r="AD172" s="11">
        <f t="shared" si="81"/>
        <v>2007.5</v>
      </c>
      <c r="AE172" s="11">
        <f t="shared" si="82"/>
        <v>2017.6666666666667</v>
      </c>
      <c r="AF172" s="11">
        <f t="shared" si="83"/>
        <v>2017.5</v>
      </c>
      <c r="AG172" s="11">
        <f t="shared" si="84"/>
        <v>2016.6666666666667</v>
      </c>
      <c r="AH172" s="11">
        <f t="shared" si="85"/>
        <v>-8.3333333333333329E-2</v>
      </c>
    </row>
    <row r="173" spans="2:34">
      <c r="B173" s="7"/>
      <c r="C173" s="7">
        <v>2</v>
      </c>
      <c r="D173" s="32" t="s">
        <v>208</v>
      </c>
      <c r="E173" s="15">
        <v>2007</v>
      </c>
      <c r="F173" s="7">
        <v>7</v>
      </c>
      <c r="G173" s="56">
        <v>0</v>
      </c>
      <c r="H173" s="56"/>
      <c r="I173" s="15" t="s">
        <v>103</v>
      </c>
      <c r="J173" s="15">
        <v>10</v>
      </c>
      <c r="K173" s="9">
        <f t="shared" si="70"/>
        <v>2017</v>
      </c>
      <c r="L173" s="57"/>
      <c r="M173" s="7"/>
      <c r="N173" s="34">
        <f>930*1.086</f>
        <v>1009.98</v>
      </c>
      <c r="O173" s="44"/>
      <c r="P173" s="35">
        <f t="shared" si="71"/>
        <v>1009.98</v>
      </c>
      <c r="Q173" s="35">
        <f t="shared" si="72"/>
        <v>8.416500000000001</v>
      </c>
      <c r="R173" s="35">
        <f t="shared" si="73"/>
        <v>84.164999999992361</v>
      </c>
      <c r="S173" s="35"/>
      <c r="T173" s="35">
        <f t="shared" si="74"/>
        <v>84.164999999992361</v>
      </c>
      <c r="U173" s="35">
        <v>1</v>
      </c>
      <c r="V173" s="35">
        <f t="shared" si="75"/>
        <v>84.164999999992361</v>
      </c>
      <c r="W173" s="35"/>
      <c r="X173" s="35">
        <f t="shared" si="76"/>
        <v>925.81500000000767</v>
      </c>
      <c r="Y173" s="35">
        <f t="shared" si="77"/>
        <v>925.81500000000767</v>
      </c>
      <c r="Z173" s="35">
        <v>1</v>
      </c>
      <c r="AA173" s="35">
        <f t="shared" si="78"/>
        <v>925.81500000000767</v>
      </c>
      <c r="AB173" s="35">
        <f t="shared" si="79"/>
        <v>1009.98</v>
      </c>
      <c r="AC173" s="35">
        <f t="shared" si="80"/>
        <v>42.082499999996173</v>
      </c>
      <c r="AD173" s="11">
        <f t="shared" si="81"/>
        <v>2007.5</v>
      </c>
      <c r="AE173" s="11">
        <f t="shared" si="82"/>
        <v>2017.6666666666667</v>
      </c>
      <c r="AF173" s="11">
        <f t="shared" si="83"/>
        <v>2017.5</v>
      </c>
      <c r="AG173" s="11">
        <f t="shared" si="84"/>
        <v>2016.6666666666667</v>
      </c>
      <c r="AH173" s="11">
        <f t="shared" si="85"/>
        <v>-8.3333333333333329E-2</v>
      </c>
    </row>
    <row r="174" spans="2:34">
      <c r="B174" s="7"/>
      <c r="C174" s="7">
        <v>2</v>
      </c>
      <c r="D174" s="32" t="s">
        <v>208</v>
      </c>
      <c r="E174" s="15">
        <v>2007</v>
      </c>
      <c r="F174" s="7">
        <v>7</v>
      </c>
      <c r="G174" s="56">
        <v>0</v>
      </c>
      <c r="H174" s="56"/>
      <c r="I174" s="15" t="s">
        <v>103</v>
      </c>
      <c r="J174" s="15">
        <v>10</v>
      </c>
      <c r="K174" s="9">
        <f t="shared" si="70"/>
        <v>2017</v>
      </c>
      <c r="L174" s="57"/>
      <c r="M174" s="7"/>
      <c r="N174" s="34">
        <f>930*1.086</f>
        <v>1009.98</v>
      </c>
      <c r="O174" s="44"/>
      <c r="P174" s="35">
        <f t="shared" si="71"/>
        <v>1009.98</v>
      </c>
      <c r="Q174" s="35">
        <f t="shared" si="72"/>
        <v>8.416500000000001</v>
      </c>
      <c r="R174" s="35">
        <f t="shared" si="73"/>
        <v>84.164999999992361</v>
      </c>
      <c r="S174" s="35"/>
      <c r="T174" s="35">
        <f t="shared" si="74"/>
        <v>84.164999999992361</v>
      </c>
      <c r="U174" s="35">
        <v>1</v>
      </c>
      <c r="V174" s="35">
        <f t="shared" si="75"/>
        <v>84.164999999992361</v>
      </c>
      <c r="W174" s="35"/>
      <c r="X174" s="35">
        <f t="shared" si="76"/>
        <v>925.81500000000767</v>
      </c>
      <c r="Y174" s="35">
        <f t="shared" si="77"/>
        <v>925.81500000000767</v>
      </c>
      <c r="Z174" s="35">
        <v>1</v>
      </c>
      <c r="AA174" s="35">
        <f t="shared" si="78"/>
        <v>925.81500000000767</v>
      </c>
      <c r="AB174" s="35">
        <f t="shared" si="79"/>
        <v>1009.98</v>
      </c>
      <c r="AC174" s="35">
        <f t="shared" si="80"/>
        <v>42.082499999996173</v>
      </c>
      <c r="AD174" s="11">
        <f t="shared" si="81"/>
        <v>2007.5</v>
      </c>
      <c r="AE174" s="11">
        <f t="shared" si="82"/>
        <v>2017.6666666666667</v>
      </c>
      <c r="AF174" s="11">
        <f t="shared" si="83"/>
        <v>2017.5</v>
      </c>
      <c r="AG174" s="11">
        <f t="shared" si="84"/>
        <v>2016.6666666666667</v>
      </c>
      <c r="AH174" s="11">
        <f t="shared" si="85"/>
        <v>-8.3333333333333329E-2</v>
      </c>
    </row>
    <row r="175" spans="2:34">
      <c r="B175" s="7"/>
      <c r="C175" s="7">
        <v>3</v>
      </c>
      <c r="D175" s="32" t="s">
        <v>206</v>
      </c>
      <c r="E175" s="15">
        <v>2007</v>
      </c>
      <c r="F175" s="7">
        <v>8</v>
      </c>
      <c r="G175" s="56">
        <v>0</v>
      </c>
      <c r="H175" s="56"/>
      <c r="I175" s="15" t="s">
        <v>103</v>
      </c>
      <c r="J175" s="15">
        <v>10</v>
      </c>
      <c r="K175" s="9">
        <f t="shared" si="70"/>
        <v>2017</v>
      </c>
      <c r="L175" s="57"/>
      <c r="M175" s="7"/>
      <c r="N175" s="34">
        <f>1668+148.32+127.14</f>
        <v>1943.46</v>
      </c>
      <c r="O175" s="44"/>
      <c r="P175" s="35">
        <f t="shared" si="71"/>
        <v>1943.46</v>
      </c>
      <c r="Q175" s="35">
        <f t="shared" si="72"/>
        <v>16.195499999999999</v>
      </c>
      <c r="R175" s="35">
        <f t="shared" si="73"/>
        <v>178.15049999997052</v>
      </c>
      <c r="S175" s="35"/>
      <c r="T175" s="35">
        <f t="shared" si="74"/>
        <v>178.15049999997052</v>
      </c>
      <c r="U175" s="35">
        <v>1</v>
      </c>
      <c r="V175" s="35">
        <f t="shared" si="75"/>
        <v>178.15049999997052</v>
      </c>
      <c r="W175" s="35"/>
      <c r="X175" s="35">
        <f t="shared" si="76"/>
        <v>1765.3095000000294</v>
      </c>
      <c r="Y175" s="35">
        <f t="shared" si="77"/>
        <v>1765.3095000000294</v>
      </c>
      <c r="Z175" s="35">
        <v>1</v>
      </c>
      <c r="AA175" s="35">
        <f t="shared" si="78"/>
        <v>1765.3095000000294</v>
      </c>
      <c r="AB175" s="35">
        <f t="shared" si="79"/>
        <v>1943.46</v>
      </c>
      <c r="AC175" s="35">
        <f t="shared" si="80"/>
        <v>89.075249999985317</v>
      </c>
      <c r="AD175" s="11">
        <f t="shared" si="81"/>
        <v>2007.5833333333333</v>
      </c>
      <c r="AE175" s="11">
        <f t="shared" si="82"/>
        <v>2017.6666666666667</v>
      </c>
      <c r="AF175" s="11">
        <f t="shared" si="83"/>
        <v>2017.5833333333333</v>
      </c>
      <c r="AG175" s="11">
        <f t="shared" si="84"/>
        <v>2016.6666666666667</v>
      </c>
      <c r="AH175" s="11">
        <f t="shared" si="85"/>
        <v>-8.3333333333333329E-2</v>
      </c>
    </row>
    <row r="176" spans="2:34">
      <c r="B176" s="7"/>
      <c r="C176" s="7">
        <v>6</v>
      </c>
      <c r="D176" s="32" t="s">
        <v>207</v>
      </c>
      <c r="E176" s="15">
        <v>2007</v>
      </c>
      <c r="F176" s="7">
        <v>8</v>
      </c>
      <c r="G176" s="56">
        <v>0</v>
      </c>
      <c r="H176" s="56"/>
      <c r="I176" s="15" t="s">
        <v>103</v>
      </c>
      <c r="J176" s="15">
        <v>10</v>
      </c>
      <c r="K176" s="9">
        <f t="shared" si="70"/>
        <v>2017</v>
      </c>
      <c r="L176" s="57"/>
      <c r="M176" s="7"/>
      <c r="N176" s="34">
        <f>6639.35-N175</f>
        <v>4695.8900000000003</v>
      </c>
      <c r="O176" s="44"/>
      <c r="P176" s="35">
        <f t="shared" si="71"/>
        <v>4695.8900000000003</v>
      </c>
      <c r="Q176" s="35">
        <f t="shared" si="72"/>
        <v>39.132416666666671</v>
      </c>
      <c r="R176" s="35">
        <f t="shared" si="73"/>
        <v>430.45658333326219</v>
      </c>
      <c r="S176" s="35"/>
      <c r="T176" s="35">
        <f t="shared" si="74"/>
        <v>430.45658333326219</v>
      </c>
      <c r="U176" s="35">
        <v>1</v>
      </c>
      <c r="V176" s="35">
        <f t="shared" si="75"/>
        <v>430.45658333326219</v>
      </c>
      <c r="W176" s="35"/>
      <c r="X176" s="35">
        <f t="shared" si="76"/>
        <v>4265.4334166667377</v>
      </c>
      <c r="Y176" s="35">
        <f t="shared" si="77"/>
        <v>4265.4334166667377</v>
      </c>
      <c r="Z176" s="35">
        <v>1</v>
      </c>
      <c r="AA176" s="35">
        <f t="shared" si="78"/>
        <v>4265.4334166667377</v>
      </c>
      <c r="AB176" s="35">
        <f t="shared" si="79"/>
        <v>4695.8899999999994</v>
      </c>
      <c r="AC176" s="35">
        <f t="shared" si="80"/>
        <v>215.22829166663178</v>
      </c>
      <c r="AD176" s="11">
        <f t="shared" si="81"/>
        <v>2007.5833333333333</v>
      </c>
      <c r="AE176" s="11">
        <f t="shared" si="82"/>
        <v>2017.6666666666667</v>
      </c>
      <c r="AF176" s="11">
        <f t="shared" si="83"/>
        <v>2017.5833333333333</v>
      </c>
      <c r="AG176" s="11">
        <f t="shared" si="84"/>
        <v>2016.6666666666667</v>
      </c>
      <c r="AH176" s="11">
        <f t="shared" si="85"/>
        <v>-8.3333333333333329E-2</v>
      </c>
    </row>
    <row r="177" spans="1:34">
      <c r="B177" s="7"/>
      <c r="C177" s="7">
        <v>10</v>
      </c>
      <c r="D177" s="32" t="s">
        <v>211</v>
      </c>
      <c r="E177" s="15">
        <v>2009</v>
      </c>
      <c r="F177" s="7">
        <v>4</v>
      </c>
      <c r="G177" s="56">
        <v>0</v>
      </c>
      <c r="H177" s="56"/>
      <c r="I177" s="15" t="s">
        <v>103</v>
      </c>
      <c r="J177" s="15">
        <v>5</v>
      </c>
      <c r="K177" s="9">
        <f t="shared" si="70"/>
        <v>2014</v>
      </c>
      <c r="L177" s="57"/>
      <c r="M177" s="7"/>
      <c r="N177" s="34">
        <v>1005</v>
      </c>
      <c r="O177" s="44"/>
      <c r="P177" s="35">
        <f t="shared" si="71"/>
        <v>1005</v>
      </c>
      <c r="Q177" s="35">
        <f t="shared" si="72"/>
        <v>16.75</v>
      </c>
      <c r="R177" s="35">
        <f t="shared" si="73"/>
        <v>0</v>
      </c>
      <c r="S177" s="35"/>
      <c r="T177" s="35">
        <f t="shared" si="74"/>
        <v>0</v>
      </c>
      <c r="U177" s="35">
        <v>1</v>
      </c>
      <c r="V177" s="35">
        <f t="shared" si="75"/>
        <v>0</v>
      </c>
      <c r="W177" s="35"/>
      <c r="X177" s="35">
        <f t="shared" si="76"/>
        <v>1005</v>
      </c>
      <c r="Y177" s="35">
        <f t="shared" si="77"/>
        <v>1005</v>
      </c>
      <c r="Z177" s="35">
        <v>1</v>
      </c>
      <c r="AA177" s="35">
        <f t="shared" si="78"/>
        <v>1005</v>
      </c>
      <c r="AB177" s="35">
        <f t="shared" si="79"/>
        <v>1005</v>
      </c>
      <c r="AC177" s="35">
        <f t="shared" si="80"/>
        <v>0</v>
      </c>
      <c r="AD177" s="11">
        <f t="shared" si="81"/>
        <v>2009.25</v>
      </c>
      <c r="AE177" s="11">
        <f t="shared" si="82"/>
        <v>2017.6666666666667</v>
      </c>
      <c r="AF177" s="11">
        <f t="shared" si="83"/>
        <v>2014.25</v>
      </c>
      <c r="AG177" s="11">
        <f t="shared" si="84"/>
        <v>2016.6666666666667</v>
      </c>
      <c r="AH177" s="11">
        <f t="shared" si="85"/>
        <v>-8.3333333333333329E-2</v>
      </c>
    </row>
    <row r="178" spans="1:34">
      <c r="B178" s="7"/>
      <c r="C178" s="7">
        <v>5</v>
      </c>
      <c r="D178" s="32" t="s">
        <v>212</v>
      </c>
      <c r="E178" s="15">
        <v>2009</v>
      </c>
      <c r="F178" s="7">
        <v>4</v>
      </c>
      <c r="G178" s="56">
        <v>0</v>
      </c>
      <c r="H178" s="56"/>
      <c r="I178" s="15" t="s">
        <v>103</v>
      </c>
      <c r="J178" s="15">
        <v>5</v>
      </c>
      <c r="K178" s="9">
        <f t="shared" si="70"/>
        <v>2014</v>
      </c>
      <c r="L178" s="57"/>
      <c r="M178" s="7"/>
      <c r="N178" s="34">
        <v>588</v>
      </c>
      <c r="O178" s="44"/>
      <c r="P178" s="35">
        <f t="shared" si="71"/>
        <v>588</v>
      </c>
      <c r="Q178" s="35">
        <f t="shared" si="72"/>
        <v>9.7999999999999989</v>
      </c>
      <c r="R178" s="35">
        <f t="shared" si="73"/>
        <v>0</v>
      </c>
      <c r="S178" s="35"/>
      <c r="T178" s="35">
        <f t="shared" si="74"/>
        <v>0</v>
      </c>
      <c r="U178" s="35">
        <v>1</v>
      </c>
      <c r="V178" s="35">
        <f t="shared" si="75"/>
        <v>0</v>
      </c>
      <c r="W178" s="35"/>
      <c r="X178" s="35">
        <f t="shared" si="76"/>
        <v>588</v>
      </c>
      <c r="Y178" s="35">
        <f t="shared" si="77"/>
        <v>588</v>
      </c>
      <c r="Z178" s="35">
        <v>1</v>
      </c>
      <c r="AA178" s="35">
        <f t="shared" si="78"/>
        <v>588</v>
      </c>
      <c r="AB178" s="35">
        <f t="shared" si="79"/>
        <v>588</v>
      </c>
      <c r="AC178" s="35">
        <f t="shared" si="80"/>
        <v>0</v>
      </c>
      <c r="AD178" s="11">
        <f t="shared" si="81"/>
        <v>2009.25</v>
      </c>
      <c r="AE178" s="11">
        <f t="shared" si="82"/>
        <v>2017.6666666666667</v>
      </c>
      <c r="AF178" s="11">
        <f t="shared" si="83"/>
        <v>2014.25</v>
      </c>
      <c r="AG178" s="11">
        <f t="shared" si="84"/>
        <v>2016.6666666666667</v>
      </c>
      <c r="AH178" s="11">
        <f t="shared" si="85"/>
        <v>-8.3333333333333329E-2</v>
      </c>
    </row>
    <row r="179" spans="1:34">
      <c r="B179" s="7"/>
      <c r="C179" s="7">
        <v>4</v>
      </c>
      <c r="D179" s="32" t="s">
        <v>213</v>
      </c>
      <c r="E179" s="15">
        <v>2009</v>
      </c>
      <c r="F179" s="7">
        <v>4</v>
      </c>
      <c r="G179" s="56">
        <v>0</v>
      </c>
      <c r="H179" s="56"/>
      <c r="I179" s="15" t="s">
        <v>103</v>
      </c>
      <c r="J179" s="15">
        <v>5</v>
      </c>
      <c r="K179" s="9">
        <f t="shared" si="70"/>
        <v>2014</v>
      </c>
      <c r="L179" s="57"/>
      <c r="M179" s="7"/>
      <c r="N179" s="34">
        <v>873</v>
      </c>
      <c r="O179" s="44"/>
      <c r="P179" s="35">
        <f t="shared" si="71"/>
        <v>873</v>
      </c>
      <c r="Q179" s="35">
        <f t="shared" si="72"/>
        <v>14.549999999999999</v>
      </c>
      <c r="R179" s="35">
        <f t="shared" si="73"/>
        <v>0</v>
      </c>
      <c r="S179" s="35"/>
      <c r="T179" s="35">
        <f t="shared" si="74"/>
        <v>0</v>
      </c>
      <c r="U179" s="35">
        <v>1</v>
      </c>
      <c r="V179" s="35">
        <f t="shared" si="75"/>
        <v>0</v>
      </c>
      <c r="W179" s="35"/>
      <c r="X179" s="35">
        <f t="shared" si="76"/>
        <v>873</v>
      </c>
      <c r="Y179" s="35">
        <f t="shared" si="77"/>
        <v>873</v>
      </c>
      <c r="Z179" s="35">
        <v>1</v>
      </c>
      <c r="AA179" s="35">
        <f t="shared" si="78"/>
        <v>873</v>
      </c>
      <c r="AB179" s="35">
        <f t="shared" si="79"/>
        <v>873</v>
      </c>
      <c r="AC179" s="35">
        <f t="shared" si="80"/>
        <v>0</v>
      </c>
      <c r="AD179" s="11">
        <f t="shared" si="81"/>
        <v>2009.25</v>
      </c>
      <c r="AE179" s="11">
        <f t="shared" si="82"/>
        <v>2017.6666666666667</v>
      </c>
      <c r="AF179" s="11">
        <f t="shared" si="83"/>
        <v>2014.25</v>
      </c>
      <c r="AG179" s="11">
        <f t="shared" si="84"/>
        <v>2016.6666666666667</v>
      </c>
      <c r="AH179" s="11">
        <f t="shared" si="85"/>
        <v>-8.3333333333333329E-2</v>
      </c>
    </row>
    <row r="180" spans="1:34">
      <c r="B180" s="7"/>
      <c r="C180" s="7">
        <v>6</v>
      </c>
      <c r="D180" s="32" t="s">
        <v>214</v>
      </c>
      <c r="E180" s="15">
        <v>2009</v>
      </c>
      <c r="F180" s="7">
        <v>4</v>
      </c>
      <c r="G180" s="56">
        <v>0</v>
      </c>
      <c r="H180" s="56"/>
      <c r="I180" s="15" t="s">
        <v>103</v>
      </c>
      <c r="J180" s="15">
        <v>5</v>
      </c>
      <c r="K180" s="9">
        <f t="shared" si="70"/>
        <v>2014</v>
      </c>
      <c r="L180" s="57"/>
      <c r="M180" s="7"/>
      <c r="N180" s="34">
        <v>1560</v>
      </c>
      <c r="O180" s="44"/>
      <c r="P180" s="35">
        <f t="shared" si="71"/>
        <v>1560</v>
      </c>
      <c r="Q180" s="35">
        <f t="shared" si="72"/>
        <v>26</v>
      </c>
      <c r="R180" s="35">
        <f t="shared" si="73"/>
        <v>0</v>
      </c>
      <c r="S180" s="35"/>
      <c r="T180" s="35">
        <f t="shared" si="74"/>
        <v>0</v>
      </c>
      <c r="U180" s="35">
        <v>1</v>
      </c>
      <c r="V180" s="35">
        <f t="shared" si="75"/>
        <v>0</v>
      </c>
      <c r="W180" s="35"/>
      <c r="X180" s="35">
        <f t="shared" si="76"/>
        <v>1560</v>
      </c>
      <c r="Y180" s="35">
        <f t="shared" si="77"/>
        <v>1560</v>
      </c>
      <c r="Z180" s="35">
        <v>1</v>
      </c>
      <c r="AA180" s="35">
        <f t="shared" si="78"/>
        <v>1560</v>
      </c>
      <c r="AB180" s="35">
        <f t="shared" si="79"/>
        <v>1560</v>
      </c>
      <c r="AC180" s="35">
        <f t="shared" si="80"/>
        <v>0</v>
      </c>
      <c r="AD180" s="11">
        <f t="shared" si="81"/>
        <v>2009.25</v>
      </c>
      <c r="AE180" s="11">
        <f t="shared" si="82"/>
        <v>2017.6666666666667</v>
      </c>
      <c r="AF180" s="11">
        <f t="shared" si="83"/>
        <v>2014.25</v>
      </c>
      <c r="AG180" s="11">
        <f t="shared" si="84"/>
        <v>2016.6666666666667</v>
      </c>
      <c r="AH180" s="11">
        <f t="shared" si="85"/>
        <v>-8.3333333333333329E-2</v>
      </c>
    </row>
    <row r="181" spans="1:34">
      <c r="B181" s="7"/>
      <c r="C181" s="7">
        <v>7</v>
      </c>
      <c r="D181" s="32" t="s">
        <v>209</v>
      </c>
      <c r="E181" s="15">
        <v>2010</v>
      </c>
      <c r="F181" s="7">
        <v>5</v>
      </c>
      <c r="G181" s="56">
        <v>0</v>
      </c>
      <c r="H181" s="56"/>
      <c r="I181" s="15" t="s">
        <v>103</v>
      </c>
      <c r="J181" s="15">
        <v>10</v>
      </c>
      <c r="K181" s="9">
        <f t="shared" si="70"/>
        <v>2020</v>
      </c>
      <c r="L181" s="57"/>
      <c r="M181" s="7"/>
      <c r="N181" s="34">
        <v>2792</v>
      </c>
      <c r="O181" s="44"/>
      <c r="P181" s="35">
        <f t="shared" si="71"/>
        <v>2792</v>
      </c>
      <c r="Q181" s="35">
        <f t="shared" si="72"/>
        <v>23.266666666666666</v>
      </c>
      <c r="R181" s="35">
        <f t="shared" si="73"/>
        <v>279.2</v>
      </c>
      <c r="S181" s="35"/>
      <c r="T181" s="35">
        <f t="shared" si="74"/>
        <v>279.2</v>
      </c>
      <c r="U181" s="35">
        <v>1</v>
      </c>
      <c r="V181" s="35">
        <f t="shared" si="75"/>
        <v>279.2</v>
      </c>
      <c r="W181" s="35"/>
      <c r="X181" s="35">
        <f t="shared" si="76"/>
        <v>1768.2666666667089</v>
      </c>
      <c r="Y181" s="35">
        <f t="shared" si="77"/>
        <v>1768.2666666667089</v>
      </c>
      <c r="Z181" s="35">
        <v>1</v>
      </c>
      <c r="AA181" s="35">
        <f t="shared" si="78"/>
        <v>1768.2666666667089</v>
      </c>
      <c r="AB181" s="35">
        <f t="shared" si="79"/>
        <v>2047.466666666709</v>
      </c>
      <c r="AC181" s="35">
        <f t="shared" si="80"/>
        <v>884.13333333329103</v>
      </c>
      <c r="AD181" s="11">
        <f t="shared" si="81"/>
        <v>2010.3333333333333</v>
      </c>
      <c r="AE181" s="11">
        <f t="shared" si="82"/>
        <v>2017.6666666666667</v>
      </c>
      <c r="AF181" s="11">
        <f t="shared" si="83"/>
        <v>2020.3333333333333</v>
      </c>
      <c r="AG181" s="11">
        <f t="shared" si="84"/>
        <v>2016.6666666666667</v>
      </c>
      <c r="AH181" s="11">
        <f t="shared" si="85"/>
        <v>-8.3333333333333329E-2</v>
      </c>
    </row>
    <row r="182" spans="1:34">
      <c r="B182" s="7"/>
      <c r="C182" s="7">
        <v>3</v>
      </c>
      <c r="D182" s="32" t="s">
        <v>210</v>
      </c>
      <c r="E182" s="15">
        <v>2010</v>
      </c>
      <c r="F182" s="7">
        <v>5</v>
      </c>
      <c r="G182" s="56">
        <v>0</v>
      </c>
      <c r="H182" s="56"/>
      <c r="I182" s="15" t="s">
        <v>103</v>
      </c>
      <c r="J182" s="15">
        <v>10</v>
      </c>
      <c r="K182" s="9">
        <f t="shared" si="70"/>
        <v>2020</v>
      </c>
      <c r="L182" s="57"/>
      <c r="M182" s="7"/>
      <c r="N182" s="34">
        <v>1294</v>
      </c>
      <c r="O182" s="44"/>
      <c r="P182" s="35">
        <f t="shared" si="71"/>
        <v>1294</v>
      </c>
      <c r="Q182" s="35">
        <f t="shared" si="72"/>
        <v>10.783333333333333</v>
      </c>
      <c r="R182" s="35">
        <f t="shared" si="73"/>
        <v>129.4</v>
      </c>
      <c r="S182" s="35"/>
      <c r="T182" s="35">
        <f t="shared" si="74"/>
        <v>129.4</v>
      </c>
      <c r="U182" s="35">
        <v>1</v>
      </c>
      <c r="V182" s="35">
        <f t="shared" si="75"/>
        <v>129.4</v>
      </c>
      <c r="W182" s="35"/>
      <c r="X182" s="35">
        <f t="shared" si="76"/>
        <v>819.53333333335297</v>
      </c>
      <c r="Y182" s="35">
        <f t="shared" si="77"/>
        <v>819.53333333335297</v>
      </c>
      <c r="Z182" s="35">
        <v>1</v>
      </c>
      <c r="AA182" s="35">
        <f t="shared" si="78"/>
        <v>819.53333333335297</v>
      </c>
      <c r="AB182" s="35">
        <f t="shared" si="79"/>
        <v>948.93333333335295</v>
      </c>
      <c r="AC182" s="35">
        <f t="shared" si="80"/>
        <v>409.76666666664704</v>
      </c>
      <c r="AD182" s="11">
        <f t="shared" si="81"/>
        <v>2010.3333333333333</v>
      </c>
      <c r="AE182" s="11">
        <f t="shared" si="82"/>
        <v>2017.6666666666667</v>
      </c>
      <c r="AF182" s="11">
        <f t="shared" si="83"/>
        <v>2020.3333333333333</v>
      </c>
      <c r="AG182" s="11">
        <f t="shared" si="84"/>
        <v>2016.6666666666667</v>
      </c>
      <c r="AH182" s="11">
        <f t="shared" si="85"/>
        <v>-8.3333333333333329E-2</v>
      </c>
    </row>
    <row r="183" spans="1:34">
      <c r="B183" s="7"/>
      <c r="C183" s="7">
        <v>3</v>
      </c>
      <c r="D183" s="32" t="s">
        <v>210</v>
      </c>
      <c r="E183" s="15">
        <v>2011</v>
      </c>
      <c r="F183" s="7">
        <v>1</v>
      </c>
      <c r="G183" s="56">
        <v>0</v>
      </c>
      <c r="H183" s="56"/>
      <c r="I183" s="15" t="s">
        <v>103</v>
      </c>
      <c r="J183" s="15">
        <v>10</v>
      </c>
      <c r="K183" s="9">
        <f t="shared" si="70"/>
        <v>2021</v>
      </c>
      <c r="L183" s="57"/>
      <c r="M183" s="7"/>
      <c r="N183" s="34">
        <v>1623.47</v>
      </c>
      <c r="O183" s="44"/>
      <c r="P183" s="35">
        <f t="shared" si="71"/>
        <v>1623.47</v>
      </c>
      <c r="Q183" s="35">
        <f t="shared" si="72"/>
        <v>13.528916666666667</v>
      </c>
      <c r="R183" s="35">
        <f t="shared" si="73"/>
        <v>162.34700000000001</v>
      </c>
      <c r="S183" s="35"/>
      <c r="T183" s="35">
        <f t="shared" si="74"/>
        <v>162.34700000000001</v>
      </c>
      <c r="U183" s="35">
        <v>1</v>
      </c>
      <c r="V183" s="35">
        <f t="shared" si="75"/>
        <v>162.34700000000001</v>
      </c>
      <c r="W183" s="35"/>
      <c r="X183" s="35">
        <f t="shared" si="76"/>
        <v>919.96633333334569</v>
      </c>
      <c r="Y183" s="35">
        <f t="shared" si="77"/>
        <v>919.96633333334569</v>
      </c>
      <c r="Z183" s="35">
        <v>1</v>
      </c>
      <c r="AA183" s="35">
        <f t="shared" si="78"/>
        <v>919.96633333334569</v>
      </c>
      <c r="AB183" s="35">
        <f t="shared" si="79"/>
        <v>1082.3133333333458</v>
      </c>
      <c r="AC183" s="35">
        <f t="shared" si="80"/>
        <v>622.33016666665435</v>
      </c>
      <c r="AD183" s="11">
        <f t="shared" si="81"/>
        <v>2011</v>
      </c>
      <c r="AE183" s="11">
        <f t="shared" si="82"/>
        <v>2017.6666666666667</v>
      </c>
      <c r="AF183" s="11">
        <f t="shared" si="83"/>
        <v>2021</v>
      </c>
      <c r="AG183" s="11">
        <f t="shared" si="84"/>
        <v>2016.6666666666667</v>
      </c>
      <c r="AH183" s="11">
        <f t="shared" si="85"/>
        <v>-8.3333333333333329E-2</v>
      </c>
    </row>
    <row r="184" spans="1:34">
      <c r="B184" s="7"/>
      <c r="C184" s="7">
        <v>2</v>
      </c>
      <c r="D184" s="32" t="s">
        <v>208</v>
      </c>
      <c r="E184" s="15">
        <v>2011</v>
      </c>
      <c r="F184" s="7">
        <v>1</v>
      </c>
      <c r="G184" s="56">
        <v>0</v>
      </c>
      <c r="H184" s="56"/>
      <c r="I184" s="15" t="s">
        <v>103</v>
      </c>
      <c r="J184" s="15">
        <v>10</v>
      </c>
      <c r="K184" s="9">
        <f t="shared" si="70"/>
        <v>2021</v>
      </c>
      <c r="L184" s="57"/>
      <c r="M184" s="7"/>
      <c r="N184" s="34">
        <v>1636.4</v>
      </c>
      <c r="O184" s="44"/>
      <c r="P184" s="35">
        <f t="shared" si="71"/>
        <v>1636.4</v>
      </c>
      <c r="Q184" s="35">
        <f t="shared" si="72"/>
        <v>13.636666666666668</v>
      </c>
      <c r="R184" s="35">
        <f t="shared" si="73"/>
        <v>163.64000000000001</v>
      </c>
      <c r="S184" s="35"/>
      <c r="T184" s="35">
        <f t="shared" si="74"/>
        <v>163.64000000000001</v>
      </c>
      <c r="U184" s="35">
        <v>1</v>
      </c>
      <c r="V184" s="35">
        <f t="shared" si="75"/>
        <v>163.64000000000001</v>
      </c>
      <c r="W184" s="35"/>
      <c r="X184" s="35">
        <f t="shared" si="76"/>
        <v>927.29333333334591</v>
      </c>
      <c r="Y184" s="35">
        <f t="shared" si="77"/>
        <v>927.29333333334591</v>
      </c>
      <c r="Z184" s="35">
        <v>1</v>
      </c>
      <c r="AA184" s="35">
        <f t="shared" si="78"/>
        <v>927.29333333334591</v>
      </c>
      <c r="AB184" s="35">
        <f t="shared" si="79"/>
        <v>1090.9333333333459</v>
      </c>
      <c r="AC184" s="35">
        <f t="shared" si="80"/>
        <v>627.28666666665413</v>
      </c>
      <c r="AD184" s="11">
        <f t="shared" si="81"/>
        <v>2011</v>
      </c>
      <c r="AE184" s="11">
        <f t="shared" si="82"/>
        <v>2017.6666666666667</v>
      </c>
      <c r="AF184" s="11">
        <f t="shared" si="83"/>
        <v>2021</v>
      </c>
      <c r="AG184" s="11">
        <f t="shared" si="84"/>
        <v>2016.6666666666667</v>
      </c>
      <c r="AH184" s="11">
        <f t="shared" si="85"/>
        <v>-8.3333333333333329E-2</v>
      </c>
    </row>
    <row r="185" spans="1:34">
      <c r="B185" s="7"/>
      <c r="C185" s="7">
        <v>4</v>
      </c>
      <c r="D185" s="32" t="s">
        <v>210</v>
      </c>
      <c r="E185" s="15">
        <v>2011</v>
      </c>
      <c r="F185" s="7">
        <v>12</v>
      </c>
      <c r="G185" s="56">
        <v>0</v>
      </c>
      <c r="H185" s="56"/>
      <c r="I185" s="15" t="s">
        <v>103</v>
      </c>
      <c r="J185" s="15">
        <v>10</v>
      </c>
      <c r="K185" s="9">
        <f t="shared" si="70"/>
        <v>2021</v>
      </c>
      <c r="L185" s="57"/>
      <c r="M185" s="7"/>
      <c r="N185" s="34">
        <v>2165</v>
      </c>
      <c r="O185" s="44"/>
      <c r="P185" s="35">
        <f t="shared" si="71"/>
        <v>2165</v>
      </c>
      <c r="Q185" s="35">
        <f t="shared" si="72"/>
        <v>18.041666666666668</v>
      </c>
      <c r="R185" s="35">
        <f t="shared" si="73"/>
        <v>216.5</v>
      </c>
      <c r="S185" s="35"/>
      <c r="T185" s="35">
        <f t="shared" si="74"/>
        <v>216.5</v>
      </c>
      <c r="U185" s="35">
        <v>1</v>
      </c>
      <c r="V185" s="35">
        <f t="shared" si="75"/>
        <v>216.5</v>
      </c>
      <c r="W185" s="35"/>
      <c r="X185" s="35">
        <f t="shared" si="76"/>
        <v>1028.375</v>
      </c>
      <c r="Y185" s="35">
        <f t="shared" si="77"/>
        <v>1028.375</v>
      </c>
      <c r="Z185" s="35">
        <v>1</v>
      </c>
      <c r="AA185" s="35">
        <f t="shared" si="78"/>
        <v>1028.375</v>
      </c>
      <c r="AB185" s="35">
        <f t="shared" si="79"/>
        <v>1244.875</v>
      </c>
      <c r="AC185" s="35">
        <f t="shared" si="80"/>
        <v>1028.375</v>
      </c>
      <c r="AD185" s="11">
        <f t="shared" si="81"/>
        <v>2011.9166666666667</v>
      </c>
      <c r="AE185" s="11">
        <f t="shared" si="82"/>
        <v>2017.6666666666667</v>
      </c>
      <c r="AF185" s="11">
        <f t="shared" si="83"/>
        <v>2021.9166666666667</v>
      </c>
      <c r="AG185" s="11">
        <f t="shared" si="84"/>
        <v>2016.6666666666667</v>
      </c>
      <c r="AH185" s="11">
        <f t="shared" si="85"/>
        <v>-8.3333333333333329E-2</v>
      </c>
    </row>
    <row r="186" spans="1:34">
      <c r="B186" s="7"/>
      <c r="C186" s="7">
        <v>4</v>
      </c>
      <c r="D186" s="32" t="s">
        <v>206</v>
      </c>
      <c r="E186" s="15">
        <v>2011</v>
      </c>
      <c r="F186" s="7">
        <v>12</v>
      </c>
      <c r="G186" s="56">
        <v>0</v>
      </c>
      <c r="H186" s="56"/>
      <c r="I186" s="15" t="s">
        <v>103</v>
      </c>
      <c r="J186" s="15">
        <v>10</v>
      </c>
      <c r="K186" s="9">
        <f t="shared" si="70"/>
        <v>2021</v>
      </c>
      <c r="L186" s="57"/>
      <c r="M186" s="7"/>
      <c r="N186" s="34">
        <v>3060.43</v>
      </c>
      <c r="O186" s="44"/>
      <c r="P186" s="35">
        <f t="shared" si="71"/>
        <v>3060.43</v>
      </c>
      <c r="Q186" s="35">
        <f t="shared" si="72"/>
        <v>25.503583333333335</v>
      </c>
      <c r="R186" s="35">
        <f t="shared" si="73"/>
        <v>306.04300000000001</v>
      </c>
      <c r="S186" s="35"/>
      <c r="T186" s="35">
        <f t="shared" si="74"/>
        <v>306.04300000000001</v>
      </c>
      <c r="U186" s="35">
        <v>1</v>
      </c>
      <c r="V186" s="35">
        <f t="shared" si="75"/>
        <v>306.04300000000001</v>
      </c>
      <c r="W186" s="35"/>
      <c r="X186" s="35">
        <f t="shared" si="76"/>
        <v>1453.70425</v>
      </c>
      <c r="Y186" s="35">
        <f t="shared" si="77"/>
        <v>1453.70425</v>
      </c>
      <c r="Z186" s="35">
        <v>1</v>
      </c>
      <c r="AA186" s="35">
        <f t="shared" si="78"/>
        <v>1453.70425</v>
      </c>
      <c r="AB186" s="35">
        <f t="shared" si="79"/>
        <v>1759.7472499999999</v>
      </c>
      <c r="AC186" s="35">
        <f t="shared" si="80"/>
        <v>1453.7042499999998</v>
      </c>
      <c r="AD186" s="11">
        <f t="shared" si="81"/>
        <v>2011.9166666666667</v>
      </c>
      <c r="AE186" s="11">
        <f t="shared" si="82"/>
        <v>2017.6666666666667</v>
      </c>
      <c r="AF186" s="11">
        <f t="shared" si="83"/>
        <v>2021.9166666666667</v>
      </c>
      <c r="AG186" s="11">
        <f t="shared" si="84"/>
        <v>2016.6666666666667</v>
      </c>
      <c r="AH186" s="11">
        <f t="shared" si="85"/>
        <v>-8.3333333333333329E-2</v>
      </c>
    </row>
    <row r="187" spans="1:34">
      <c r="B187" s="7"/>
      <c r="C187" s="7">
        <v>3</v>
      </c>
      <c r="D187" s="32" t="s">
        <v>207</v>
      </c>
      <c r="E187" s="15">
        <v>2011</v>
      </c>
      <c r="F187" s="7">
        <v>12</v>
      </c>
      <c r="G187" s="56">
        <v>0</v>
      </c>
      <c r="H187" s="56"/>
      <c r="I187" s="15" t="s">
        <v>103</v>
      </c>
      <c r="J187" s="15">
        <v>10</v>
      </c>
      <c r="K187" s="9">
        <f t="shared" si="70"/>
        <v>2021</v>
      </c>
      <c r="L187" s="57"/>
      <c r="M187" s="7"/>
      <c r="N187" s="34">
        <v>2347.9499999999998</v>
      </c>
      <c r="O187" s="44"/>
      <c r="P187" s="35">
        <f t="shared" si="71"/>
        <v>2347.9499999999998</v>
      </c>
      <c r="Q187" s="35">
        <f t="shared" si="72"/>
        <v>19.56625</v>
      </c>
      <c r="R187" s="35">
        <f t="shared" si="73"/>
        <v>234.79500000000002</v>
      </c>
      <c r="S187" s="35"/>
      <c r="T187" s="35">
        <f t="shared" si="74"/>
        <v>234.79500000000002</v>
      </c>
      <c r="U187" s="35">
        <v>1</v>
      </c>
      <c r="V187" s="35">
        <f t="shared" si="75"/>
        <v>234.79500000000002</v>
      </c>
      <c r="W187" s="35"/>
      <c r="X187" s="35">
        <f t="shared" si="76"/>
        <v>1115.2762500000001</v>
      </c>
      <c r="Y187" s="35">
        <f t="shared" si="77"/>
        <v>1115.2762500000001</v>
      </c>
      <c r="Z187" s="35">
        <v>1</v>
      </c>
      <c r="AA187" s="35">
        <f t="shared" si="78"/>
        <v>1115.2762500000001</v>
      </c>
      <c r="AB187" s="35">
        <f t="shared" si="79"/>
        <v>1350.0712500000002</v>
      </c>
      <c r="AC187" s="35">
        <f t="shared" si="80"/>
        <v>1115.2762499999997</v>
      </c>
      <c r="AD187" s="11">
        <f t="shared" si="81"/>
        <v>2011.9166666666667</v>
      </c>
      <c r="AE187" s="11">
        <f t="shared" si="82"/>
        <v>2017.6666666666667</v>
      </c>
      <c r="AF187" s="11">
        <f t="shared" si="83"/>
        <v>2021.9166666666667</v>
      </c>
      <c r="AG187" s="11">
        <f t="shared" si="84"/>
        <v>2016.6666666666667</v>
      </c>
      <c r="AH187" s="11">
        <f t="shared" si="85"/>
        <v>-8.3333333333333329E-2</v>
      </c>
    </row>
    <row r="188" spans="1:34">
      <c r="B188" s="7"/>
      <c r="C188" s="7">
        <v>3</v>
      </c>
      <c r="D188" s="32" t="s">
        <v>209</v>
      </c>
      <c r="E188" s="15">
        <v>2012</v>
      </c>
      <c r="F188" s="7">
        <v>11</v>
      </c>
      <c r="G188" s="56">
        <v>0</v>
      </c>
      <c r="H188" s="56"/>
      <c r="I188" s="15" t="s">
        <v>103</v>
      </c>
      <c r="J188" s="15">
        <v>10</v>
      </c>
      <c r="K188" s="9">
        <f t="shared" si="70"/>
        <v>2022</v>
      </c>
      <c r="L188" s="57"/>
      <c r="M188" s="7"/>
      <c r="N188" s="34">
        <v>1342</v>
      </c>
      <c r="O188" s="44"/>
      <c r="P188" s="35">
        <f t="shared" si="71"/>
        <v>1342</v>
      </c>
      <c r="Q188" s="35">
        <f t="shared" si="72"/>
        <v>11.183333333333332</v>
      </c>
      <c r="R188" s="35">
        <f t="shared" si="73"/>
        <v>134.19999999999999</v>
      </c>
      <c r="S188" s="35"/>
      <c r="T188" s="35">
        <f t="shared" si="74"/>
        <v>134.19999999999999</v>
      </c>
      <c r="U188" s="35">
        <v>1</v>
      </c>
      <c r="V188" s="35">
        <f t="shared" si="75"/>
        <v>134.19999999999999</v>
      </c>
      <c r="W188" s="35"/>
      <c r="X188" s="35">
        <f t="shared" si="76"/>
        <v>514.43333333335363</v>
      </c>
      <c r="Y188" s="35">
        <f t="shared" si="77"/>
        <v>514.43333333335363</v>
      </c>
      <c r="Z188" s="35">
        <v>1</v>
      </c>
      <c r="AA188" s="35">
        <f t="shared" si="78"/>
        <v>514.43333333335363</v>
      </c>
      <c r="AB188" s="35">
        <f t="shared" si="79"/>
        <v>648.63333333335368</v>
      </c>
      <c r="AC188" s="35">
        <f t="shared" si="80"/>
        <v>760.46666666664635</v>
      </c>
      <c r="AD188" s="11">
        <f t="shared" si="81"/>
        <v>2012.8333333333333</v>
      </c>
      <c r="AE188" s="11">
        <f t="shared" si="82"/>
        <v>2017.6666666666667</v>
      </c>
      <c r="AF188" s="11">
        <f t="shared" si="83"/>
        <v>2022.8333333333333</v>
      </c>
      <c r="AG188" s="11">
        <f t="shared" si="84"/>
        <v>2016.6666666666667</v>
      </c>
      <c r="AH188" s="11">
        <f t="shared" si="85"/>
        <v>-8.3333333333333329E-2</v>
      </c>
    </row>
    <row r="189" spans="1:34">
      <c r="B189" s="7"/>
      <c r="C189" s="7">
        <v>5</v>
      </c>
      <c r="D189" s="32" t="s">
        <v>208</v>
      </c>
      <c r="E189" s="15">
        <v>2012</v>
      </c>
      <c r="F189" s="7">
        <v>11</v>
      </c>
      <c r="G189" s="56">
        <v>0</v>
      </c>
      <c r="H189" s="56"/>
      <c r="I189" s="15" t="s">
        <v>103</v>
      </c>
      <c r="J189" s="15">
        <v>10</v>
      </c>
      <c r="K189" s="9">
        <f t="shared" si="70"/>
        <v>2022</v>
      </c>
      <c r="L189" s="57"/>
      <c r="M189" s="7"/>
      <c r="N189" s="34">
        <v>2485</v>
      </c>
      <c r="O189" s="44"/>
      <c r="P189" s="35">
        <f t="shared" si="71"/>
        <v>2485</v>
      </c>
      <c r="Q189" s="35">
        <f t="shared" si="72"/>
        <v>20.708333333333332</v>
      </c>
      <c r="R189" s="35">
        <f t="shared" si="73"/>
        <v>248.5</v>
      </c>
      <c r="S189" s="35"/>
      <c r="T189" s="35">
        <f t="shared" si="74"/>
        <v>248.5</v>
      </c>
      <c r="U189" s="35">
        <v>1</v>
      </c>
      <c r="V189" s="35">
        <f t="shared" si="75"/>
        <v>248.5</v>
      </c>
      <c r="W189" s="35"/>
      <c r="X189" s="35">
        <f t="shared" si="76"/>
        <v>952.583333333371</v>
      </c>
      <c r="Y189" s="35">
        <f t="shared" si="77"/>
        <v>952.583333333371</v>
      </c>
      <c r="Z189" s="35">
        <v>1</v>
      </c>
      <c r="AA189" s="35">
        <f t="shared" si="78"/>
        <v>952.583333333371</v>
      </c>
      <c r="AB189" s="35">
        <f t="shared" si="79"/>
        <v>1201.083333333371</v>
      </c>
      <c r="AC189" s="35">
        <f t="shared" si="80"/>
        <v>1408.166666666629</v>
      </c>
      <c r="AD189" s="11">
        <f t="shared" si="81"/>
        <v>2012.8333333333333</v>
      </c>
      <c r="AE189" s="11">
        <f t="shared" si="82"/>
        <v>2017.6666666666667</v>
      </c>
      <c r="AF189" s="11">
        <f t="shared" si="83"/>
        <v>2022.8333333333333</v>
      </c>
      <c r="AG189" s="11">
        <f t="shared" si="84"/>
        <v>2016.6666666666667</v>
      </c>
      <c r="AH189" s="11">
        <f t="shared" si="85"/>
        <v>-8.3333333333333329E-2</v>
      </c>
    </row>
    <row r="190" spans="1:34">
      <c r="A190" s="5">
        <v>118261</v>
      </c>
      <c r="B190" s="7"/>
      <c r="C190" s="7">
        <v>8</v>
      </c>
      <c r="D190" s="32" t="s">
        <v>209</v>
      </c>
      <c r="E190" s="15">
        <v>2014</v>
      </c>
      <c r="F190" s="7">
        <v>12</v>
      </c>
      <c r="G190" s="56">
        <v>0</v>
      </c>
      <c r="H190" s="56"/>
      <c r="I190" s="15" t="s">
        <v>103</v>
      </c>
      <c r="J190" s="15">
        <v>10</v>
      </c>
      <c r="K190" s="9">
        <f t="shared" si="70"/>
        <v>2024</v>
      </c>
      <c r="L190" s="57"/>
      <c r="M190" s="7"/>
      <c r="N190" s="34">
        <v>4064.06</v>
      </c>
      <c r="O190" s="44"/>
      <c r="P190" s="35">
        <f t="shared" si="71"/>
        <v>4064.06</v>
      </c>
      <c r="Q190" s="35">
        <f t="shared" si="72"/>
        <v>33.86716666666667</v>
      </c>
      <c r="R190" s="35">
        <f t="shared" si="73"/>
        <v>406.40600000000006</v>
      </c>
      <c r="S190" s="35"/>
      <c r="T190" s="35">
        <f t="shared" si="74"/>
        <v>406.40600000000006</v>
      </c>
      <c r="U190" s="35">
        <v>1</v>
      </c>
      <c r="V190" s="35">
        <f t="shared" si="75"/>
        <v>406.40600000000006</v>
      </c>
      <c r="W190" s="35"/>
      <c r="X190" s="35">
        <f t="shared" si="76"/>
        <v>711.21050000000002</v>
      </c>
      <c r="Y190" s="35">
        <f t="shared" si="77"/>
        <v>711.21050000000002</v>
      </c>
      <c r="Z190" s="35">
        <v>1</v>
      </c>
      <c r="AA190" s="35">
        <f t="shared" si="78"/>
        <v>711.21050000000002</v>
      </c>
      <c r="AB190" s="35">
        <f t="shared" si="79"/>
        <v>1117.6165000000001</v>
      </c>
      <c r="AC190" s="35">
        <f t="shared" si="80"/>
        <v>3149.6464999999998</v>
      </c>
      <c r="AD190" s="11">
        <f t="shared" si="81"/>
        <v>2014.9166666666667</v>
      </c>
      <c r="AE190" s="11">
        <f t="shared" si="82"/>
        <v>2017.6666666666667</v>
      </c>
      <c r="AF190" s="11">
        <f t="shared" si="83"/>
        <v>2024.9166666666667</v>
      </c>
      <c r="AG190" s="11">
        <f t="shared" si="84"/>
        <v>2016.6666666666667</v>
      </c>
      <c r="AH190" s="11">
        <f t="shared" si="85"/>
        <v>-8.3333333333333329E-2</v>
      </c>
    </row>
    <row r="191" spans="1:34">
      <c r="A191" s="5">
        <v>118262</v>
      </c>
      <c r="B191" s="7"/>
      <c r="C191" s="7">
        <v>3</v>
      </c>
      <c r="D191" s="32" t="s">
        <v>210</v>
      </c>
      <c r="E191" s="15">
        <v>2014</v>
      </c>
      <c r="F191" s="7">
        <v>12</v>
      </c>
      <c r="G191" s="56">
        <v>0</v>
      </c>
      <c r="H191" s="56"/>
      <c r="I191" s="15" t="s">
        <v>103</v>
      </c>
      <c r="J191" s="15">
        <v>10</v>
      </c>
      <c r="K191" s="9">
        <f t="shared" si="70"/>
        <v>2024</v>
      </c>
      <c r="L191" s="57"/>
      <c r="M191" s="7"/>
      <c r="N191" s="34">
        <v>1656.89</v>
      </c>
      <c r="O191" s="44"/>
      <c r="P191" s="35">
        <f t="shared" si="71"/>
        <v>1656.89</v>
      </c>
      <c r="Q191" s="35">
        <f t="shared" si="72"/>
        <v>13.807416666666668</v>
      </c>
      <c r="R191" s="35">
        <f t="shared" si="73"/>
        <v>165.68900000000002</v>
      </c>
      <c r="S191" s="35"/>
      <c r="T191" s="35">
        <f t="shared" si="74"/>
        <v>165.68900000000002</v>
      </c>
      <c r="U191" s="35">
        <v>1</v>
      </c>
      <c r="V191" s="35">
        <f t="shared" si="75"/>
        <v>165.68900000000002</v>
      </c>
      <c r="W191" s="35"/>
      <c r="X191" s="35">
        <f t="shared" si="76"/>
        <v>289.95575000000002</v>
      </c>
      <c r="Y191" s="35">
        <f t="shared" si="77"/>
        <v>289.95575000000002</v>
      </c>
      <c r="Z191" s="35">
        <v>1</v>
      </c>
      <c r="AA191" s="35">
        <f t="shared" si="78"/>
        <v>289.95575000000002</v>
      </c>
      <c r="AB191" s="35">
        <f t="shared" si="79"/>
        <v>455.64475000000004</v>
      </c>
      <c r="AC191" s="35">
        <f t="shared" si="80"/>
        <v>1284.0897500000001</v>
      </c>
      <c r="AD191" s="11">
        <f t="shared" si="81"/>
        <v>2014.9166666666667</v>
      </c>
      <c r="AE191" s="11">
        <f t="shared" si="82"/>
        <v>2017.6666666666667</v>
      </c>
      <c r="AF191" s="11">
        <f t="shared" si="83"/>
        <v>2024.9166666666667</v>
      </c>
      <c r="AG191" s="11">
        <f t="shared" si="84"/>
        <v>2016.6666666666667</v>
      </c>
      <c r="AH191" s="11">
        <f t="shared" si="85"/>
        <v>-8.3333333333333329E-2</v>
      </c>
    </row>
    <row r="192" spans="1:34">
      <c r="A192" s="5">
        <v>118263</v>
      </c>
      <c r="B192" s="7"/>
      <c r="C192" s="7">
        <v>2</v>
      </c>
      <c r="D192" s="32" t="s">
        <v>206</v>
      </c>
      <c r="E192" s="15">
        <v>2014</v>
      </c>
      <c r="F192" s="7">
        <v>12</v>
      </c>
      <c r="G192" s="56">
        <v>0</v>
      </c>
      <c r="H192" s="56"/>
      <c r="I192" s="15" t="s">
        <v>103</v>
      </c>
      <c r="J192" s="15">
        <v>10</v>
      </c>
      <c r="K192" s="9">
        <f t="shared" si="70"/>
        <v>2024</v>
      </c>
      <c r="L192" s="57"/>
      <c r="M192" s="7"/>
      <c r="N192" s="34">
        <v>1621.31</v>
      </c>
      <c r="O192" s="44"/>
      <c r="P192" s="35">
        <f t="shared" si="71"/>
        <v>1621.31</v>
      </c>
      <c r="Q192" s="35">
        <f t="shared" si="72"/>
        <v>13.510916666666667</v>
      </c>
      <c r="R192" s="35">
        <f t="shared" si="73"/>
        <v>162.131</v>
      </c>
      <c r="S192" s="35"/>
      <c r="T192" s="35">
        <f t="shared" si="74"/>
        <v>162.131</v>
      </c>
      <c r="U192" s="35">
        <v>1</v>
      </c>
      <c r="V192" s="35">
        <f t="shared" si="75"/>
        <v>162.131</v>
      </c>
      <c r="W192" s="35"/>
      <c r="X192" s="35">
        <f t="shared" si="76"/>
        <v>283.72924999999998</v>
      </c>
      <c r="Y192" s="35">
        <f t="shared" si="77"/>
        <v>283.72924999999998</v>
      </c>
      <c r="Z192" s="35">
        <v>1</v>
      </c>
      <c r="AA192" s="35">
        <f t="shared" si="78"/>
        <v>283.72924999999998</v>
      </c>
      <c r="AB192" s="35">
        <f t="shared" si="79"/>
        <v>445.86024999999995</v>
      </c>
      <c r="AC192" s="35">
        <f t="shared" si="80"/>
        <v>1256.5152499999999</v>
      </c>
      <c r="AD192" s="11">
        <f t="shared" si="81"/>
        <v>2014.9166666666667</v>
      </c>
      <c r="AE192" s="11">
        <f t="shared" si="82"/>
        <v>2017.6666666666667</v>
      </c>
      <c r="AF192" s="11">
        <f t="shared" si="83"/>
        <v>2024.9166666666667</v>
      </c>
      <c r="AG192" s="11">
        <f t="shared" si="84"/>
        <v>2016.6666666666667</v>
      </c>
      <c r="AH192" s="11">
        <f t="shared" si="85"/>
        <v>-8.3333333333333329E-2</v>
      </c>
    </row>
    <row r="193" spans="1:34">
      <c r="A193" s="5">
        <v>118264</v>
      </c>
      <c r="B193" s="7"/>
      <c r="C193" s="7">
        <v>2</v>
      </c>
      <c r="D193" s="32" t="s">
        <v>207</v>
      </c>
      <c r="E193" s="15">
        <v>2014</v>
      </c>
      <c r="F193" s="7">
        <v>12</v>
      </c>
      <c r="G193" s="56">
        <v>0</v>
      </c>
      <c r="H193" s="56"/>
      <c r="I193" s="15" t="s">
        <v>103</v>
      </c>
      <c r="J193" s="15">
        <v>10</v>
      </c>
      <c r="K193" s="9">
        <f t="shared" ref="K193:K199" si="86">E193+J193</f>
        <v>2024</v>
      </c>
      <c r="L193" s="57"/>
      <c r="M193" s="7"/>
      <c r="N193" s="34">
        <v>1892.97</v>
      </c>
      <c r="O193" s="44"/>
      <c r="P193" s="35">
        <f t="shared" ref="P193:P199" si="87">N193-N193*G193</f>
        <v>1892.97</v>
      </c>
      <c r="Q193" s="35">
        <f t="shared" ref="Q193:Q199" si="88">P193/J193/12</f>
        <v>15.774749999999999</v>
      </c>
      <c r="R193" s="35">
        <f t="shared" ref="R193:R199" si="89">IF(O193&gt;0,0,IF(OR(AD193&gt;AE193,AF193&lt;AG193),0,IF(AND(AF193&gt;=AG193,AF193&lt;=AE193),Q193*((AF193-AG193)*12),IF(AND(AG193&lt;=AD193,AE193&gt;=AD193),((AE193-AD193)*12)*Q193,IF(AF193&gt;AE193,12*Q193,0)))))</f>
        <v>189.297</v>
      </c>
      <c r="S193" s="35"/>
      <c r="T193" s="35">
        <f t="shared" ref="T193:T199" si="90">IF(S193&gt;0,S193,R193)</f>
        <v>189.297</v>
      </c>
      <c r="U193" s="35">
        <v>1</v>
      </c>
      <c r="V193" s="35">
        <f t="shared" ref="V193:V199" si="91">U193*SUM(R193:S193)</f>
        <v>189.297</v>
      </c>
      <c r="W193" s="35"/>
      <c r="X193" s="35">
        <f t="shared" ref="X193:X199" si="92">IF(AD193&gt;AE193,0,IF(AF193&lt;AG193,P193,IF(AND(AF193&gt;=AG193,AF193&lt;=AE193),(P193-T193),IF(AND(AG193&lt;=AD193,AE193&gt;=AD193),0,IF(AF193&gt;AE193,((AG193-AD193)*12)*Q193,0)))))</f>
        <v>331.26974999999999</v>
      </c>
      <c r="Y193" s="35">
        <f t="shared" ref="Y193:Y199" si="93">X193*U193</f>
        <v>331.26974999999999</v>
      </c>
      <c r="Z193" s="35">
        <v>1</v>
      </c>
      <c r="AA193" s="35">
        <f t="shared" ref="AA193:AA199" si="94">Y193*Z193</f>
        <v>331.26974999999999</v>
      </c>
      <c r="AB193" s="35">
        <f t="shared" ref="AB193:AB199" si="95">IF(O193&gt;0,0,AA193+V193*Z193)*Z193</f>
        <v>520.56674999999996</v>
      </c>
      <c r="AC193" s="35">
        <f t="shared" ref="AC193:AC199" si="96">IF(O193&gt;0,(N193-AA193)/2,IF(AD193&gt;=AG193,(((N193*U193)*Z193)-AB193)/2,((((N193*U193)*Z193)-AA193)+(((N193*U193)*Z193)-AB193))/2))</f>
        <v>1467.0517500000001</v>
      </c>
      <c r="AD193" s="11">
        <f t="shared" ref="AD193:AD203" si="97">$E193+(($F193-1)/12)</f>
        <v>2014.9166666666667</v>
      </c>
      <c r="AE193" s="11">
        <f t="shared" ref="AE193:AE203" si="98">($P$5+1)-($P$2/12)</f>
        <v>2017.6666666666667</v>
      </c>
      <c r="AF193" s="11">
        <f t="shared" ref="AF193:AF203" si="99">$K193+(($F193-1)/12)</f>
        <v>2024.9166666666667</v>
      </c>
      <c r="AG193" s="11">
        <f t="shared" ref="AG193:AG203" si="100">$P$4+($P$3/12)</f>
        <v>2016.6666666666667</v>
      </c>
      <c r="AH193" s="11">
        <f t="shared" ref="AH193:AH203" si="101">$L193+(($M193-1)/12)</f>
        <v>-8.3333333333333329E-2</v>
      </c>
    </row>
    <row r="194" spans="1:34">
      <c r="A194" s="5">
        <v>126206</v>
      </c>
      <c r="B194" s="7"/>
      <c r="C194" s="7">
        <v>6</v>
      </c>
      <c r="D194" s="32" t="s">
        <v>215</v>
      </c>
      <c r="E194" s="15">
        <v>2015</v>
      </c>
      <c r="F194" s="7">
        <v>10</v>
      </c>
      <c r="G194" s="56">
        <v>0</v>
      </c>
      <c r="H194" s="56"/>
      <c r="I194" s="15" t="s">
        <v>103</v>
      </c>
      <c r="J194" s="15">
        <v>10</v>
      </c>
      <c r="K194" s="9">
        <f t="shared" si="86"/>
        <v>2025</v>
      </c>
      <c r="L194" s="57"/>
      <c r="M194" s="7"/>
      <c r="N194" s="34">
        <v>3148.08</v>
      </c>
      <c r="O194" s="44"/>
      <c r="P194" s="35">
        <f t="shared" si="87"/>
        <v>3148.08</v>
      </c>
      <c r="Q194" s="35">
        <f t="shared" si="88"/>
        <v>26.233999999999998</v>
      </c>
      <c r="R194" s="35">
        <f t="shared" si="89"/>
        <v>314.80799999999999</v>
      </c>
      <c r="S194" s="35"/>
      <c r="T194" s="35">
        <f t="shared" si="90"/>
        <v>314.80799999999999</v>
      </c>
      <c r="U194" s="35">
        <v>1</v>
      </c>
      <c r="V194" s="35">
        <f t="shared" si="91"/>
        <v>314.80799999999999</v>
      </c>
      <c r="W194" s="35"/>
      <c r="X194" s="35">
        <f t="shared" si="92"/>
        <v>288.57400000002383</v>
      </c>
      <c r="Y194" s="35">
        <f t="shared" si="93"/>
        <v>288.57400000002383</v>
      </c>
      <c r="Z194" s="35">
        <v>1</v>
      </c>
      <c r="AA194" s="35">
        <f t="shared" si="94"/>
        <v>288.57400000002383</v>
      </c>
      <c r="AB194" s="35">
        <f t="shared" si="95"/>
        <v>603.38200000002382</v>
      </c>
      <c r="AC194" s="35">
        <f t="shared" si="96"/>
        <v>2702.1019999999762</v>
      </c>
      <c r="AD194" s="11">
        <f t="shared" si="97"/>
        <v>2015.75</v>
      </c>
      <c r="AE194" s="11">
        <f t="shared" si="98"/>
        <v>2017.6666666666667</v>
      </c>
      <c r="AF194" s="11">
        <f t="shared" si="99"/>
        <v>2025.75</v>
      </c>
      <c r="AG194" s="11">
        <f t="shared" si="100"/>
        <v>2016.6666666666667</v>
      </c>
      <c r="AH194" s="11">
        <f t="shared" si="101"/>
        <v>-8.3333333333333329E-2</v>
      </c>
    </row>
    <row r="195" spans="1:34">
      <c r="A195" s="5">
        <v>126207</v>
      </c>
      <c r="B195" s="7"/>
      <c r="C195" s="7">
        <v>6</v>
      </c>
      <c r="D195" s="32" t="s">
        <v>216</v>
      </c>
      <c r="E195" s="15">
        <v>2015</v>
      </c>
      <c r="F195" s="7">
        <v>10</v>
      </c>
      <c r="G195" s="56">
        <v>0</v>
      </c>
      <c r="H195" s="56"/>
      <c r="I195" s="15" t="s">
        <v>103</v>
      </c>
      <c r="J195" s="15">
        <v>10</v>
      </c>
      <c r="K195" s="9">
        <f t="shared" si="86"/>
        <v>2025</v>
      </c>
      <c r="L195" s="57"/>
      <c r="M195" s="7"/>
      <c r="N195" s="34">
        <v>4592.3999999999996</v>
      </c>
      <c r="O195" s="44"/>
      <c r="P195" s="35">
        <f t="shared" si="87"/>
        <v>4592.3999999999996</v>
      </c>
      <c r="Q195" s="35">
        <f t="shared" si="88"/>
        <v>38.269999999999996</v>
      </c>
      <c r="R195" s="35">
        <f t="shared" si="89"/>
        <v>459.23999999999995</v>
      </c>
      <c r="S195" s="35"/>
      <c r="T195" s="35">
        <f t="shared" si="90"/>
        <v>459.23999999999995</v>
      </c>
      <c r="U195" s="35">
        <v>1</v>
      </c>
      <c r="V195" s="35">
        <f t="shared" si="91"/>
        <v>459.23999999999995</v>
      </c>
      <c r="W195" s="35"/>
      <c r="X195" s="35">
        <f t="shared" si="92"/>
        <v>420.97000000003476</v>
      </c>
      <c r="Y195" s="35">
        <f t="shared" si="93"/>
        <v>420.97000000003476</v>
      </c>
      <c r="Z195" s="35">
        <v>1</v>
      </c>
      <c r="AA195" s="35">
        <f t="shared" si="94"/>
        <v>420.97000000003476</v>
      </c>
      <c r="AB195" s="35">
        <f t="shared" si="95"/>
        <v>880.21000000003471</v>
      </c>
      <c r="AC195" s="35">
        <f t="shared" si="96"/>
        <v>3941.8099999999649</v>
      </c>
      <c r="AD195" s="11">
        <f t="shared" si="97"/>
        <v>2015.75</v>
      </c>
      <c r="AE195" s="11">
        <f t="shared" si="98"/>
        <v>2017.6666666666667</v>
      </c>
      <c r="AF195" s="11">
        <f t="shared" si="99"/>
        <v>2025.75</v>
      </c>
      <c r="AG195" s="11">
        <f t="shared" si="100"/>
        <v>2016.6666666666667</v>
      </c>
      <c r="AH195" s="11">
        <f t="shared" si="101"/>
        <v>-8.3333333333333329E-2</v>
      </c>
    </row>
    <row r="196" spans="1:34">
      <c r="A196" s="5">
        <v>126208</v>
      </c>
      <c r="B196" s="7"/>
      <c r="C196" s="7">
        <v>4</v>
      </c>
      <c r="D196" s="32" t="s">
        <v>217</v>
      </c>
      <c r="E196" s="15">
        <v>2015</v>
      </c>
      <c r="F196" s="7">
        <v>10</v>
      </c>
      <c r="G196" s="56">
        <v>0</v>
      </c>
      <c r="H196" s="56"/>
      <c r="I196" s="15" t="s">
        <v>103</v>
      </c>
      <c r="J196" s="15">
        <v>10</v>
      </c>
      <c r="K196" s="9">
        <f t="shared" si="86"/>
        <v>2025</v>
      </c>
      <c r="L196" s="57"/>
      <c r="M196" s="7"/>
      <c r="N196" s="34">
        <v>3647.51</v>
      </c>
      <c r="O196" s="44"/>
      <c r="P196" s="35">
        <f t="shared" si="87"/>
        <v>3647.51</v>
      </c>
      <c r="Q196" s="35">
        <f t="shared" si="88"/>
        <v>30.395916666666668</v>
      </c>
      <c r="R196" s="35">
        <f t="shared" si="89"/>
        <v>364.75100000000003</v>
      </c>
      <c r="S196" s="35"/>
      <c r="T196" s="35">
        <f t="shared" si="90"/>
        <v>364.75100000000003</v>
      </c>
      <c r="U196" s="35">
        <v>1</v>
      </c>
      <c r="V196" s="35">
        <f t="shared" si="91"/>
        <v>364.75100000000003</v>
      </c>
      <c r="W196" s="35"/>
      <c r="X196" s="35">
        <f t="shared" si="92"/>
        <v>334.35508333336099</v>
      </c>
      <c r="Y196" s="35">
        <f t="shared" si="93"/>
        <v>334.35508333336099</v>
      </c>
      <c r="Z196" s="35">
        <v>1</v>
      </c>
      <c r="AA196" s="35">
        <f t="shared" si="94"/>
        <v>334.35508333336099</v>
      </c>
      <c r="AB196" s="35">
        <f t="shared" si="95"/>
        <v>699.10608333336108</v>
      </c>
      <c r="AC196" s="35">
        <f t="shared" si="96"/>
        <v>3130.779416666639</v>
      </c>
      <c r="AD196" s="11">
        <f t="shared" si="97"/>
        <v>2015.75</v>
      </c>
      <c r="AE196" s="11">
        <f t="shared" si="98"/>
        <v>2017.6666666666667</v>
      </c>
      <c r="AF196" s="11">
        <f t="shared" si="99"/>
        <v>2025.75</v>
      </c>
      <c r="AG196" s="11">
        <f t="shared" si="100"/>
        <v>2016.6666666666667</v>
      </c>
      <c r="AH196" s="11">
        <f t="shared" si="101"/>
        <v>-8.3333333333333329E-2</v>
      </c>
    </row>
    <row r="197" spans="1:34">
      <c r="A197" s="7">
        <v>126342</v>
      </c>
      <c r="B197" s="7"/>
      <c r="C197" s="7">
        <v>6</v>
      </c>
      <c r="D197" s="32" t="s">
        <v>218</v>
      </c>
      <c r="E197" s="15">
        <v>2015</v>
      </c>
      <c r="F197" s="7">
        <v>10</v>
      </c>
      <c r="G197" s="56">
        <v>0</v>
      </c>
      <c r="H197" s="56"/>
      <c r="I197" s="15" t="s">
        <v>103</v>
      </c>
      <c r="J197" s="15">
        <v>10</v>
      </c>
      <c r="K197" s="9">
        <f t="shared" si="86"/>
        <v>2025</v>
      </c>
      <c r="L197" s="57"/>
      <c r="M197" s="7"/>
      <c r="N197" s="34">
        <v>2781.24</v>
      </c>
      <c r="O197" s="44"/>
      <c r="P197" s="35">
        <f t="shared" si="87"/>
        <v>2781.24</v>
      </c>
      <c r="Q197" s="35">
        <f t="shared" si="88"/>
        <v>23.176999999999996</v>
      </c>
      <c r="R197" s="35">
        <f t="shared" si="89"/>
        <v>278.12399999999997</v>
      </c>
      <c r="S197" s="35"/>
      <c r="T197" s="35">
        <f t="shared" si="90"/>
        <v>278.12399999999997</v>
      </c>
      <c r="U197" s="35">
        <v>1</v>
      </c>
      <c r="V197" s="35">
        <f t="shared" si="91"/>
        <v>278.12399999999997</v>
      </c>
      <c r="W197" s="35"/>
      <c r="X197" s="35">
        <f t="shared" si="92"/>
        <v>254.94700000002103</v>
      </c>
      <c r="Y197" s="35">
        <f t="shared" si="93"/>
        <v>254.94700000002103</v>
      </c>
      <c r="Z197" s="35">
        <v>1</v>
      </c>
      <c r="AA197" s="35">
        <f t="shared" si="94"/>
        <v>254.94700000002103</v>
      </c>
      <c r="AB197" s="35">
        <f t="shared" si="95"/>
        <v>533.07100000002106</v>
      </c>
      <c r="AC197" s="35">
        <f t="shared" si="96"/>
        <v>2387.2309999999788</v>
      </c>
      <c r="AD197" s="11">
        <f t="shared" si="97"/>
        <v>2015.75</v>
      </c>
      <c r="AE197" s="11">
        <f t="shared" si="98"/>
        <v>2017.6666666666667</v>
      </c>
      <c r="AF197" s="11">
        <f t="shared" si="99"/>
        <v>2025.75</v>
      </c>
      <c r="AG197" s="11">
        <f t="shared" si="100"/>
        <v>2016.6666666666667</v>
      </c>
      <c r="AH197" s="11">
        <f t="shared" si="101"/>
        <v>-8.3333333333333329E-2</v>
      </c>
    </row>
    <row r="198" spans="1:34">
      <c r="A198" s="5">
        <v>126343</v>
      </c>
      <c r="B198" s="7"/>
      <c r="C198" s="7">
        <v>1</v>
      </c>
      <c r="D198" s="32" t="s">
        <v>219</v>
      </c>
      <c r="E198" s="15">
        <v>2015</v>
      </c>
      <c r="F198" s="7">
        <v>10</v>
      </c>
      <c r="G198" s="56">
        <v>0</v>
      </c>
      <c r="H198" s="56"/>
      <c r="I198" s="15" t="s">
        <v>103</v>
      </c>
      <c r="J198" s="15">
        <v>10</v>
      </c>
      <c r="K198" s="9">
        <f t="shared" si="86"/>
        <v>2025</v>
      </c>
      <c r="L198" s="57"/>
      <c r="M198" s="7"/>
      <c r="N198" s="34">
        <v>1588.97</v>
      </c>
      <c r="O198" s="44"/>
      <c r="P198" s="35">
        <f t="shared" si="87"/>
        <v>1588.97</v>
      </c>
      <c r="Q198" s="35">
        <f t="shared" si="88"/>
        <v>13.241416666666666</v>
      </c>
      <c r="R198" s="35">
        <f t="shared" si="89"/>
        <v>158.89699999999999</v>
      </c>
      <c r="S198" s="35"/>
      <c r="T198" s="35">
        <f t="shared" si="90"/>
        <v>158.89699999999999</v>
      </c>
      <c r="U198" s="35">
        <v>1</v>
      </c>
      <c r="V198" s="35">
        <f t="shared" si="91"/>
        <v>158.89699999999999</v>
      </c>
      <c r="W198" s="35"/>
      <c r="X198" s="35">
        <f t="shared" si="92"/>
        <v>145.65558333334536</v>
      </c>
      <c r="Y198" s="35">
        <f t="shared" si="93"/>
        <v>145.65558333334536</v>
      </c>
      <c r="Z198" s="35">
        <v>1</v>
      </c>
      <c r="AA198" s="35">
        <f t="shared" si="94"/>
        <v>145.65558333334536</v>
      </c>
      <c r="AB198" s="35">
        <f t="shared" si="95"/>
        <v>304.55258333334535</v>
      </c>
      <c r="AC198" s="35">
        <f t="shared" si="96"/>
        <v>1363.8659166666548</v>
      </c>
      <c r="AD198" s="11">
        <f t="shared" si="97"/>
        <v>2015.75</v>
      </c>
      <c r="AE198" s="11">
        <f t="shared" si="98"/>
        <v>2017.6666666666667</v>
      </c>
      <c r="AF198" s="11">
        <f t="shared" si="99"/>
        <v>2025.75</v>
      </c>
      <c r="AG198" s="11">
        <f t="shared" si="100"/>
        <v>2016.6666666666667</v>
      </c>
      <c r="AH198" s="11">
        <f t="shared" si="101"/>
        <v>-8.3333333333333329E-2</v>
      </c>
    </row>
    <row r="199" spans="1:34">
      <c r="A199" s="5">
        <v>126344</v>
      </c>
      <c r="B199" s="7"/>
      <c r="C199" s="7">
        <v>10</v>
      </c>
      <c r="D199" s="32" t="s">
        <v>220</v>
      </c>
      <c r="E199" s="15">
        <v>2015</v>
      </c>
      <c r="F199" s="7">
        <v>10</v>
      </c>
      <c r="G199" s="56">
        <v>0</v>
      </c>
      <c r="H199" s="56"/>
      <c r="I199" s="15" t="s">
        <v>103</v>
      </c>
      <c r="J199" s="15">
        <v>10</v>
      </c>
      <c r="K199" s="9">
        <f t="shared" si="86"/>
        <v>2025</v>
      </c>
      <c r="L199" s="57"/>
      <c r="M199" s="7"/>
      <c r="N199" s="34">
        <v>14261.94</v>
      </c>
      <c r="O199" s="44"/>
      <c r="P199" s="35">
        <f t="shared" si="87"/>
        <v>14261.94</v>
      </c>
      <c r="Q199" s="35">
        <f t="shared" si="88"/>
        <v>118.84949999999999</v>
      </c>
      <c r="R199" s="35">
        <f t="shared" si="89"/>
        <v>1426.194</v>
      </c>
      <c r="S199" s="35"/>
      <c r="T199" s="35">
        <f t="shared" si="90"/>
        <v>1426.194</v>
      </c>
      <c r="U199" s="35">
        <v>1</v>
      </c>
      <c r="V199" s="35">
        <f t="shared" si="91"/>
        <v>1426.194</v>
      </c>
      <c r="W199" s="35"/>
      <c r="X199" s="35">
        <f t="shared" si="92"/>
        <v>1307.3445000001079</v>
      </c>
      <c r="Y199" s="35">
        <f t="shared" si="93"/>
        <v>1307.3445000001079</v>
      </c>
      <c r="Z199" s="35">
        <v>1</v>
      </c>
      <c r="AA199" s="35">
        <f t="shared" si="94"/>
        <v>1307.3445000001079</v>
      </c>
      <c r="AB199" s="35">
        <f t="shared" si="95"/>
        <v>2733.5385000001079</v>
      </c>
      <c r="AC199" s="35">
        <f t="shared" si="96"/>
        <v>12241.498499999892</v>
      </c>
      <c r="AD199" s="11">
        <f t="shared" si="97"/>
        <v>2015.75</v>
      </c>
      <c r="AE199" s="11">
        <f t="shared" si="98"/>
        <v>2017.6666666666667</v>
      </c>
      <c r="AF199" s="11">
        <f t="shared" si="99"/>
        <v>2025.75</v>
      </c>
      <c r="AG199" s="11">
        <f t="shared" si="100"/>
        <v>2016.6666666666667</v>
      </c>
      <c r="AH199" s="11">
        <f t="shared" si="101"/>
        <v>-8.3333333333333329E-2</v>
      </c>
    </row>
    <row r="200" spans="1:34">
      <c r="A200" s="5">
        <v>167242</v>
      </c>
      <c r="B200" s="7"/>
      <c r="C200" s="7">
        <v>6</v>
      </c>
      <c r="D200" s="32" t="s">
        <v>292</v>
      </c>
      <c r="E200" s="15">
        <v>2016</v>
      </c>
      <c r="F200" s="7">
        <v>9</v>
      </c>
      <c r="G200" s="56">
        <v>0</v>
      </c>
      <c r="H200" s="56"/>
      <c r="I200" s="15" t="s">
        <v>103</v>
      </c>
      <c r="J200" s="15">
        <v>12</v>
      </c>
      <c r="K200" s="9">
        <f t="shared" ref="K200" si="102">E200+J200</f>
        <v>2028</v>
      </c>
      <c r="L200" s="57"/>
      <c r="M200" s="7"/>
      <c r="N200" s="34">
        <v>3945.48</v>
      </c>
      <c r="O200" s="44"/>
      <c r="P200" s="35">
        <f t="shared" ref="P200" si="103">N200-N200*G200</f>
        <v>3945.48</v>
      </c>
      <c r="Q200" s="35">
        <f t="shared" ref="Q200" si="104">P200/J200/12</f>
        <v>27.39916666666667</v>
      </c>
      <c r="R200" s="35">
        <f t="shared" ref="R200" si="105">IF(O200&gt;0,0,IF(OR(AD200&gt;AE200,AF200&lt;AG200),0,IF(AND(AF200&gt;=AG200,AF200&lt;=AE200),Q200*((AF200-AG200)*12),IF(AND(AG200&lt;=AD200,AE200&gt;=AD200),((AE200-AD200)*12)*Q200,IF(AF200&gt;AE200,12*Q200,0)))))</f>
        <v>328.79</v>
      </c>
      <c r="S200" s="35"/>
      <c r="T200" s="35">
        <f t="shared" ref="T200" si="106">IF(S200&gt;0,S200,R200)</f>
        <v>328.79</v>
      </c>
      <c r="U200" s="35">
        <v>1</v>
      </c>
      <c r="V200" s="35">
        <f t="shared" ref="V200" si="107">U200*SUM(R200:S200)</f>
        <v>328.79</v>
      </c>
      <c r="W200" s="35"/>
      <c r="X200" s="35">
        <f t="shared" ref="X200" si="108">IF(AD200&gt;AE200,0,IF(AF200&lt;AG200,P200,IF(AND(AF200&gt;=AG200,AF200&lt;=AE200),(P200-T200),IF(AND(AG200&lt;=AD200,AE200&gt;=AD200),0,IF(AF200&gt;AE200,((AG200-AD200)*12)*Q200,0)))))</f>
        <v>0</v>
      </c>
      <c r="Y200" s="35">
        <f t="shared" ref="Y200" si="109">X200*U200</f>
        <v>0</v>
      </c>
      <c r="Z200" s="35">
        <v>1</v>
      </c>
      <c r="AA200" s="35">
        <f t="shared" ref="AA200" si="110">Y200*Z200</f>
        <v>0</v>
      </c>
      <c r="AB200" s="35">
        <f t="shared" ref="AB200" si="111">IF(O200&gt;0,0,AA200+V200*Z200)*Z200</f>
        <v>328.79</v>
      </c>
      <c r="AC200" s="35">
        <f t="shared" ref="AC200" si="112">IF(O200&gt;0,(N200-AA200)/2,IF(AD200&gt;=AG200,(((N200*U200)*Z200)-AB200)/2,((((N200*U200)*Z200)-AA200)+(((N200*U200)*Z200)-AB200))/2))</f>
        <v>1808.345</v>
      </c>
      <c r="AD200" s="11">
        <f t="shared" si="97"/>
        <v>2016.6666666666667</v>
      </c>
      <c r="AE200" s="11">
        <f t="shared" si="98"/>
        <v>2017.6666666666667</v>
      </c>
      <c r="AF200" s="11">
        <f t="shared" si="99"/>
        <v>2028.6666666666667</v>
      </c>
      <c r="AG200" s="11">
        <f t="shared" si="100"/>
        <v>2016.6666666666667</v>
      </c>
      <c r="AH200" s="11">
        <f t="shared" si="101"/>
        <v>-8.3333333333333329E-2</v>
      </c>
    </row>
    <row r="201" spans="1:34">
      <c r="A201" s="5">
        <v>168823</v>
      </c>
      <c r="B201" s="7"/>
      <c r="C201" s="7">
        <v>15</v>
      </c>
      <c r="D201" s="32" t="s">
        <v>215</v>
      </c>
      <c r="E201" s="15">
        <v>2016</v>
      </c>
      <c r="F201" s="7">
        <v>10</v>
      </c>
      <c r="G201" s="56">
        <v>0</v>
      </c>
      <c r="H201" s="56"/>
      <c r="I201" s="15" t="s">
        <v>103</v>
      </c>
      <c r="J201" s="15">
        <v>12</v>
      </c>
      <c r="K201" s="9">
        <f t="shared" ref="K201" si="113">E201+J201</f>
        <v>2028</v>
      </c>
      <c r="L201" s="57"/>
      <c r="M201" s="7"/>
      <c r="N201" s="34">
        <v>8418.82</v>
      </c>
      <c r="O201" s="44"/>
      <c r="P201" s="35">
        <f t="shared" ref="P201" si="114">N201-N201*G201</f>
        <v>8418.82</v>
      </c>
      <c r="Q201" s="35">
        <f t="shared" ref="Q201" si="115">P201/J201/12</f>
        <v>58.464027777777773</v>
      </c>
      <c r="R201" s="35">
        <f t="shared" ref="R201" si="116">IF(O201&gt;0,0,IF(OR(AD201&gt;AE201,AF201&lt;AG201),0,IF(AND(AF201&gt;=AG201,AF201&lt;=AE201),Q201*((AF201-AG201)*12),IF(AND(AG201&lt;=AD201,AE201&gt;=AD201),((AE201-AD201)*12)*Q201,IF(AF201&gt;AE201,12*Q201,0)))))</f>
        <v>643.10430555560868</v>
      </c>
      <c r="S201" s="35"/>
      <c r="T201" s="35">
        <f t="shared" ref="T201" si="117">IF(S201&gt;0,S201,R201)</f>
        <v>643.10430555560868</v>
      </c>
      <c r="U201" s="35">
        <v>1</v>
      </c>
      <c r="V201" s="35">
        <f t="shared" ref="V201" si="118">U201*SUM(R201:S201)</f>
        <v>643.10430555560868</v>
      </c>
      <c r="W201" s="35"/>
      <c r="X201" s="35">
        <f t="shared" ref="X201" si="119">IF(AD201&gt;AE201,0,IF(AF201&lt;AG201,P201,IF(AND(AF201&gt;=AG201,AF201&lt;=AE201),(P201-T201),IF(AND(AG201&lt;=AD201,AE201&gt;=AD201),0,IF(AF201&gt;AE201,((AG201-AD201)*12)*Q201,0)))))</f>
        <v>0</v>
      </c>
      <c r="Y201" s="35">
        <f t="shared" ref="Y201" si="120">X201*U201</f>
        <v>0</v>
      </c>
      <c r="Z201" s="35">
        <v>1</v>
      </c>
      <c r="AA201" s="35">
        <f t="shared" ref="AA201" si="121">Y201*Z201</f>
        <v>0</v>
      </c>
      <c r="AB201" s="35">
        <f t="shared" ref="AB201" si="122">IF(O201&gt;0,0,AA201+V201*Z201)*Z201</f>
        <v>643.10430555560868</v>
      </c>
      <c r="AC201" s="35">
        <f t="shared" ref="AC201" si="123">IF(O201&gt;0,(N201-AA201)/2,IF(AD201&gt;=AG201,(((N201*U201)*Z201)-AB201)/2,((((N201*U201)*Z201)-AA201)+(((N201*U201)*Z201)-AB201))/2))</f>
        <v>3887.8578472221957</v>
      </c>
      <c r="AD201" s="11">
        <f t="shared" si="97"/>
        <v>2016.75</v>
      </c>
      <c r="AE201" s="11">
        <f t="shared" si="98"/>
        <v>2017.6666666666667</v>
      </c>
      <c r="AF201" s="11">
        <f t="shared" si="99"/>
        <v>2028.75</v>
      </c>
      <c r="AG201" s="11">
        <f t="shared" si="100"/>
        <v>2016.6666666666667</v>
      </c>
      <c r="AH201" s="11">
        <f t="shared" si="101"/>
        <v>-8.3333333333333329E-2</v>
      </c>
    </row>
    <row r="202" spans="1:34">
      <c r="A202" s="5">
        <v>168824</v>
      </c>
      <c r="B202" s="7"/>
      <c r="C202" s="7">
        <v>6</v>
      </c>
      <c r="D202" s="32" t="s">
        <v>216</v>
      </c>
      <c r="E202" s="15">
        <v>2016</v>
      </c>
      <c r="F202" s="7">
        <v>10</v>
      </c>
      <c r="G202" s="56">
        <v>0</v>
      </c>
      <c r="H202" s="56"/>
      <c r="I202" s="15" t="s">
        <v>103</v>
      </c>
      <c r="J202" s="15">
        <v>12</v>
      </c>
      <c r="K202" s="9">
        <f t="shared" ref="K202" si="124">E202+J202</f>
        <v>2028</v>
      </c>
      <c r="L202" s="57"/>
      <c r="M202" s="7"/>
      <c r="N202" s="34">
        <v>5116.91</v>
      </c>
      <c r="O202" s="44"/>
      <c r="P202" s="35">
        <f t="shared" ref="P202" si="125">N202-N202*G202</f>
        <v>5116.91</v>
      </c>
      <c r="Q202" s="35">
        <f t="shared" ref="Q202" si="126">P202/J202/12</f>
        <v>35.534097222222222</v>
      </c>
      <c r="R202" s="35">
        <f t="shared" ref="R202" si="127">IF(O202&gt;0,0,IF(OR(AD202&gt;AE202,AF202&lt;AG202),0,IF(AND(AF202&gt;=AG202,AF202&lt;=AE202),Q202*((AF202-AG202)*12),IF(AND(AG202&lt;=AD202,AE202&gt;=AD202),((AE202-AD202)*12)*Q202,IF(AF202&gt;AE202,12*Q202,0)))))</f>
        <v>390.87506944447676</v>
      </c>
      <c r="S202" s="35"/>
      <c r="T202" s="35">
        <f t="shared" ref="T202" si="128">IF(S202&gt;0,S202,R202)</f>
        <v>390.87506944447676</v>
      </c>
      <c r="U202" s="35">
        <v>1</v>
      </c>
      <c r="V202" s="35">
        <f t="shared" ref="V202" si="129">U202*SUM(R202:S202)</f>
        <v>390.87506944447676</v>
      </c>
      <c r="W202" s="35"/>
      <c r="X202" s="35">
        <f t="shared" ref="X202" si="130">IF(AD202&gt;AE202,0,IF(AF202&lt;AG202,P202,IF(AND(AF202&gt;=AG202,AF202&lt;=AE202),(P202-T202),IF(AND(AG202&lt;=AD202,AE202&gt;=AD202),0,IF(AF202&gt;AE202,((AG202-AD202)*12)*Q202,0)))))</f>
        <v>0</v>
      </c>
      <c r="Y202" s="35">
        <f t="shared" ref="Y202" si="131">X202*U202</f>
        <v>0</v>
      </c>
      <c r="Z202" s="35">
        <v>1</v>
      </c>
      <c r="AA202" s="35">
        <f t="shared" ref="AA202" si="132">Y202*Z202</f>
        <v>0</v>
      </c>
      <c r="AB202" s="35">
        <f t="shared" ref="AB202" si="133">IF(O202&gt;0,0,AA202+V202*Z202)*Z202</f>
        <v>390.87506944447676</v>
      </c>
      <c r="AC202" s="35">
        <f t="shared" ref="AC202" si="134">IF(O202&gt;0,(N202-AA202)/2,IF(AD202&gt;=AG202,(((N202*U202)*Z202)-AB202)/2,((((N202*U202)*Z202)-AA202)+(((N202*U202)*Z202)-AB202))/2))</f>
        <v>2363.0174652777614</v>
      </c>
      <c r="AD202" s="11">
        <f t="shared" si="97"/>
        <v>2016.75</v>
      </c>
      <c r="AE202" s="11">
        <f t="shared" si="98"/>
        <v>2017.6666666666667</v>
      </c>
      <c r="AF202" s="11">
        <f t="shared" si="99"/>
        <v>2028.75</v>
      </c>
      <c r="AG202" s="11">
        <f t="shared" si="100"/>
        <v>2016.6666666666667</v>
      </c>
      <c r="AH202" s="11">
        <f t="shared" si="101"/>
        <v>-8.3333333333333329E-2</v>
      </c>
    </row>
    <row r="203" spans="1:34">
      <c r="A203" s="5">
        <v>168825</v>
      </c>
      <c r="B203" s="7"/>
      <c r="C203" s="7">
        <v>25</v>
      </c>
      <c r="D203" s="32" t="s">
        <v>295</v>
      </c>
      <c r="E203" s="15">
        <v>2016</v>
      </c>
      <c r="F203" s="7">
        <v>10</v>
      </c>
      <c r="G203" s="56">
        <v>0</v>
      </c>
      <c r="H203" s="56"/>
      <c r="I203" s="15" t="s">
        <v>103</v>
      </c>
      <c r="J203" s="15">
        <v>12</v>
      </c>
      <c r="K203" s="9">
        <f t="shared" ref="K203" si="135">E203+J203</f>
        <v>2028</v>
      </c>
      <c r="L203" s="57"/>
      <c r="M203" s="7"/>
      <c r="N203" s="34">
        <v>13420.74</v>
      </c>
      <c r="O203" s="44"/>
      <c r="P203" s="35">
        <f t="shared" ref="P203" si="136">N203-N203*G203</f>
        <v>13420.74</v>
      </c>
      <c r="Q203" s="35">
        <f t="shared" ref="Q203" si="137">P203/J203/12</f>
        <v>93.199583333333337</v>
      </c>
      <c r="R203" s="35">
        <f t="shared" ref="R203" si="138">IF(O203&gt;0,0,IF(OR(AD203&gt;AE203,AF203&lt;AG203),0,IF(AND(AF203&gt;=AG203,AF203&lt;=AE203),Q203*((AF203-AG203)*12),IF(AND(AG203&lt;=AD203,AE203&gt;=AD203),((AE203-AD203)*12)*Q203,IF(AF203&gt;AE203,12*Q203,0)))))</f>
        <v>1025.1954166667515</v>
      </c>
      <c r="S203" s="35"/>
      <c r="T203" s="35">
        <f t="shared" ref="T203" si="139">IF(S203&gt;0,S203,R203)</f>
        <v>1025.1954166667515</v>
      </c>
      <c r="U203" s="35">
        <v>1</v>
      </c>
      <c r="V203" s="35">
        <f t="shared" ref="V203" si="140">U203*SUM(R203:S203)</f>
        <v>1025.1954166667515</v>
      </c>
      <c r="W203" s="35"/>
      <c r="X203" s="35">
        <f t="shared" ref="X203" si="141">IF(AD203&gt;AE203,0,IF(AF203&lt;AG203,P203,IF(AND(AF203&gt;=AG203,AF203&lt;=AE203),(P203-T203),IF(AND(AG203&lt;=AD203,AE203&gt;=AD203),0,IF(AF203&gt;AE203,((AG203-AD203)*12)*Q203,0)))))</f>
        <v>0</v>
      </c>
      <c r="Y203" s="35">
        <f t="shared" ref="Y203" si="142">X203*U203</f>
        <v>0</v>
      </c>
      <c r="Z203" s="35">
        <v>1</v>
      </c>
      <c r="AA203" s="35">
        <f t="shared" ref="AA203" si="143">Y203*Z203</f>
        <v>0</v>
      </c>
      <c r="AB203" s="35">
        <f t="shared" ref="AB203" si="144">IF(O203&gt;0,0,AA203+V203*Z203)*Z203</f>
        <v>1025.1954166667515</v>
      </c>
      <c r="AC203" s="35">
        <f t="shared" ref="AC203" si="145">IF(O203&gt;0,(N203-AA203)/2,IF(AD203&gt;=AG203,(((N203*U203)*Z203)-AB203)/2,((((N203*U203)*Z203)-AA203)+(((N203*U203)*Z203)-AB203))/2))</f>
        <v>6197.7722916666244</v>
      </c>
      <c r="AD203" s="11">
        <f t="shared" si="97"/>
        <v>2016.75</v>
      </c>
      <c r="AE203" s="11">
        <f t="shared" si="98"/>
        <v>2017.6666666666667</v>
      </c>
      <c r="AF203" s="11">
        <f t="shared" si="99"/>
        <v>2028.75</v>
      </c>
      <c r="AG203" s="11">
        <f t="shared" si="100"/>
        <v>2016.6666666666667</v>
      </c>
      <c r="AH203" s="11">
        <f t="shared" si="101"/>
        <v>-8.3333333333333329E-2</v>
      </c>
    </row>
    <row r="204" spans="1:34">
      <c r="B204" s="7"/>
      <c r="D204" s="32"/>
      <c r="E204" s="15"/>
      <c r="F204" s="7"/>
      <c r="G204" s="56"/>
      <c r="H204" s="56"/>
      <c r="I204" s="15"/>
      <c r="J204" s="15"/>
      <c r="K204" s="9"/>
      <c r="L204" s="57"/>
      <c r="M204" s="7"/>
      <c r="N204" s="34"/>
      <c r="O204" s="44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11"/>
      <c r="AE204" s="11"/>
      <c r="AF204" s="11"/>
      <c r="AG204" s="11"/>
      <c r="AH204" s="11"/>
    </row>
    <row r="205" spans="1:34">
      <c r="B205" s="7"/>
      <c r="C205" s="58"/>
      <c r="D205" s="59"/>
      <c r="E205" s="60"/>
      <c r="F205" s="59"/>
      <c r="G205" s="56"/>
      <c r="H205" s="56"/>
      <c r="I205" s="61"/>
      <c r="J205" s="59"/>
      <c r="K205" s="9"/>
      <c r="L205" s="57"/>
      <c r="M205" s="7"/>
      <c r="N205" s="34"/>
      <c r="O205" s="44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11"/>
      <c r="AE205" s="11"/>
      <c r="AF205" s="11"/>
      <c r="AG205" s="11"/>
      <c r="AH205" s="11"/>
    </row>
    <row r="206" spans="1:34">
      <c r="B206" s="7"/>
      <c r="C206" s="58"/>
      <c r="D206" s="47" t="s">
        <v>221</v>
      </c>
      <c r="E206" s="62"/>
      <c r="F206" s="63"/>
      <c r="G206" s="49"/>
      <c r="H206" s="49"/>
      <c r="I206" s="49"/>
      <c r="J206" s="48"/>
      <c r="K206" s="64"/>
      <c r="L206" s="65"/>
      <c r="M206" s="49"/>
      <c r="N206" s="66">
        <f>SUM(N65:N205)</f>
        <v>388114.13500000001</v>
      </c>
      <c r="O206" s="67"/>
      <c r="P206" s="66">
        <f>SUM(P65:P205)</f>
        <v>388114.13500000001</v>
      </c>
      <c r="Q206" s="66">
        <f>SUM(Q65:Q205)</f>
        <v>3626.681428571429</v>
      </c>
      <c r="R206" s="66">
        <f>SUM(R65:R205)</f>
        <v>9653.1313749999754</v>
      </c>
      <c r="S206" s="66"/>
      <c r="T206" s="66">
        <f>SUM(T65:T205)</f>
        <v>9653.1313749999754</v>
      </c>
      <c r="U206" s="66"/>
      <c r="V206" s="66">
        <f>SUM(V65:V205)</f>
        <v>9653.1313749999754</v>
      </c>
      <c r="W206" s="66"/>
      <c r="X206" s="66">
        <f t="shared" ref="X206:AB206" si="146">SUM(X65:X205)</f>
        <v>311613.00366666721</v>
      </c>
      <c r="Y206" s="66">
        <f t="shared" si="146"/>
        <v>311613.00366666721</v>
      </c>
      <c r="Z206" s="66"/>
      <c r="AA206" s="66">
        <f t="shared" si="146"/>
        <v>311613.00366666721</v>
      </c>
      <c r="AB206" s="66">
        <f t="shared" si="146"/>
        <v>321266.13504166726</v>
      </c>
      <c r="AC206" s="66">
        <f>SUM(AC65:AC205)</f>
        <v>56223.590645832774</v>
      </c>
      <c r="AD206" s="7"/>
      <c r="AE206" s="7"/>
      <c r="AF206" s="7"/>
      <c r="AG206" s="7"/>
      <c r="AH206" s="7"/>
    </row>
    <row r="207" spans="1:34">
      <c r="B207" s="7"/>
      <c r="C207" s="58"/>
      <c r="D207" s="20"/>
      <c r="E207" s="68"/>
      <c r="F207" s="58"/>
      <c r="G207" s="7"/>
      <c r="H207" s="7"/>
      <c r="I207" s="7"/>
      <c r="J207" s="15"/>
      <c r="K207" s="9"/>
      <c r="L207" s="69"/>
      <c r="M207" s="7"/>
      <c r="N207" s="70"/>
      <c r="O207" s="44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"/>
      <c r="AE207" s="7"/>
      <c r="AF207" s="7"/>
      <c r="AG207" s="7"/>
      <c r="AH207" s="7"/>
    </row>
    <row r="208" spans="1:34">
      <c r="B208" s="7"/>
      <c r="D208" s="7"/>
      <c r="E208" s="7"/>
      <c r="F208" s="7"/>
      <c r="G208" s="15"/>
      <c r="H208" s="7"/>
      <c r="I208" s="7"/>
      <c r="J208" s="7"/>
      <c r="K208" s="9"/>
      <c r="L208" s="7"/>
      <c r="M208" s="7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7"/>
      <c r="AE208" s="7"/>
      <c r="AF208" s="7"/>
      <c r="AG208" s="7"/>
      <c r="AH208" s="7"/>
    </row>
    <row r="209" spans="1:34">
      <c r="B209" s="37"/>
      <c r="D209" s="20" t="s">
        <v>222</v>
      </c>
      <c r="E209" s="7"/>
      <c r="F209" s="7"/>
      <c r="G209" s="15"/>
      <c r="H209" s="7"/>
      <c r="I209" s="7"/>
      <c r="J209" s="7"/>
      <c r="K209" s="9"/>
      <c r="L209" s="7"/>
      <c r="M209" s="7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7"/>
      <c r="AE209" s="7"/>
      <c r="AF209" s="7"/>
      <c r="AG209" s="7"/>
      <c r="AH209" s="7"/>
    </row>
    <row r="210" spans="1:34">
      <c r="B210" s="7"/>
      <c r="C210" s="7">
        <f>325+350</f>
        <v>675</v>
      </c>
      <c r="D210" s="32" t="s">
        <v>223</v>
      </c>
      <c r="E210" s="15">
        <v>2005</v>
      </c>
      <c r="F210" s="7">
        <v>3</v>
      </c>
      <c r="G210" s="56">
        <v>0</v>
      </c>
      <c r="H210" s="56"/>
      <c r="I210" s="15" t="s">
        <v>103</v>
      </c>
      <c r="J210" s="15">
        <v>10</v>
      </c>
      <c r="K210" s="9">
        <f t="shared" ref="K210:K219" si="147">E210+J210</f>
        <v>2015</v>
      </c>
      <c r="L210" s="57"/>
      <c r="M210" s="7"/>
      <c r="N210" s="34">
        <v>25795.88</v>
      </c>
      <c r="O210" s="44"/>
      <c r="P210" s="35">
        <f t="shared" ref="P210:P219" si="148">N210-N210*G210</f>
        <v>25795.88</v>
      </c>
      <c r="Q210" s="35">
        <f t="shared" ref="Q210:Q219" si="149">P210/J210/12</f>
        <v>214.96566666666669</v>
      </c>
      <c r="R210" s="35">
        <f t="shared" ref="R210:R219" si="150">IF(O210&gt;0,0,IF(OR(AD210&gt;AE210,AF210&lt;AG210),0,IF(AND(AF210&gt;=AG210,AF210&lt;=AE210),Q210*((AF210-AG210)*12),IF(AND(AG210&lt;=AD210,AE210&gt;=AD210),((AE210-AD210)*12)*Q210,IF(AF210&gt;AE210,12*Q210,0)))))</f>
        <v>0</v>
      </c>
      <c r="S210" s="35"/>
      <c r="T210" s="35">
        <f t="shared" ref="T210:T219" si="151">IF(S210&gt;0,S210,R210)</f>
        <v>0</v>
      </c>
      <c r="U210" s="35">
        <v>1</v>
      </c>
      <c r="V210" s="35">
        <f t="shared" ref="V210:V219" si="152">U210*SUM(R210:S210)</f>
        <v>0</v>
      </c>
      <c r="W210" s="35"/>
      <c r="X210" s="35">
        <f t="shared" ref="X210:X219" si="153">IF(AD210&gt;AE210,0,IF(AF210&lt;AG210,P210,IF(AND(AF210&gt;=AG210,AF210&lt;=AE210),(P210-T210),IF(AND(AG210&lt;=AD210,AE210&gt;=AD210),0,IF(AF210&gt;AE210,((AG210-AD210)*12)*Q210,0)))))</f>
        <v>25795.88</v>
      </c>
      <c r="Y210" s="35">
        <f t="shared" ref="Y210:Y219" si="154">X210*U210</f>
        <v>25795.88</v>
      </c>
      <c r="Z210" s="35">
        <v>1</v>
      </c>
      <c r="AA210" s="35">
        <f t="shared" ref="AA210:AA219" si="155">Y210*Z210</f>
        <v>25795.88</v>
      </c>
      <c r="AB210" s="35">
        <f t="shared" ref="AB210:AB219" si="156">IF(O210&gt;0,0,AA210+V210*Z210)*Z210</f>
        <v>25795.88</v>
      </c>
      <c r="AC210" s="35">
        <f t="shared" ref="AC210:AC219" si="157">IF(O210&gt;0,(N210-AA210)/2,IF(AD210&gt;=AG210,(((N210*U210)*Z210)-AB210)/2,((((N210*U210)*Z210)-AA210)+(((N210*U210)*Z210)-AB210))/2))</f>
        <v>0</v>
      </c>
      <c r="AD210" s="11">
        <f t="shared" ref="AD210:AD222" si="158">$E210+(($F210-1)/12)</f>
        <v>2005.1666666666667</v>
      </c>
      <c r="AE210" s="11">
        <f t="shared" ref="AE210:AE222" si="159">($P$5+1)-($P$2/12)</f>
        <v>2017.6666666666667</v>
      </c>
      <c r="AF210" s="11">
        <f t="shared" ref="AF210:AF222" si="160">$K210+(($F210-1)/12)</f>
        <v>2015.1666666666667</v>
      </c>
      <c r="AG210" s="11">
        <f t="shared" ref="AG210:AG222" si="161">$P$4+($P$3/12)</f>
        <v>2016.6666666666667</v>
      </c>
      <c r="AH210" s="11">
        <f t="shared" ref="AH210:AH222" si="162">$L210+(($M210-1)/12)</f>
        <v>-8.3333333333333329E-2</v>
      </c>
    </row>
    <row r="211" spans="1:34">
      <c r="B211" s="7"/>
      <c r="C211" s="7">
        <v>150</v>
      </c>
      <c r="D211" s="32" t="s">
        <v>224</v>
      </c>
      <c r="E211" s="15">
        <v>2005</v>
      </c>
      <c r="F211" s="7">
        <v>12</v>
      </c>
      <c r="G211" s="56">
        <v>0</v>
      </c>
      <c r="H211" s="56"/>
      <c r="I211" s="15" t="s">
        <v>103</v>
      </c>
      <c r="J211" s="15">
        <v>10</v>
      </c>
      <c r="K211" s="9">
        <f t="shared" si="147"/>
        <v>2015</v>
      </c>
      <c r="L211" s="57"/>
      <c r="M211" s="7"/>
      <c r="N211" s="34">
        <v>10022.94</v>
      </c>
      <c r="O211" s="44"/>
      <c r="P211" s="35">
        <f t="shared" si="148"/>
        <v>10022.94</v>
      </c>
      <c r="Q211" s="35">
        <f t="shared" si="149"/>
        <v>83.524500000000003</v>
      </c>
      <c r="R211" s="35">
        <f t="shared" si="150"/>
        <v>0</v>
      </c>
      <c r="S211" s="35"/>
      <c r="T211" s="35">
        <f t="shared" si="151"/>
        <v>0</v>
      </c>
      <c r="U211" s="35">
        <v>1</v>
      </c>
      <c r="V211" s="35">
        <f t="shared" si="152"/>
        <v>0</v>
      </c>
      <c r="W211" s="35"/>
      <c r="X211" s="35">
        <f t="shared" si="153"/>
        <v>10022.94</v>
      </c>
      <c r="Y211" s="35">
        <f t="shared" si="154"/>
        <v>10022.94</v>
      </c>
      <c r="Z211" s="35">
        <v>1</v>
      </c>
      <c r="AA211" s="35">
        <f t="shared" si="155"/>
        <v>10022.94</v>
      </c>
      <c r="AB211" s="35">
        <f t="shared" si="156"/>
        <v>10022.94</v>
      </c>
      <c r="AC211" s="35">
        <f t="shared" si="157"/>
        <v>0</v>
      </c>
      <c r="AD211" s="11">
        <f t="shared" si="158"/>
        <v>2005.9166666666667</v>
      </c>
      <c r="AE211" s="11">
        <f t="shared" si="159"/>
        <v>2017.6666666666667</v>
      </c>
      <c r="AF211" s="11">
        <f t="shared" si="160"/>
        <v>2015.9166666666667</v>
      </c>
      <c r="AG211" s="11">
        <f t="shared" si="161"/>
        <v>2016.6666666666667</v>
      </c>
      <c r="AH211" s="11">
        <f t="shared" si="162"/>
        <v>-8.3333333333333329E-2</v>
      </c>
    </row>
    <row r="212" spans="1:34">
      <c r="B212" s="7"/>
      <c r="C212" s="7">
        <v>325</v>
      </c>
      <c r="D212" s="32" t="s">
        <v>224</v>
      </c>
      <c r="E212" s="15">
        <v>2006</v>
      </c>
      <c r="F212" s="7">
        <v>2</v>
      </c>
      <c r="G212" s="56">
        <v>0</v>
      </c>
      <c r="H212" s="56"/>
      <c r="I212" s="15" t="s">
        <v>103</v>
      </c>
      <c r="J212" s="15">
        <v>10</v>
      </c>
      <c r="K212" s="9">
        <f t="shared" si="147"/>
        <v>2016</v>
      </c>
      <c r="L212" s="57"/>
      <c r="M212" s="7"/>
      <c r="N212" s="34">
        <v>17320.62</v>
      </c>
      <c r="O212" s="44"/>
      <c r="P212" s="35">
        <f t="shared" si="148"/>
        <v>17320.62</v>
      </c>
      <c r="Q212" s="35">
        <f t="shared" si="149"/>
        <v>144.33849999999998</v>
      </c>
      <c r="R212" s="35">
        <f t="shared" si="150"/>
        <v>0</v>
      </c>
      <c r="S212" s="35"/>
      <c r="T212" s="35">
        <f t="shared" si="151"/>
        <v>0</v>
      </c>
      <c r="U212" s="35">
        <v>1</v>
      </c>
      <c r="V212" s="35">
        <f t="shared" si="152"/>
        <v>0</v>
      </c>
      <c r="W212" s="35"/>
      <c r="X212" s="35">
        <f t="shared" si="153"/>
        <v>17320.62</v>
      </c>
      <c r="Y212" s="35">
        <f t="shared" si="154"/>
        <v>17320.62</v>
      </c>
      <c r="Z212" s="35">
        <v>1</v>
      </c>
      <c r="AA212" s="35">
        <f t="shared" si="155"/>
        <v>17320.62</v>
      </c>
      <c r="AB212" s="35">
        <f t="shared" si="156"/>
        <v>17320.62</v>
      </c>
      <c r="AC212" s="35">
        <f t="shared" si="157"/>
        <v>0</v>
      </c>
      <c r="AD212" s="11">
        <f t="shared" si="158"/>
        <v>2006.0833333333333</v>
      </c>
      <c r="AE212" s="11">
        <f t="shared" si="159"/>
        <v>2017.6666666666667</v>
      </c>
      <c r="AF212" s="11">
        <f t="shared" si="160"/>
        <v>2016.0833333333333</v>
      </c>
      <c r="AG212" s="11">
        <f t="shared" si="161"/>
        <v>2016.6666666666667</v>
      </c>
      <c r="AH212" s="11">
        <f t="shared" si="162"/>
        <v>-8.3333333333333329E-2</v>
      </c>
    </row>
    <row r="213" spans="1:34">
      <c r="B213" s="7"/>
      <c r="C213" s="7">
        <v>427</v>
      </c>
      <c r="D213" s="32" t="s">
        <v>224</v>
      </c>
      <c r="E213" s="15">
        <v>2006</v>
      </c>
      <c r="F213" s="7">
        <v>4</v>
      </c>
      <c r="G213" s="56">
        <v>0</v>
      </c>
      <c r="H213" s="56"/>
      <c r="I213" s="15" t="s">
        <v>103</v>
      </c>
      <c r="J213" s="15">
        <v>10</v>
      </c>
      <c r="K213" s="9">
        <f t="shared" si="147"/>
        <v>2016</v>
      </c>
      <c r="L213" s="57"/>
      <c r="M213" s="7"/>
      <c r="N213" s="34">
        <v>24016.26</v>
      </c>
      <c r="O213" s="44"/>
      <c r="P213" s="35">
        <f t="shared" si="148"/>
        <v>24016.26</v>
      </c>
      <c r="Q213" s="35">
        <f t="shared" si="149"/>
        <v>200.13549999999998</v>
      </c>
      <c r="R213" s="35">
        <f t="shared" si="150"/>
        <v>0</v>
      </c>
      <c r="S213" s="35"/>
      <c r="T213" s="35">
        <f t="shared" si="151"/>
        <v>0</v>
      </c>
      <c r="U213" s="35">
        <v>1</v>
      </c>
      <c r="V213" s="35">
        <f t="shared" si="152"/>
        <v>0</v>
      </c>
      <c r="W213" s="35"/>
      <c r="X213" s="35">
        <f t="shared" si="153"/>
        <v>24016.26</v>
      </c>
      <c r="Y213" s="35">
        <f t="shared" si="154"/>
        <v>24016.26</v>
      </c>
      <c r="Z213" s="35">
        <v>1</v>
      </c>
      <c r="AA213" s="35">
        <f t="shared" si="155"/>
        <v>24016.26</v>
      </c>
      <c r="AB213" s="35">
        <f t="shared" si="156"/>
        <v>24016.26</v>
      </c>
      <c r="AC213" s="35">
        <f t="shared" si="157"/>
        <v>0</v>
      </c>
      <c r="AD213" s="11">
        <f t="shared" si="158"/>
        <v>2006.25</v>
      </c>
      <c r="AE213" s="11">
        <f t="shared" si="159"/>
        <v>2017.6666666666667</v>
      </c>
      <c r="AF213" s="11">
        <f t="shared" si="160"/>
        <v>2016.25</v>
      </c>
      <c r="AG213" s="11">
        <f t="shared" si="161"/>
        <v>2016.6666666666667</v>
      </c>
      <c r="AH213" s="11">
        <f t="shared" si="162"/>
        <v>-8.3333333333333329E-2</v>
      </c>
    </row>
    <row r="214" spans="1:34">
      <c r="B214" s="7"/>
      <c r="C214" s="7">
        <v>300</v>
      </c>
      <c r="D214" s="32" t="s">
        <v>224</v>
      </c>
      <c r="E214" s="15">
        <v>2007</v>
      </c>
      <c r="F214" s="7">
        <v>12</v>
      </c>
      <c r="G214" s="56">
        <v>0</v>
      </c>
      <c r="H214" s="56"/>
      <c r="I214" s="15" t="s">
        <v>103</v>
      </c>
      <c r="J214" s="15">
        <v>10</v>
      </c>
      <c r="K214" s="9">
        <f t="shared" si="147"/>
        <v>2017</v>
      </c>
      <c r="L214" s="57"/>
      <c r="M214" s="7"/>
      <c r="N214" s="34">
        <f>17653.66</f>
        <v>17653.66</v>
      </c>
      <c r="O214" s="44"/>
      <c r="P214" s="35">
        <f t="shared" si="148"/>
        <v>17653.66</v>
      </c>
      <c r="Q214" s="35">
        <f t="shared" si="149"/>
        <v>147.11383333333333</v>
      </c>
      <c r="R214" s="35">
        <f t="shared" si="150"/>
        <v>1765.366</v>
      </c>
      <c r="S214" s="35"/>
      <c r="T214" s="35">
        <f t="shared" si="151"/>
        <v>1765.366</v>
      </c>
      <c r="U214" s="35">
        <v>1</v>
      </c>
      <c r="V214" s="35">
        <f t="shared" si="152"/>
        <v>1765.366</v>
      </c>
      <c r="W214" s="35"/>
      <c r="X214" s="35">
        <f t="shared" si="153"/>
        <v>15446.952499999999</v>
      </c>
      <c r="Y214" s="35">
        <f t="shared" si="154"/>
        <v>15446.952499999999</v>
      </c>
      <c r="Z214" s="35">
        <v>1</v>
      </c>
      <c r="AA214" s="35">
        <f t="shared" si="155"/>
        <v>15446.952499999999</v>
      </c>
      <c r="AB214" s="35">
        <f t="shared" si="156"/>
        <v>17212.318500000001</v>
      </c>
      <c r="AC214" s="35">
        <f t="shared" si="157"/>
        <v>1324.0244999999995</v>
      </c>
      <c r="AD214" s="11">
        <f t="shared" si="158"/>
        <v>2007.9166666666667</v>
      </c>
      <c r="AE214" s="11">
        <f t="shared" si="159"/>
        <v>2017.6666666666667</v>
      </c>
      <c r="AF214" s="11">
        <f t="shared" si="160"/>
        <v>2017.9166666666667</v>
      </c>
      <c r="AG214" s="11">
        <f t="shared" si="161"/>
        <v>2016.6666666666667</v>
      </c>
      <c r="AH214" s="11">
        <f t="shared" si="162"/>
        <v>-8.3333333333333329E-2</v>
      </c>
    </row>
    <row r="215" spans="1:34">
      <c r="B215" s="7"/>
      <c r="C215" s="7">
        <v>289</v>
      </c>
      <c r="D215" s="32" t="s">
        <v>225</v>
      </c>
      <c r="E215" s="15">
        <v>2009</v>
      </c>
      <c r="F215" s="7">
        <v>6</v>
      </c>
      <c r="G215" s="56">
        <v>0</v>
      </c>
      <c r="H215" s="56"/>
      <c r="I215" s="15" t="s">
        <v>103</v>
      </c>
      <c r="J215" s="15">
        <v>10</v>
      </c>
      <c r="K215" s="9">
        <f t="shared" si="147"/>
        <v>2019</v>
      </c>
      <c r="L215" s="57"/>
      <c r="M215" s="7"/>
      <c r="N215" s="34">
        <f>289*51.76</f>
        <v>14958.64</v>
      </c>
      <c r="O215" s="44"/>
      <c r="P215" s="35">
        <f t="shared" si="148"/>
        <v>14958.64</v>
      </c>
      <c r="Q215" s="35">
        <f t="shared" si="149"/>
        <v>124.65533333333333</v>
      </c>
      <c r="R215" s="35">
        <f t="shared" si="150"/>
        <v>1495.864</v>
      </c>
      <c r="S215" s="35"/>
      <c r="T215" s="35">
        <f t="shared" si="151"/>
        <v>1495.864</v>
      </c>
      <c r="U215" s="35">
        <v>1</v>
      </c>
      <c r="V215" s="35">
        <f t="shared" si="152"/>
        <v>1495.864</v>
      </c>
      <c r="W215" s="35"/>
      <c r="X215" s="35">
        <f t="shared" si="153"/>
        <v>10845.013999999999</v>
      </c>
      <c r="Y215" s="35">
        <f t="shared" si="154"/>
        <v>10845.013999999999</v>
      </c>
      <c r="Z215" s="35">
        <v>1</v>
      </c>
      <c r="AA215" s="35">
        <f t="shared" si="155"/>
        <v>10845.013999999999</v>
      </c>
      <c r="AB215" s="35">
        <f t="shared" si="156"/>
        <v>12340.877999999999</v>
      </c>
      <c r="AC215" s="35">
        <f t="shared" si="157"/>
        <v>3365.6940000000004</v>
      </c>
      <c r="AD215" s="11">
        <f t="shared" si="158"/>
        <v>2009.4166666666667</v>
      </c>
      <c r="AE215" s="11">
        <f t="shared" si="159"/>
        <v>2017.6666666666667</v>
      </c>
      <c r="AF215" s="11">
        <f t="shared" si="160"/>
        <v>2019.4166666666667</v>
      </c>
      <c r="AG215" s="11">
        <f t="shared" si="161"/>
        <v>2016.6666666666667</v>
      </c>
      <c r="AH215" s="11">
        <f t="shared" si="162"/>
        <v>-8.3333333333333329E-2</v>
      </c>
    </row>
    <row r="216" spans="1:34">
      <c r="B216" s="7"/>
      <c r="C216" s="7">
        <v>238</v>
      </c>
      <c r="D216" s="32" t="s">
        <v>224</v>
      </c>
      <c r="E216" s="15">
        <v>2011</v>
      </c>
      <c r="F216" s="7">
        <v>11</v>
      </c>
      <c r="G216" s="56">
        <v>0</v>
      </c>
      <c r="H216" s="56"/>
      <c r="I216" s="15" t="s">
        <v>103</v>
      </c>
      <c r="J216" s="15">
        <v>10</v>
      </c>
      <c r="K216" s="9">
        <f t="shared" si="147"/>
        <v>2021</v>
      </c>
      <c r="L216" s="57"/>
      <c r="M216" s="7"/>
      <c r="N216" s="34">
        <f>11941.29+4.62*238</f>
        <v>13040.85</v>
      </c>
      <c r="O216" s="44"/>
      <c r="P216" s="35">
        <f t="shared" si="148"/>
        <v>13040.85</v>
      </c>
      <c r="Q216" s="35">
        <f t="shared" si="149"/>
        <v>108.67375</v>
      </c>
      <c r="R216" s="35">
        <f t="shared" si="150"/>
        <v>1304.085</v>
      </c>
      <c r="S216" s="35"/>
      <c r="T216" s="35">
        <f t="shared" si="151"/>
        <v>1304.085</v>
      </c>
      <c r="U216" s="35">
        <v>1</v>
      </c>
      <c r="V216" s="35">
        <f t="shared" si="152"/>
        <v>1304.085</v>
      </c>
      <c r="W216" s="35"/>
      <c r="X216" s="35">
        <f t="shared" si="153"/>
        <v>6303.0775000001977</v>
      </c>
      <c r="Y216" s="35">
        <f t="shared" si="154"/>
        <v>6303.0775000001977</v>
      </c>
      <c r="Z216" s="35">
        <v>1</v>
      </c>
      <c r="AA216" s="35">
        <f t="shared" si="155"/>
        <v>6303.0775000001977</v>
      </c>
      <c r="AB216" s="35">
        <f t="shared" si="156"/>
        <v>7607.1625000001977</v>
      </c>
      <c r="AC216" s="35">
        <f t="shared" si="157"/>
        <v>6085.7299999998031</v>
      </c>
      <c r="AD216" s="11">
        <f t="shared" si="158"/>
        <v>2011.8333333333333</v>
      </c>
      <c r="AE216" s="11">
        <f t="shared" si="159"/>
        <v>2017.6666666666667</v>
      </c>
      <c r="AF216" s="11">
        <f t="shared" si="160"/>
        <v>2021.8333333333333</v>
      </c>
      <c r="AG216" s="11">
        <f t="shared" si="161"/>
        <v>2016.6666666666667</v>
      </c>
      <c r="AH216" s="11">
        <f t="shared" si="162"/>
        <v>-8.3333333333333329E-2</v>
      </c>
    </row>
    <row r="217" spans="1:34">
      <c r="A217" s="7">
        <v>105993</v>
      </c>
      <c r="C217" s="7">
        <v>90</v>
      </c>
      <c r="D217" s="32" t="s">
        <v>226</v>
      </c>
      <c r="E217" s="15">
        <v>2013</v>
      </c>
      <c r="F217" s="7">
        <v>7</v>
      </c>
      <c r="G217" s="56">
        <v>0</v>
      </c>
      <c r="H217" s="56"/>
      <c r="I217" s="15" t="s">
        <v>103</v>
      </c>
      <c r="J217" s="15">
        <v>10</v>
      </c>
      <c r="K217" s="9">
        <f t="shared" si="147"/>
        <v>2023</v>
      </c>
      <c r="L217" s="57"/>
      <c r="M217" s="7"/>
      <c r="N217" s="34">
        <v>13689.69</v>
      </c>
      <c r="O217" s="44"/>
      <c r="P217" s="35">
        <f t="shared" si="148"/>
        <v>13689.69</v>
      </c>
      <c r="Q217" s="35">
        <f t="shared" si="149"/>
        <v>114.08075000000001</v>
      </c>
      <c r="R217" s="35">
        <f t="shared" si="150"/>
        <v>1368.9690000000001</v>
      </c>
      <c r="S217" s="35"/>
      <c r="T217" s="35">
        <f t="shared" si="151"/>
        <v>1368.9690000000001</v>
      </c>
      <c r="U217" s="35">
        <v>1</v>
      </c>
      <c r="V217" s="35">
        <f t="shared" si="152"/>
        <v>1368.9690000000001</v>
      </c>
      <c r="W217" s="35"/>
      <c r="X217" s="35">
        <f t="shared" si="153"/>
        <v>4335.068500000104</v>
      </c>
      <c r="Y217" s="35">
        <f t="shared" si="154"/>
        <v>4335.068500000104</v>
      </c>
      <c r="Z217" s="35">
        <v>1</v>
      </c>
      <c r="AA217" s="35">
        <f t="shared" si="155"/>
        <v>4335.068500000104</v>
      </c>
      <c r="AB217" s="35">
        <f t="shared" si="156"/>
        <v>5704.037500000104</v>
      </c>
      <c r="AC217" s="35">
        <f t="shared" si="157"/>
        <v>8670.1369999998969</v>
      </c>
      <c r="AD217" s="11">
        <f t="shared" si="158"/>
        <v>2013.5</v>
      </c>
      <c r="AE217" s="11">
        <f t="shared" si="159"/>
        <v>2017.6666666666667</v>
      </c>
      <c r="AF217" s="11">
        <f t="shared" si="160"/>
        <v>2023.5</v>
      </c>
      <c r="AG217" s="11">
        <f t="shared" si="161"/>
        <v>2016.6666666666667</v>
      </c>
      <c r="AH217" s="11">
        <f t="shared" si="162"/>
        <v>-8.3333333333333329E-2</v>
      </c>
    </row>
    <row r="218" spans="1:34">
      <c r="A218" s="5">
        <v>115098</v>
      </c>
      <c r="B218" s="7"/>
      <c r="C218" s="7">
        <v>350</v>
      </c>
      <c r="D218" s="32" t="s">
        <v>226</v>
      </c>
      <c r="E218" s="15">
        <v>2014</v>
      </c>
      <c r="F218" s="7">
        <v>7</v>
      </c>
      <c r="G218" s="56">
        <v>0</v>
      </c>
      <c r="H218" s="56"/>
      <c r="I218" s="15" t="s">
        <v>103</v>
      </c>
      <c r="J218" s="15">
        <v>10</v>
      </c>
      <c r="K218" s="9">
        <f t="shared" si="147"/>
        <v>2024</v>
      </c>
      <c r="L218" s="57"/>
      <c r="M218" s="7"/>
      <c r="N218" s="34">
        <v>19892.87</v>
      </c>
      <c r="O218" s="44"/>
      <c r="P218" s="35">
        <f t="shared" si="148"/>
        <v>19892.87</v>
      </c>
      <c r="Q218" s="35">
        <f t="shared" si="149"/>
        <v>165.77391666666665</v>
      </c>
      <c r="R218" s="35">
        <f t="shared" si="150"/>
        <v>1989.2869999999998</v>
      </c>
      <c r="S218" s="35"/>
      <c r="T218" s="35">
        <f t="shared" si="151"/>
        <v>1989.2869999999998</v>
      </c>
      <c r="U218" s="35">
        <v>1</v>
      </c>
      <c r="V218" s="35">
        <f t="shared" si="152"/>
        <v>1989.2869999999998</v>
      </c>
      <c r="W218" s="35"/>
      <c r="X218" s="35">
        <f t="shared" si="153"/>
        <v>4310.1218333334837</v>
      </c>
      <c r="Y218" s="35">
        <f t="shared" si="154"/>
        <v>4310.1218333334837</v>
      </c>
      <c r="Z218" s="35">
        <v>1</v>
      </c>
      <c r="AA218" s="35">
        <f t="shared" si="155"/>
        <v>4310.1218333334837</v>
      </c>
      <c r="AB218" s="35">
        <f t="shared" si="156"/>
        <v>6299.4088333334839</v>
      </c>
      <c r="AC218" s="35">
        <f t="shared" si="157"/>
        <v>14588.104666666515</v>
      </c>
      <c r="AD218" s="11">
        <f t="shared" si="158"/>
        <v>2014.5</v>
      </c>
      <c r="AE218" s="11">
        <f t="shared" si="159"/>
        <v>2017.6666666666667</v>
      </c>
      <c r="AF218" s="11">
        <f t="shared" si="160"/>
        <v>2024.5</v>
      </c>
      <c r="AG218" s="11">
        <f t="shared" si="161"/>
        <v>2016.6666666666667</v>
      </c>
      <c r="AH218" s="11">
        <f t="shared" si="162"/>
        <v>-8.3333333333333329E-2</v>
      </c>
    </row>
    <row r="219" spans="1:34">
      <c r="A219" s="5">
        <v>126735</v>
      </c>
      <c r="B219" s="7"/>
      <c r="C219" s="7">
        <v>100</v>
      </c>
      <c r="D219" s="32" t="s">
        <v>227</v>
      </c>
      <c r="E219" s="15">
        <v>2015</v>
      </c>
      <c r="F219" s="7">
        <v>11</v>
      </c>
      <c r="G219" s="56">
        <v>0</v>
      </c>
      <c r="H219" s="56"/>
      <c r="I219" s="15" t="s">
        <v>103</v>
      </c>
      <c r="J219" s="15">
        <v>10</v>
      </c>
      <c r="K219" s="9">
        <f t="shared" si="147"/>
        <v>2025</v>
      </c>
      <c r="L219" s="57"/>
      <c r="M219" s="7"/>
      <c r="N219" s="34">
        <v>5641.04</v>
      </c>
      <c r="O219" s="44"/>
      <c r="P219" s="35">
        <f t="shared" si="148"/>
        <v>5641.04</v>
      </c>
      <c r="Q219" s="35">
        <f t="shared" si="149"/>
        <v>47.00866666666667</v>
      </c>
      <c r="R219" s="35">
        <f t="shared" si="150"/>
        <v>564.10400000000004</v>
      </c>
      <c r="S219" s="35"/>
      <c r="T219" s="35">
        <f t="shared" si="151"/>
        <v>564.10400000000004</v>
      </c>
      <c r="U219" s="35">
        <v>1</v>
      </c>
      <c r="V219" s="35">
        <f t="shared" si="152"/>
        <v>564.10400000000004</v>
      </c>
      <c r="W219" s="35"/>
      <c r="X219" s="35">
        <f t="shared" si="153"/>
        <v>470.08666666675219</v>
      </c>
      <c r="Y219" s="35">
        <f t="shared" si="154"/>
        <v>470.08666666675219</v>
      </c>
      <c r="Z219" s="35">
        <v>1</v>
      </c>
      <c r="AA219" s="35">
        <f t="shared" si="155"/>
        <v>470.08666666675219</v>
      </c>
      <c r="AB219" s="35">
        <f t="shared" si="156"/>
        <v>1034.1906666667523</v>
      </c>
      <c r="AC219" s="35">
        <f t="shared" si="157"/>
        <v>4888.9013333332477</v>
      </c>
      <c r="AD219" s="11">
        <f t="shared" si="158"/>
        <v>2015.8333333333333</v>
      </c>
      <c r="AE219" s="11">
        <f t="shared" si="159"/>
        <v>2017.6666666666667</v>
      </c>
      <c r="AF219" s="11">
        <f t="shared" si="160"/>
        <v>2025.8333333333333</v>
      </c>
      <c r="AG219" s="11">
        <f t="shared" si="161"/>
        <v>2016.6666666666667</v>
      </c>
      <c r="AH219" s="11">
        <f t="shared" si="162"/>
        <v>-8.3333333333333329E-2</v>
      </c>
    </row>
    <row r="220" spans="1:34">
      <c r="A220" s="5">
        <v>168949</v>
      </c>
      <c r="B220" s="7"/>
      <c r="C220" s="7">
        <v>100</v>
      </c>
      <c r="D220" s="32" t="s">
        <v>296</v>
      </c>
      <c r="E220" s="15">
        <v>2016</v>
      </c>
      <c r="F220" s="7">
        <v>10</v>
      </c>
      <c r="G220" s="56">
        <v>0</v>
      </c>
      <c r="H220" s="56"/>
      <c r="I220" s="15" t="s">
        <v>103</v>
      </c>
      <c r="J220" s="15">
        <v>7</v>
      </c>
      <c r="K220" s="9">
        <f t="shared" ref="K220:K222" si="163">E220+J220</f>
        <v>2023</v>
      </c>
      <c r="L220" s="57"/>
      <c r="M220" s="7"/>
      <c r="N220" s="34">
        <v>6085.16</v>
      </c>
      <c r="O220" s="44"/>
      <c r="P220" s="35">
        <f t="shared" ref="P220:P222" si="164">N220-N220*G220</f>
        <v>6085.16</v>
      </c>
      <c r="Q220" s="35">
        <f t="shared" ref="Q220:Q222" si="165">P220/J220/12</f>
        <v>72.442380952380958</v>
      </c>
      <c r="R220" s="35">
        <f t="shared" ref="R220" si="166">IF(O220&gt;0,0,IF(OR(AD220&gt;AE220,AF220&lt;AG220),0,IF(AND(AF220&gt;=AG220,AF220&lt;=AE220),Q220*((AF220-AG220)*12),IF(AND(AG220&lt;=AD220,AE220&gt;=AD220),((AE220-AD220)*12)*Q220,IF(AF220&gt;AE220,12*Q220,0)))))</f>
        <v>796.86619047625641</v>
      </c>
      <c r="S220" s="35"/>
      <c r="T220" s="35">
        <f t="shared" ref="T220" si="167">IF(S220&gt;0,S220,R220)</f>
        <v>796.86619047625641</v>
      </c>
      <c r="U220" s="35">
        <v>1</v>
      </c>
      <c r="V220" s="35">
        <f t="shared" ref="V220" si="168">U220*SUM(R220:S220)</f>
        <v>796.86619047625641</v>
      </c>
      <c r="W220" s="35"/>
      <c r="X220" s="35">
        <f t="shared" ref="X220" si="169">IF(AD220&gt;AE220,0,IF(AF220&lt;AG220,P220,IF(AND(AF220&gt;=AG220,AF220&lt;=AE220),(P220-T220),IF(AND(AG220&lt;=AD220,AE220&gt;=AD220),0,IF(AF220&gt;AE220,((AG220-AD220)*12)*Q220,0)))))</f>
        <v>0</v>
      </c>
      <c r="Y220" s="35">
        <f t="shared" ref="Y220" si="170">X220*U220</f>
        <v>0</v>
      </c>
      <c r="Z220" s="35">
        <v>1</v>
      </c>
      <c r="AA220" s="35">
        <f t="shared" ref="AA220" si="171">Y220*Z220</f>
        <v>0</v>
      </c>
      <c r="AB220" s="35">
        <f t="shared" ref="AB220" si="172">IF(O220&gt;0,0,AA220+V220*Z220)*Z220</f>
        <v>796.86619047625641</v>
      </c>
      <c r="AC220" s="35">
        <f t="shared" ref="AC220" si="173">IF(O220&gt;0,(N220-AA220)/2,IF(AD220&gt;=AG220,(((N220*U220)*Z220)-AB220)/2,((((N220*U220)*Z220)-AA220)+(((N220*U220)*Z220)-AB220))/2))</f>
        <v>2644.1469047618716</v>
      </c>
      <c r="AD220" s="11">
        <f t="shared" si="158"/>
        <v>2016.75</v>
      </c>
      <c r="AE220" s="11">
        <f t="shared" si="159"/>
        <v>2017.6666666666667</v>
      </c>
      <c r="AF220" s="11">
        <f t="shared" si="160"/>
        <v>2023.75</v>
      </c>
      <c r="AG220" s="11">
        <f t="shared" si="161"/>
        <v>2016.6666666666667</v>
      </c>
      <c r="AH220" s="11">
        <f t="shared" si="162"/>
        <v>-8.3333333333333329E-2</v>
      </c>
    </row>
    <row r="221" spans="1:34" s="97" customFormat="1">
      <c r="A221" s="97">
        <v>179935</v>
      </c>
      <c r="C221" s="97">
        <v>100</v>
      </c>
      <c r="D221" s="98" t="s">
        <v>307</v>
      </c>
      <c r="E221" s="99">
        <v>2017</v>
      </c>
      <c r="F221" s="97">
        <v>4</v>
      </c>
      <c r="G221" s="100">
        <v>0</v>
      </c>
      <c r="H221" s="100"/>
      <c r="I221" s="99" t="s">
        <v>103</v>
      </c>
      <c r="J221" s="99">
        <v>7</v>
      </c>
      <c r="K221" s="101">
        <f t="shared" si="163"/>
        <v>2024</v>
      </c>
      <c r="L221" s="102"/>
      <c r="N221" s="103">
        <v>5398.28</v>
      </c>
      <c r="O221" s="104"/>
      <c r="P221" s="105">
        <f t="shared" si="164"/>
        <v>5398.28</v>
      </c>
      <c r="Q221" s="105">
        <f t="shared" si="165"/>
        <v>64.265238095238089</v>
      </c>
      <c r="R221" s="105">
        <f t="shared" ref="R221" si="174">IF(O221&gt;0,0,IF(OR(AD221&gt;AE221,AF221&lt;AG221),0,IF(AND(AF221&gt;=AG221,AF221&lt;=AE221),Q221*((AF221-AG221)*12),IF(AND(AG221&lt;=AD221,AE221&gt;=AD221),((AE221-AD221)*12)*Q221,IF(AF221&gt;AE221,12*Q221,0)))))</f>
        <v>321.32619047624888</v>
      </c>
      <c r="S221" s="105"/>
      <c r="T221" s="105">
        <f t="shared" ref="T221" si="175">IF(S221&gt;0,S221,R221)</f>
        <v>321.32619047624888</v>
      </c>
      <c r="U221" s="105">
        <v>1</v>
      </c>
      <c r="V221" s="105">
        <f t="shared" ref="V221" si="176">U221*SUM(R221:S221)</f>
        <v>321.32619047624888</v>
      </c>
      <c r="W221" s="105"/>
      <c r="X221" s="105">
        <f t="shared" ref="X221" si="177">IF(AD221&gt;AE221,0,IF(AF221&lt;AG221,P221,IF(AND(AF221&gt;=AG221,AF221&lt;=AE221),(P221-T221),IF(AND(AG221&lt;=AD221,AE221&gt;=AD221),0,IF(AF221&gt;AE221,((AG221-AD221)*12)*Q221,0)))))</f>
        <v>0</v>
      </c>
      <c r="Y221" s="105">
        <f t="shared" ref="Y221" si="178">X221*U221</f>
        <v>0</v>
      </c>
      <c r="Z221" s="105">
        <v>1</v>
      </c>
      <c r="AA221" s="105">
        <f t="shared" ref="AA221" si="179">Y221*Z221</f>
        <v>0</v>
      </c>
      <c r="AB221" s="105">
        <f t="shared" ref="AB221" si="180">IF(O221&gt;0,0,AA221+V221*Z221)*Z221</f>
        <v>321.32619047624888</v>
      </c>
      <c r="AC221" s="105">
        <f t="shared" ref="AC221" si="181">IF(O221&gt;0,(N221-AA221)/2,IF(AD221&gt;=AG221,(((N221*U221)*Z221)-AB221)/2,((((N221*U221)*Z221)-AA221)+(((N221*U221)*Z221)-AB221))/2))</f>
        <v>2538.4769047618756</v>
      </c>
      <c r="AD221" s="106">
        <f t="shared" si="158"/>
        <v>2017.25</v>
      </c>
      <c r="AE221" s="106">
        <f t="shared" si="159"/>
        <v>2017.6666666666667</v>
      </c>
      <c r="AF221" s="106">
        <f t="shared" si="160"/>
        <v>2024.25</v>
      </c>
      <c r="AG221" s="106">
        <f t="shared" si="161"/>
        <v>2016.6666666666667</v>
      </c>
      <c r="AH221" s="106">
        <f t="shared" si="162"/>
        <v>-8.3333333333333329E-2</v>
      </c>
    </row>
    <row r="222" spans="1:34" s="97" customFormat="1">
      <c r="A222" s="97">
        <v>179934</v>
      </c>
      <c r="C222" s="97">
        <v>100</v>
      </c>
      <c r="D222" s="98" t="s">
        <v>308</v>
      </c>
      <c r="E222" s="99">
        <v>2017</v>
      </c>
      <c r="F222" s="97">
        <v>4</v>
      </c>
      <c r="G222" s="100">
        <v>0</v>
      </c>
      <c r="H222" s="100"/>
      <c r="I222" s="99" t="s">
        <v>103</v>
      </c>
      <c r="J222" s="99">
        <v>7</v>
      </c>
      <c r="K222" s="101">
        <f t="shared" si="163"/>
        <v>2024</v>
      </c>
      <c r="L222" s="102"/>
      <c r="N222" s="103">
        <v>5748.27</v>
      </c>
      <c r="O222" s="104"/>
      <c r="P222" s="105">
        <f t="shared" si="164"/>
        <v>5748.27</v>
      </c>
      <c r="Q222" s="105">
        <f t="shared" si="165"/>
        <v>68.431785714285724</v>
      </c>
      <c r="R222" s="105">
        <f t="shared" ref="R222" si="182">IF(O222&gt;0,0,IF(OR(AD222&gt;AE222,AF222&lt;AG222),0,IF(AND(AF222&gt;=AG222,AF222&lt;=AE222),Q222*((AF222-AG222)*12),IF(AND(AG222&lt;=AD222,AE222&gt;=AD222),((AE222-AD222)*12)*Q222,IF(AF222&gt;AE222,12*Q222,0)))))</f>
        <v>342.15892857149083</v>
      </c>
      <c r="S222" s="105"/>
      <c r="T222" s="105">
        <f t="shared" ref="T222" si="183">IF(S222&gt;0,S222,R222)</f>
        <v>342.15892857149083</v>
      </c>
      <c r="U222" s="105">
        <v>1</v>
      </c>
      <c r="V222" s="105">
        <f t="shared" ref="V222" si="184">U222*SUM(R222:S222)</f>
        <v>342.15892857149083</v>
      </c>
      <c r="W222" s="105"/>
      <c r="X222" s="105">
        <f t="shared" ref="X222" si="185">IF(AD222&gt;AE222,0,IF(AF222&lt;AG222,P222,IF(AND(AF222&gt;=AG222,AF222&lt;=AE222),(P222-T222),IF(AND(AG222&lt;=AD222,AE222&gt;=AD222),0,IF(AF222&gt;AE222,((AG222-AD222)*12)*Q222,0)))))</f>
        <v>0</v>
      </c>
      <c r="Y222" s="105">
        <f t="shared" ref="Y222" si="186">X222*U222</f>
        <v>0</v>
      </c>
      <c r="Z222" s="105">
        <v>1</v>
      </c>
      <c r="AA222" s="105">
        <f t="shared" ref="AA222" si="187">Y222*Z222</f>
        <v>0</v>
      </c>
      <c r="AB222" s="105">
        <f t="shared" ref="AB222" si="188">IF(O222&gt;0,0,AA222+V222*Z222)*Z222</f>
        <v>342.15892857149083</v>
      </c>
      <c r="AC222" s="105">
        <f t="shared" ref="AC222" si="189">IF(O222&gt;0,(N222-AA222)/2,IF(AD222&gt;=AG222,(((N222*U222)*Z222)-AB222)/2,((((N222*U222)*Z222)-AA222)+(((N222*U222)*Z222)-AB222))/2))</f>
        <v>2703.0555357142548</v>
      </c>
      <c r="AD222" s="106">
        <f t="shared" si="158"/>
        <v>2017.25</v>
      </c>
      <c r="AE222" s="106">
        <f t="shared" si="159"/>
        <v>2017.6666666666667</v>
      </c>
      <c r="AF222" s="106">
        <f t="shared" si="160"/>
        <v>2024.25</v>
      </c>
      <c r="AG222" s="106">
        <f t="shared" si="161"/>
        <v>2016.6666666666667</v>
      </c>
      <c r="AH222" s="106">
        <f t="shared" si="162"/>
        <v>-8.3333333333333329E-2</v>
      </c>
    </row>
    <row r="223" spans="1:34" s="7" customFormat="1">
      <c r="D223" s="32"/>
      <c r="E223" s="15"/>
      <c r="G223" s="33"/>
      <c r="H223" s="15"/>
      <c r="I223" s="15"/>
      <c r="J223" s="15"/>
      <c r="K223" s="19"/>
      <c r="N223" s="34"/>
      <c r="O223" s="34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11"/>
      <c r="AE223" s="11"/>
      <c r="AF223" s="11"/>
      <c r="AG223" s="11"/>
      <c r="AH223" s="11"/>
    </row>
    <row r="224" spans="1:34" s="7" customFormat="1">
      <c r="D224" s="47" t="s">
        <v>228</v>
      </c>
      <c r="E224" s="48"/>
      <c r="F224" s="49"/>
      <c r="G224" s="50"/>
      <c r="H224" s="48"/>
      <c r="I224" s="48"/>
      <c r="J224" s="48"/>
      <c r="K224" s="51"/>
      <c r="L224" s="49"/>
      <c r="M224" s="49"/>
      <c r="N224" s="41">
        <f>SUM(N210:N223)</f>
        <v>179264.16</v>
      </c>
      <c r="O224" s="41"/>
      <c r="P224" s="41">
        <f>SUM(P210:P223)</f>
        <v>179264.16</v>
      </c>
      <c r="Q224" s="41">
        <f>SUM(Q210:Q223)</f>
        <v>1555.4098214285716</v>
      </c>
      <c r="R224" s="41">
        <f>SUM(R210:R223)</f>
        <v>9948.0263095239952</v>
      </c>
      <c r="S224" s="41"/>
      <c r="T224" s="41">
        <f>SUM(T210:T223)</f>
        <v>9948.0263095239952</v>
      </c>
      <c r="U224" s="41"/>
      <c r="V224" s="41">
        <f>SUM(V210:V223)</f>
        <v>9948.0263095239952</v>
      </c>
      <c r="W224" s="41"/>
      <c r="X224" s="41">
        <f t="shared" ref="X224:AC224" si="190">SUM(X210:X223)</f>
        <v>118866.02100000055</v>
      </c>
      <c r="Y224" s="41">
        <f t="shared" si="190"/>
        <v>118866.02100000055</v>
      </c>
      <c r="Z224" s="41">
        <f t="shared" si="190"/>
        <v>13</v>
      </c>
      <c r="AA224" s="41">
        <f t="shared" si="190"/>
        <v>118866.02100000055</v>
      </c>
      <c r="AB224" s="41">
        <f t="shared" si="190"/>
        <v>128814.04730952453</v>
      </c>
      <c r="AC224" s="41">
        <f t="shared" si="190"/>
        <v>46808.270845237465</v>
      </c>
      <c r="AD224" s="11"/>
      <c r="AE224" s="11"/>
      <c r="AF224" s="11"/>
      <c r="AG224" s="11"/>
      <c r="AH224" s="11"/>
    </row>
    <row r="225" spans="1:34">
      <c r="B225" s="7"/>
      <c r="D225" s="7"/>
      <c r="E225" s="7"/>
      <c r="F225" s="7"/>
      <c r="G225" s="15"/>
      <c r="H225" s="7"/>
      <c r="I225" s="7"/>
      <c r="J225" s="7"/>
      <c r="K225" s="9"/>
      <c r="L225" s="7"/>
      <c r="M225" s="7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7"/>
      <c r="AE225" s="7"/>
      <c r="AF225" s="7"/>
      <c r="AG225" s="7"/>
      <c r="AH225" s="7"/>
    </row>
    <row r="226" spans="1:34">
      <c r="B226" s="37"/>
      <c r="D226" s="20" t="s">
        <v>229</v>
      </c>
      <c r="E226" s="7"/>
      <c r="F226" s="7"/>
      <c r="G226" s="15"/>
      <c r="H226" s="7"/>
      <c r="I226" s="7"/>
      <c r="J226" s="7"/>
      <c r="K226" s="9"/>
      <c r="L226" s="7"/>
      <c r="M226" s="7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7"/>
      <c r="AE226" s="7"/>
      <c r="AF226" s="7"/>
      <c r="AG226" s="7"/>
      <c r="AH226" s="7"/>
    </row>
    <row r="227" spans="1:34">
      <c r="B227" s="7"/>
      <c r="C227" s="7">
        <v>350</v>
      </c>
      <c r="D227" s="32" t="s">
        <v>230</v>
      </c>
      <c r="E227" s="15">
        <v>2006</v>
      </c>
      <c r="F227" s="7">
        <v>2</v>
      </c>
      <c r="G227" s="56">
        <v>0</v>
      </c>
      <c r="H227" s="56"/>
      <c r="I227" s="15" t="s">
        <v>103</v>
      </c>
      <c r="J227" s="15">
        <v>10</v>
      </c>
      <c r="K227" s="9">
        <f t="shared" ref="K227:K233" si="191">E227+J227</f>
        <v>2016</v>
      </c>
      <c r="L227" s="57"/>
      <c r="M227" s="7"/>
      <c r="N227" s="34">
        <v>17146.62</v>
      </c>
      <c r="O227" s="44"/>
      <c r="P227" s="35">
        <f t="shared" ref="P227:P233" si="192">N227-N227*G227</f>
        <v>17146.62</v>
      </c>
      <c r="Q227" s="35">
        <f t="shared" ref="Q227:Q233" si="193">P227/J227/12</f>
        <v>142.88849999999999</v>
      </c>
      <c r="R227" s="35">
        <f t="shared" ref="R227:R233" si="194">IF(O227&gt;0,0,IF(OR(AD227&gt;AE227,AF227&lt;AG227),0,IF(AND(AF227&gt;=AG227,AF227&lt;=AE227),Q227*((AF227-AG227)*12),IF(AND(AG227&lt;=AD227,AE227&gt;=AD227),((AE227-AD227)*12)*Q227,IF(AF227&gt;AE227,12*Q227,0)))))</f>
        <v>0</v>
      </c>
      <c r="S227" s="35"/>
      <c r="T227" s="35">
        <f t="shared" ref="T227:T233" si="195">IF(S227&gt;0,S227,R227)</f>
        <v>0</v>
      </c>
      <c r="U227" s="35">
        <v>1</v>
      </c>
      <c r="V227" s="35">
        <f t="shared" ref="V227:V233" si="196">U227*SUM(R227:S227)</f>
        <v>0</v>
      </c>
      <c r="W227" s="35"/>
      <c r="X227" s="35">
        <f t="shared" ref="X227:X233" si="197">IF(AD227&gt;AE227,0,IF(AF227&lt;AG227,P227,IF(AND(AF227&gt;=AG227,AF227&lt;=AE227),(P227-T227),IF(AND(AG227&lt;=AD227,AE227&gt;=AD227),0,IF(AF227&gt;AE227,((AG227-AD227)*12)*Q227,0)))))</f>
        <v>17146.62</v>
      </c>
      <c r="Y227" s="35">
        <f t="shared" ref="Y227:Y233" si="198">X227*U227</f>
        <v>17146.62</v>
      </c>
      <c r="Z227" s="35">
        <v>1</v>
      </c>
      <c r="AA227" s="35">
        <f t="shared" ref="AA227:AA233" si="199">Y227*Z227</f>
        <v>17146.62</v>
      </c>
      <c r="AB227" s="35">
        <f t="shared" ref="AB227:AB233" si="200">IF(O227&gt;0,0,AA227+V227*Z227)*Z227</f>
        <v>17146.62</v>
      </c>
      <c r="AC227" s="35">
        <f t="shared" ref="AC227:AC233" si="201">IF(O227&gt;0,(N227-AA227)/2,IF(AD227&gt;=AG227,(((N227*U227)*Z227)-AB227)/2,((((N227*U227)*Z227)-AA227)+(((N227*U227)*Z227)-AB227))/2))</f>
        <v>0</v>
      </c>
      <c r="AD227" s="11">
        <f t="shared" ref="AD227:AD234" si="202">$E227+(($F227-1)/12)</f>
        <v>2006.0833333333333</v>
      </c>
      <c r="AE227" s="11">
        <f t="shared" ref="AE227:AE234" si="203">($P$5+1)-($P$2/12)</f>
        <v>2017.6666666666667</v>
      </c>
      <c r="AF227" s="11">
        <f t="shared" ref="AF227:AF234" si="204">$K227+(($F227-1)/12)</f>
        <v>2016.0833333333333</v>
      </c>
      <c r="AG227" s="11">
        <f t="shared" ref="AG227:AG234" si="205">$P$4+($P$3/12)</f>
        <v>2016.6666666666667</v>
      </c>
      <c r="AH227" s="11">
        <f t="shared" ref="AH227:AH234" si="206">$L227+(($M227-1)/12)</f>
        <v>-8.3333333333333329E-2</v>
      </c>
    </row>
    <row r="228" spans="1:34">
      <c r="B228" s="7"/>
      <c r="C228" s="7">
        <v>165</v>
      </c>
      <c r="D228" s="32" t="s">
        <v>230</v>
      </c>
      <c r="E228" s="15">
        <v>2007</v>
      </c>
      <c r="F228" s="7">
        <v>12</v>
      </c>
      <c r="G228" s="56">
        <v>0</v>
      </c>
      <c r="H228" s="56"/>
      <c r="I228" s="15" t="s">
        <v>103</v>
      </c>
      <c r="J228" s="15">
        <v>10</v>
      </c>
      <c r="K228" s="9">
        <f t="shared" si="191"/>
        <v>2017</v>
      </c>
      <c r="L228" s="57"/>
      <c r="M228" s="7"/>
      <c r="N228" s="34">
        <v>8921.85</v>
      </c>
      <c r="O228" s="44"/>
      <c r="P228" s="35">
        <f t="shared" si="192"/>
        <v>8921.85</v>
      </c>
      <c r="Q228" s="35">
        <f t="shared" si="193"/>
        <v>74.34875000000001</v>
      </c>
      <c r="R228" s="35">
        <f t="shared" si="194"/>
        <v>892.18500000000017</v>
      </c>
      <c r="S228" s="35"/>
      <c r="T228" s="35">
        <f t="shared" si="195"/>
        <v>892.18500000000017</v>
      </c>
      <c r="U228" s="35">
        <v>1</v>
      </c>
      <c r="V228" s="35">
        <f t="shared" si="196"/>
        <v>892.18500000000017</v>
      </c>
      <c r="W228" s="35"/>
      <c r="X228" s="35">
        <f t="shared" si="197"/>
        <v>7806.6187500000015</v>
      </c>
      <c r="Y228" s="35">
        <f t="shared" si="198"/>
        <v>7806.6187500000015</v>
      </c>
      <c r="Z228" s="35">
        <v>1</v>
      </c>
      <c r="AA228" s="35">
        <f t="shared" si="199"/>
        <v>7806.6187500000015</v>
      </c>
      <c r="AB228" s="35">
        <f t="shared" si="200"/>
        <v>8698.8037500000009</v>
      </c>
      <c r="AC228" s="35">
        <f t="shared" si="201"/>
        <v>669.13874999999916</v>
      </c>
      <c r="AD228" s="11">
        <f t="shared" si="202"/>
        <v>2007.9166666666667</v>
      </c>
      <c r="AE228" s="11">
        <f t="shared" si="203"/>
        <v>2017.6666666666667</v>
      </c>
      <c r="AF228" s="11">
        <f t="shared" si="204"/>
        <v>2017.9166666666667</v>
      </c>
      <c r="AG228" s="11">
        <f t="shared" si="205"/>
        <v>2016.6666666666667</v>
      </c>
      <c r="AH228" s="11">
        <f t="shared" si="206"/>
        <v>-8.3333333333333329E-2</v>
      </c>
    </row>
    <row r="229" spans="1:34">
      <c r="B229" s="7"/>
      <c r="C229" s="7">
        <v>165</v>
      </c>
      <c r="D229" s="32" t="s">
        <v>231</v>
      </c>
      <c r="E229" s="15">
        <v>2009</v>
      </c>
      <c r="F229" s="7">
        <v>6</v>
      </c>
      <c r="G229" s="56">
        <v>0</v>
      </c>
      <c r="H229" s="56"/>
      <c r="I229" s="15" t="s">
        <v>103</v>
      </c>
      <c r="J229" s="15">
        <v>10</v>
      </c>
      <c r="K229" s="9">
        <f t="shared" si="191"/>
        <v>2019</v>
      </c>
      <c r="L229" s="57"/>
      <c r="M229" s="7"/>
      <c r="N229" s="34">
        <f>165*50.1-3</f>
        <v>8263.5</v>
      </c>
      <c r="O229" s="44"/>
      <c r="P229" s="35">
        <f t="shared" si="192"/>
        <v>8263.5</v>
      </c>
      <c r="Q229" s="35">
        <f t="shared" si="193"/>
        <v>68.862499999999997</v>
      </c>
      <c r="R229" s="35">
        <f t="shared" si="194"/>
        <v>826.34999999999991</v>
      </c>
      <c r="S229" s="35"/>
      <c r="T229" s="35">
        <f t="shared" si="195"/>
        <v>826.34999999999991</v>
      </c>
      <c r="U229" s="35">
        <v>1</v>
      </c>
      <c r="V229" s="35">
        <f t="shared" si="196"/>
        <v>826.34999999999991</v>
      </c>
      <c r="W229" s="35"/>
      <c r="X229" s="35">
        <f t="shared" si="197"/>
        <v>5991.0374999999995</v>
      </c>
      <c r="Y229" s="35">
        <f t="shared" si="198"/>
        <v>5991.0374999999995</v>
      </c>
      <c r="Z229" s="35">
        <v>1</v>
      </c>
      <c r="AA229" s="35">
        <f t="shared" si="199"/>
        <v>5991.0374999999995</v>
      </c>
      <c r="AB229" s="35">
        <f t="shared" si="200"/>
        <v>6817.3874999999989</v>
      </c>
      <c r="AC229" s="35">
        <f t="shared" si="201"/>
        <v>1859.2875000000008</v>
      </c>
      <c r="AD229" s="11">
        <f t="shared" si="202"/>
        <v>2009.4166666666667</v>
      </c>
      <c r="AE229" s="11">
        <f t="shared" si="203"/>
        <v>2017.6666666666667</v>
      </c>
      <c r="AF229" s="11">
        <f t="shared" si="204"/>
        <v>2019.4166666666667</v>
      </c>
      <c r="AG229" s="11">
        <f t="shared" si="205"/>
        <v>2016.6666666666667</v>
      </c>
      <c r="AH229" s="11">
        <f t="shared" si="206"/>
        <v>-8.3333333333333329E-2</v>
      </c>
    </row>
    <row r="230" spans="1:34">
      <c r="B230" s="7"/>
      <c r="C230" s="7">
        <v>296</v>
      </c>
      <c r="D230" s="32" t="s">
        <v>230</v>
      </c>
      <c r="E230" s="15">
        <v>2011</v>
      </c>
      <c r="F230" s="7">
        <v>11</v>
      </c>
      <c r="G230" s="56">
        <v>0</v>
      </c>
      <c r="H230" s="56"/>
      <c r="I230" s="15" t="s">
        <v>103</v>
      </c>
      <c r="J230" s="15">
        <v>10</v>
      </c>
      <c r="K230" s="9">
        <f t="shared" si="191"/>
        <v>2021</v>
      </c>
      <c r="L230" s="57"/>
      <c r="M230" s="7"/>
      <c r="N230" s="34">
        <f>13493.98+4.62*296-1</f>
        <v>14860.5</v>
      </c>
      <c r="O230" s="44"/>
      <c r="P230" s="35">
        <f t="shared" si="192"/>
        <v>14860.5</v>
      </c>
      <c r="Q230" s="35">
        <f t="shared" si="193"/>
        <v>123.83749999999999</v>
      </c>
      <c r="R230" s="35">
        <f t="shared" si="194"/>
        <v>1486.05</v>
      </c>
      <c r="S230" s="35"/>
      <c r="T230" s="35">
        <f t="shared" si="195"/>
        <v>1486.05</v>
      </c>
      <c r="U230" s="35">
        <v>1</v>
      </c>
      <c r="V230" s="35">
        <f t="shared" si="196"/>
        <v>1486.05</v>
      </c>
      <c r="W230" s="35"/>
      <c r="X230" s="35">
        <f t="shared" si="197"/>
        <v>7182.5750000002245</v>
      </c>
      <c r="Y230" s="35">
        <f t="shared" si="198"/>
        <v>7182.5750000002245</v>
      </c>
      <c r="Z230" s="35">
        <v>1</v>
      </c>
      <c r="AA230" s="35">
        <f t="shared" si="199"/>
        <v>7182.5750000002245</v>
      </c>
      <c r="AB230" s="35">
        <f t="shared" si="200"/>
        <v>8668.6250000002237</v>
      </c>
      <c r="AC230" s="35">
        <f t="shared" si="201"/>
        <v>6934.8999999997759</v>
      </c>
      <c r="AD230" s="11">
        <f t="shared" si="202"/>
        <v>2011.8333333333333</v>
      </c>
      <c r="AE230" s="11">
        <f t="shared" si="203"/>
        <v>2017.6666666666667</v>
      </c>
      <c r="AF230" s="11">
        <f t="shared" si="204"/>
        <v>2021.8333333333333</v>
      </c>
      <c r="AG230" s="11">
        <f t="shared" si="205"/>
        <v>2016.6666666666667</v>
      </c>
      <c r="AH230" s="11">
        <f t="shared" si="206"/>
        <v>-8.3333333333333329E-2</v>
      </c>
    </row>
    <row r="231" spans="1:34">
      <c r="A231" s="7">
        <v>105994</v>
      </c>
      <c r="C231" s="7">
        <v>90</v>
      </c>
      <c r="D231" s="32" t="s">
        <v>232</v>
      </c>
      <c r="E231" s="15">
        <v>2013</v>
      </c>
      <c r="F231" s="7">
        <v>7</v>
      </c>
      <c r="G231" s="56">
        <v>0</v>
      </c>
      <c r="H231" s="56"/>
      <c r="I231" s="15" t="s">
        <v>103</v>
      </c>
      <c r="J231" s="15">
        <v>10</v>
      </c>
      <c r="K231" s="9">
        <f t="shared" si="191"/>
        <v>2023</v>
      </c>
      <c r="L231" s="57"/>
      <c r="M231" s="7"/>
      <c r="N231" s="34">
        <v>5310</v>
      </c>
      <c r="O231" s="44"/>
      <c r="P231" s="35">
        <f t="shared" si="192"/>
        <v>5310</v>
      </c>
      <c r="Q231" s="35">
        <f t="shared" si="193"/>
        <v>44.25</v>
      </c>
      <c r="R231" s="35">
        <f t="shared" si="194"/>
        <v>531</v>
      </c>
      <c r="S231" s="35"/>
      <c r="T231" s="35">
        <f t="shared" si="195"/>
        <v>531</v>
      </c>
      <c r="U231" s="35">
        <v>1</v>
      </c>
      <c r="V231" s="35">
        <f t="shared" si="196"/>
        <v>531</v>
      </c>
      <c r="W231" s="35"/>
      <c r="X231" s="35">
        <f t="shared" si="197"/>
        <v>1681.5000000000402</v>
      </c>
      <c r="Y231" s="35">
        <f t="shared" si="198"/>
        <v>1681.5000000000402</v>
      </c>
      <c r="Z231" s="35">
        <v>1</v>
      </c>
      <c r="AA231" s="35">
        <f t="shared" si="199"/>
        <v>1681.5000000000402</v>
      </c>
      <c r="AB231" s="35">
        <f t="shared" si="200"/>
        <v>2212.50000000004</v>
      </c>
      <c r="AC231" s="35">
        <f t="shared" si="201"/>
        <v>3362.99999999996</v>
      </c>
      <c r="AD231" s="11">
        <f t="shared" si="202"/>
        <v>2013.5</v>
      </c>
      <c r="AE231" s="11">
        <f t="shared" si="203"/>
        <v>2017.6666666666667</v>
      </c>
      <c r="AF231" s="11">
        <f t="shared" si="204"/>
        <v>2023.5</v>
      </c>
      <c r="AG231" s="11">
        <f t="shared" si="205"/>
        <v>2016.6666666666667</v>
      </c>
      <c r="AH231" s="11">
        <f t="shared" si="206"/>
        <v>-8.3333333333333329E-2</v>
      </c>
    </row>
    <row r="232" spans="1:34">
      <c r="A232" s="5">
        <v>115099</v>
      </c>
      <c r="B232" s="7"/>
      <c r="C232" s="7">
        <v>180</v>
      </c>
      <c r="D232" s="32" t="s">
        <v>232</v>
      </c>
      <c r="E232" s="15">
        <v>2014</v>
      </c>
      <c r="F232" s="7">
        <v>7</v>
      </c>
      <c r="G232" s="56">
        <v>0</v>
      </c>
      <c r="H232" s="56"/>
      <c r="I232" s="15" t="s">
        <v>103</v>
      </c>
      <c r="J232" s="15">
        <v>10</v>
      </c>
      <c r="K232" s="9">
        <f t="shared" si="191"/>
        <v>2024</v>
      </c>
      <c r="L232" s="57"/>
      <c r="M232" s="7"/>
      <c r="N232" s="34">
        <v>9383</v>
      </c>
      <c r="O232" s="44"/>
      <c r="P232" s="35">
        <f t="shared" si="192"/>
        <v>9383</v>
      </c>
      <c r="Q232" s="35">
        <f t="shared" si="193"/>
        <v>78.191666666666663</v>
      </c>
      <c r="R232" s="35">
        <f t="shared" si="194"/>
        <v>938.3</v>
      </c>
      <c r="S232" s="35"/>
      <c r="T232" s="35">
        <f t="shared" si="195"/>
        <v>938.3</v>
      </c>
      <c r="U232" s="35">
        <v>1</v>
      </c>
      <c r="V232" s="35">
        <f t="shared" si="196"/>
        <v>938.3</v>
      </c>
      <c r="W232" s="35"/>
      <c r="X232" s="35">
        <f t="shared" si="197"/>
        <v>2032.9833333334043</v>
      </c>
      <c r="Y232" s="35">
        <f t="shared" si="198"/>
        <v>2032.9833333334043</v>
      </c>
      <c r="Z232" s="35">
        <v>1</v>
      </c>
      <c r="AA232" s="35">
        <f t="shared" si="199"/>
        <v>2032.9833333334043</v>
      </c>
      <c r="AB232" s="35">
        <f t="shared" si="200"/>
        <v>2971.2833333334042</v>
      </c>
      <c r="AC232" s="35">
        <f t="shared" si="201"/>
        <v>6880.8666666665958</v>
      </c>
      <c r="AD232" s="11">
        <f t="shared" si="202"/>
        <v>2014.5</v>
      </c>
      <c r="AE232" s="11">
        <f t="shared" si="203"/>
        <v>2017.6666666666667</v>
      </c>
      <c r="AF232" s="11">
        <f t="shared" si="204"/>
        <v>2024.5</v>
      </c>
      <c r="AG232" s="11">
        <f t="shared" si="205"/>
        <v>2016.6666666666667</v>
      </c>
      <c r="AH232" s="11">
        <f t="shared" si="206"/>
        <v>-8.3333333333333329E-2</v>
      </c>
    </row>
    <row r="233" spans="1:34">
      <c r="A233" s="5">
        <v>126734</v>
      </c>
      <c r="B233" s="7"/>
      <c r="C233" s="7">
        <v>100</v>
      </c>
      <c r="D233" s="32" t="s">
        <v>233</v>
      </c>
      <c r="E233" s="15">
        <v>2015</v>
      </c>
      <c r="F233" s="7">
        <v>11</v>
      </c>
      <c r="G233" s="56">
        <v>0</v>
      </c>
      <c r="H233" s="56"/>
      <c r="I233" s="15" t="s">
        <v>103</v>
      </c>
      <c r="J233" s="15">
        <v>10</v>
      </c>
      <c r="K233" s="9">
        <f t="shared" si="191"/>
        <v>2025</v>
      </c>
      <c r="L233" s="57"/>
      <c r="M233" s="7"/>
      <c r="N233" s="34">
        <v>5371.53</v>
      </c>
      <c r="O233" s="44"/>
      <c r="P233" s="35">
        <f t="shared" si="192"/>
        <v>5371.53</v>
      </c>
      <c r="Q233" s="35">
        <f t="shared" si="193"/>
        <v>44.762750000000004</v>
      </c>
      <c r="R233" s="35">
        <f t="shared" si="194"/>
        <v>537.15300000000002</v>
      </c>
      <c r="S233" s="35"/>
      <c r="T233" s="35">
        <f t="shared" si="195"/>
        <v>537.15300000000002</v>
      </c>
      <c r="U233" s="35">
        <v>1</v>
      </c>
      <c r="V233" s="35">
        <f t="shared" si="196"/>
        <v>537.15300000000002</v>
      </c>
      <c r="W233" s="35"/>
      <c r="X233" s="35">
        <f t="shared" si="197"/>
        <v>447.62750000008145</v>
      </c>
      <c r="Y233" s="35">
        <f t="shared" si="198"/>
        <v>447.62750000008145</v>
      </c>
      <c r="Z233" s="35">
        <v>1</v>
      </c>
      <c r="AA233" s="35">
        <f t="shared" si="199"/>
        <v>447.62750000008145</v>
      </c>
      <c r="AB233" s="35">
        <f t="shared" si="200"/>
        <v>984.78050000008147</v>
      </c>
      <c r="AC233" s="35">
        <f t="shared" si="201"/>
        <v>4655.3259999999182</v>
      </c>
      <c r="AD233" s="11">
        <f t="shared" si="202"/>
        <v>2015.8333333333333</v>
      </c>
      <c r="AE233" s="11">
        <f t="shared" si="203"/>
        <v>2017.6666666666667</v>
      </c>
      <c r="AF233" s="11">
        <f t="shared" si="204"/>
        <v>2025.8333333333333</v>
      </c>
      <c r="AG233" s="11">
        <f t="shared" si="205"/>
        <v>2016.6666666666667</v>
      </c>
      <c r="AH233" s="11">
        <f t="shared" si="206"/>
        <v>-8.3333333333333329E-2</v>
      </c>
    </row>
    <row r="234" spans="1:34">
      <c r="A234" s="5">
        <v>168948</v>
      </c>
      <c r="B234" s="7"/>
      <c r="C234" s="7">
        <v>100</v>
      </c>
      <c r="D234" s="32" t="s">
        <v>297</v>
      </c>
      <c r="E234" s="15">
        <v>2016</v>
      </c>
      <c r="F234" s="7">
        <v>10</v>
      </c>
      <c r="G234" s="56">
        <v>0</v>
      </c>
      <c r="H234" s="56"/>
      <c r="I234" s="15" t="s">
        <v>103</v>
      </c>
      <c r="J234" s="15">
        <v>7</v>
      </c>
      <c r="K234" s="9">
        <f t="shared" ref="K234" si="207">E234+J234</f>
        <v>2023</v>
      </c>
      <c r="L234" s="57"/>
      <c r="M234" s="7"/>
      <c r="N234" s="34">
        <v>5818</v>
      </c>
      <c r="O234" s="44"/>
      <c r="P234" s="35">
        <f t="shared" ref="P234" si="208">N234-N234*G234</f>
        <v>5818</v>
      </c>
      <c r="Q234" s="35">
        <f t="shared" ref="Q234" si="209">P234/J234/12</f>
        <v>69.261904761904759</v>
      </c>
      <c r="R234" s="35">
        <f t="shared" ref="R234" si="210">IF(O234&gt;0,0,IF(OR(AD234&gt;AE234,AF234&lt;AG234),0,IF(AND(AF234&gt;=AG234,AF234&lt;=AE234),Q234*((AF234-AG234)*12),IF(AND(AG234&lt;=AD234,AE234&gt;=AD234),((AE234-AD234)*12)*Q234,IF(AF234&gt;AE234,12*Q234,0)))))</f>
        <v>761.88095238101539</v>
      </c>
      <c r="S234" s="35"/>
      <c r="T234" s="35">
        <f t="shared" ref="T234" si="211">IF(S234&gt;0,S234,R234)</f>
        <v>761.88095238101539</v>
      </c>
      <c r="U234" s="35">
        <v>1</v>
      </c>
      <c r="V234" s="35">
        <f t="shared" ref="V234" si="212">U234*SUM(R234:S234)</f>
        <v>761.88095238101539</v>
      </c>
      <c r="W234" s="35"/>
      <c r="X234" s="35">
        <f t="shared" ref="X234" si="213">IF(AD234&gt;AE234,0,IF(AF234&lt;AG234,P234,IF(AND(AF234&gt;=AG234,AF234&lt;=AE234),(P234-T234),IF(AND(AG234&lt;=AD234,AE234&gt;=AD234),0,IF(AF234&gt;AE234,((AG234-AD234)*12)*Q234,0)))))</f>
        <v>0</v>
      </c>
      <c r="Y234" s="35">
        <f t="shared" ref="Y234" si="214">X234*U234</f>
        <v>0</v>
      </c>
      <c r="Z234" s="35">
        <v>1</v>
      </c>
      <c r="AA234" s="35">
        <f t="shared" ref="AA234" si="215">Y234*Z234</f>
        <v>0</v>
      </c>
      <c r="AB234" s="35">
        <f t="shared" ref="AB234" si="216">IF(O234&gt;0,0,AA234+V234*Z234)*Z234</f>
        <v>761.88095238101539</v>
      </c>
      <c r="AC234" s="35">
        <f t="shared" ref="AC234" si="217">IF(O234&gt;0,(N234-AA234)/2,IF(AD234&gt;=AG234,(((N234*U234)*Z234)-AB234)/2,((((N234*U234)*Z234)-AA234)+(((N234*U234)*Z234)-AB234))/2))</f>
        <v>2528.0595238094925</v>
      </c>
      <c r="AD234" s="11">
        <f t="shared" si="202"/>
        <v>2016.75</v>
      </c>
      <c r="AE234" s="11">
        <f t="shared" si="203"/>
        <v>2017.6666666666667</v>
      </c>
      <c r="AF234" s="11">
        <f t="shared" si="204"/>
        <v>2023.75</v>
      </c>
      <c r="AG234" s="11">
        <f t="shared" si="205"/>
        <v>2016.6666666666667</v>
      </c>
      <c r="AH234" s="11">
        <f t="shared" si="206"/>
        <v>-8.3333333333333329E-2</v>
      </c>
    </row>
    <row r="235" spans="1:34" s="7" customFormat="1">
      <c r="D235" s="32"/>
      <c r="E235" s="15"/>
      <c r="G235" s="33"/>
      <c r="H235" s="15"/>
      <c r="I235" s="15"/>
      <c r="J235" s="15"/>
      <c r="K235" s="19"/>
      <c r="N235" s="34"/>
      <c r="O235" s="34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11"/>
      <c r="AE235" s="11"/>
      <c r="AF235" s="11"/>
      <c r="AG235" s="11"/>
      <c r="AH235" s="11"/>
    </row>
    <row r="236" spans="1:34" s="7" customFormat="1">
      <c r="D236" s="47" t="s">
        <v>234</v>
      </c>
      <c r="E236" s="48"/>
      <c r="F236" s="49"/>
      <c r="G236" s="50"/>
      <c r="H236" s="48"/>
      <c r="I236" s="48"/>
      <c r="J236" s="48"/>
      <c r="K236" s="51"/>
      <c r="L236" s="49"/>
      <c r="M236" s="49"/>
      <c r="N236" s="41">
        <f>SUM(N227:N235)</f>
        <v>75075</v>
      </c>
      <c r="O236" s="41"/>
      <c r="P236" s="41">
        <f>SUM(P227:P235)</f>
        <v>75075</v>
      </c>
      <c r="Q236" s="41">
        <f>SUM(Q227:Q235)</f>
        <v>646.40357142857147</v>
      </c>
      <c r="R236" s="41">
        <f>SUM(R227:R235)</f>
        <v>5972.9189523810155</v>
      </c>
      <c r="S236" s="41"/>
      <c r="T236" s="41">
        <f>SUM(T227:T235)</f>
        <v>5972.9189523810155</v>
      </c>
      <c r="U236" s="41"/>
      <c r="V236" s="41">
        <f>SUM(V227:V235)</f>
        <v>5972.9189523810155</v>
      </c>
      <c r="W236" s="41"/>
      <c r="X236" s="41">
        <f t="shared" ref="X236:AC236" si="218">SUM(X227:X235)</f>
        <v>42288.962083333754</v>
      </c>
      <c r="Y236" s="41">
        <f t="shared" si="218"/>
        <v>42288.962083333754</v>
      </c>
      <c r="Z236" s="41">
        <f t="shared" si="218"/>
        <v>8</v>
      </c>
      <c r="AA236" s="41">
        <f t="shared" si="218"/>
        <v>42288.962083333754</v>
      </c>
      <c r="AB236" s="41">
        <f t="shared" si="218"/>
        <v>48261.881035714759</v>
      </c>
      <c r="AC236" s="41">
        <f t="shared" si="218"/>
        <v>26890.578440475743</v>
      </c>
      <c r="AD236" s="11"/>
      <c r="AE236" s="11"/>
      <c r="AF236" s="11"/>
      <c r="AG236" s="11"/>
      <c r="AH236" s="11"/>
    </row>
    <row r="237" spans="1:34">
      <c r="B237" s="7"/>
      <c r="D237" s="7"/>
      <c r="E237" s="7"/>
      <c r="F237" s="7"/>
      <c r="G237" s="15"/>
      <c r="H237" s="7"/>
      <c r="I237" s="7"/>
      <c r="J237" s="7"/>
      <c r="K237" s="9"/>
      <c r="L237" s="7"/>
      <c r="M237" s="7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7"/>
      <c r="AE237" s="7"/>
      <c r="AF237" s="7"/>
      <c r="AG237" s="7"/>
      <c r="AH237" s="7"/>
    </row>
    <row r="238" spans="1:34">
      <c r="B238" s="7"/>
      <c r="G238" s="7"/>
      <c r="H238" s="7"/>
      <c r="I238" s="56"/>
      <c r="J238" s="15"/>
      <c r="K238" s="71"/>
      <c r="L238" s="72"/>
      <c r="M238" s="7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7"/>
      <c r="AE238" s="7"/>
      <c r="AF238" s="7"/>
      <c r="AG238" s="7"/>
      <c r="AH238" s="7"/>
    </row>
    <row r="239" spans="1:34">
      <c r="B239" s="7"/>
      <c r="D239" s="37" t="s">
        <v>129</v>
      </c>
      <c r="E239" s="15"/>
      <c r="F239" s="7"/>
      <c r="G239" s="7"/>
      <c r="H239" s="7"/>
      <c r="I239" s="7"/>
      <c r="J239" s="15"/>
      <c r="K239" s="9"/>
      <c r="L239" s="57"/>
      <c r="M239" s="7"/>
      <c r="N239" s="3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7"/>
      <c r="AE239" s="7"/>
      <c r="AF239" s="7"/>
      <c r="AG239" s="7"/>
      <c r="AH239" s="7"/>
    </row>
    <row r="240" spans="1:34">
      <c r="B240" s="7"/>
      <c r="C240" s="7">
        <v>1</v>
      </c>
      <c r="D240" s="32" t="s">
        <v>235</v>
      </c>
      <c r="E240" s="15">
        <v>1996</v>
      </c>
      <c r="F240" s="7">
        <v>7</v>
      </c>
      <c r="G240" s="56">
        <v>0</v>
      </c>
      <c r="H240" s="56"/>
      <c r="I240" s="15" t="s">
        <v>103</v>
      </c>
      <c r="J240" s="15">
        <v>10</v>
      </c>
      <c r="K240" s="9">
        <f t="shared" ref="K240:K253" si="219">E240+J240</f>
        <v>2006</v>
      </c>
      <c r="L240" s="72"/>
      <c r="M240" s="7"/>
      <c r="N240" s="44">
        <v>6298</v>
      </c>
      <c r="O240" s="44"/>
      <c r="P240" s="35">
        <f t="shared" ref="P240:P253" si="220">N240-N240*G240</f>
        <v>6298</v>
      </c>
      <c r="Q240" s="35">
        <f t="shared" ref="Q240:Q253" si="221">P240/J240/12</f>
        <v>52.483333333333327</v>
      </c>
      <c r="R240" s="35">
        <f t="shared" ref="R240:R253" si="222">IF(O240&gt;0,0,IF(OR(AD240&gt;AE240,AF240&lt;AG240),0,IF(AND(AF240&gt;=AG240,AF240&lt;=AE240),Q240*((AF240-AG240)*12),IF(AND(AG240&lt;=AD240,AE240&gt;=AD240),((AE240-AD240)*12)*Q240,IF(AF240&gt;AE240,12*Q240,0)))))</f>
        <v>0</v>
      </c>
      <c r="S240" s="35"/>
      <c r="T240" s="35">
        <f t="shared" ref="T240:T253" si="223">IF(S240&gt;0,S240,R240)</f>
        <v>0</v>
      </c>
      <c r="U240" s="35">
        <v>1</v>
      </c>
      <c r="V240" s="35">
        <f t="shared" ref="V240:V253" si="224">U240*SUM(R240:S240)</f>
        <v>0</v>
      </c>
      <c r="W240" s="35"/>
      <c r="X240" s="35">
        <f t="shared" ref="X240:X253" si="225">IF(AD240&gt;AE240,0,IF(AF240&lt;AG240,P240,IF(AND(AF240&gt;=AG240,AF240&lt;=AE240),(P240-T240),IF(AND(AG240&lt;=AD240,AE240&gt;=AD240),0,IF(AF240&gt;AE240,((AG240-AD240)*12)*Q240,0)))))</f>
        <v>6298</v>
      </c>
      <c r="Y240" s="35">
        <f t="shared" ref="Y240:Y253" si="226">X240*U240</f>
        <v>6298</v>
      </c>
      <c r="Z240" s="35">
        <v>1</v>
      </c>
      <c r="AA240" s="35">
        <f t="shared" ref="AA240:AA253" si="227">Y240*Z240</f>
        <v>6298</v>
      </c>
      <c r="AB240" s="35">
        <f t="shared" ref="AB240:AB253" si="228">IF(O240&gt;0,0,AA240+V240*Z240)*Z240</f>
        <v>6298</v>
      </c>
      <c r="AC240" s="35">
        <f t="shared" ref="AC240:AC253" si="229">IF(O240&gt;0,(N240-AA240)/2,IF(AD240&gt;=AG240,(((N240*U240)*Z240)-AB240)/2,((((N240*U240)*Z240)-AA240)+(((N240*U240)*Z240)-AB240))/2))</f>
        <v>0</v>
      </c>
      <c r="AD240" s="11">
        <f t="shared" ref="AD240:AD256" si="230">$E240+(($F240-1)/12)</f>
        <v>1996.5</v>
      </c>
      <c r="AE240" s="11">
        <f t="shared" ref="AE240:AE256" si="231">($P$5+1)-($P$2/12)</f>
        <v>2017.6666666666667</v>
      </c>
      <c r="AF240" s="11">
        <f t="shared" ref="AF240:AF256" si="232">$K240+(($F240-1)/12)</f>
        <v>2006.5</v>
      </c>
      <c r="AG240" s="11">
        <f t="shared" ref="AG240:AG256" si="233">$P$4+($P$3/12)</f>
        <v>2016.6666666666667</v>
      </c>
      <c r="AH240" s="11">
        <f t="shared" ref="AH240:AH256" si="234">$L240+(($M240-1)/12)</f>
        <v>-8.3333333333333329E-2</v>
      </c>
    </row>
    <row r="241" spans="1:34">
      <c r="B241" s="7"/>
      <c r="C241" s="7">
        <v>1</v>
      </c>
      <c r="D241" s="32" t="str">
        <f>+D240</f>
        <v>1-25 Yd Rolloff</v>
      </c>
      <c r="E241" s="15">
        <v>1999</v>
      </c>
      <c r="F241" s="7">
        <v>3</v>
      </c>
      <c r="G241" s="56">
        <v>0</v>
      </c>
      <c r="H241" s="56"/>
      <c r="I241" s="15" t="s">
        <v>103</v>
      </c>
      <c r="J241" s="15">
        <v>10</v>
      </c>
      <c r="K241" s="9">
        <f t="shared" si="219"/>
        <v>2009</v>
      </c>
      <c r="L241" s="72"/>
      <c r="M241" s="7"/>
      <c r="N241" s="44">
        <v>5823.93</v>
      </c>
      <c r="O241" s="44"/>
      <c r="P241" s="35">
        <f t="shared" si="220"/>
        <v>5823.93</v>
      </c>
      <c r="Q241" s="35">
        <f t="shared" si="221"/>
        <v>48.53275</v>
      </c>
      <c r="R241" s="35">
        <f t="shared" si="222"/>
        <v>0</v>
      </c>
      <c r="S241" s="35"/>
      <c r="T241" s="35">
        <f t="shared" si="223"/>
        <v>0</v>
      </c>
      <c r="U241" s="35">
        <v>1</v>
      </c>
      <c r="V241" s="35">
        <f t="shared" si="224"/>
        <v>0</v>
      </c>
      <c r="W241" s="35"/>
      <c r="X241" s="35">
        <f t="shared" si="225"/>
        <v>5823.93</v>
      </c>
      <c r="Y241" s="35">
        <f t="shared" si="226"/>
        <v>5823.93</v>
      </c>
      <c r="Z241" s="35">
        <v>1</v>
      </c>
      <c r="AA241" s="35">
        <f t="shared" si="227"/>
        <v>5823.93</v>
      </c>
      <c r="AB241" s="35">
        <f t="shared" si="228"/>
        <v>5823.93</v>
      </c>
      <c r="AC241" s="35">
        <f t="shared" si="229"/>
        <v>0</v>
      </c>
      <c r="AD241" s="11">
        <f t="shared" si="230"/>
        <v>1999.1666666666667</v>
      </c>
      <c r="AE241" s="11">
        <f t="shared" si="231"/>
        <v>2017.6666666666667</v>
      </c>
      <c r="AF241" s="11">
        <f t="shared" si="232"/>
        <v>2009.1666666666667</v>
      </c>
      <c r="AG241" s="11">
        <f t="shared" si="233"/>
        <v>2016.6666666666667</v>
      </c>
      <c r="AH241" s="11">
        <f t="shared" si="234"/>
        <v>-8.3333333333333329E-2</v>
      </c>
    </row>
    <row r="242" spans="1:34">
      <c r="B242" s="7"/>
      <c r="C242" s="7">
        <v>1</v>
      </c>
      <c r="D242" s="32" t="str">
        <f>+D241</f>
        <v>1-25 Yd Rolloff</v>
      </c>
      <c r="E242" s="15">
        <v>1999</v>
      </c>
      <c r="F242" s="7">
        <v>4</v>
      </c>
      <c r="G242" s="56">
        <v>0</v>
      </c>
      <c r="H242" s="56"/>
      <c r="I242" s="15" t="s">
        <v>103</v>
      </c>
      <c r="J242" s="15">
        <v>10</v>
      </c>
      <c r="K242" s="9">
        <f t="shared" si="219"/>
        <v>2009</v>
      </c>
      <c r="L242" s="72"/>
      <c r="M242" s="7"/>
      <c r="N242" s="44">
        <v>5323.93</v>
      </c>
      <c r="O242" s="44"/>
      <c r="P242" s="35">
        <f t="shared" si="220"/>
        <v>5323.93</v>
      </c>
      <c r="Q242" s="35">
        <f t="shared" si="221"/>
        <v>44.366083333333336</v>
      </c>
      <c r="R242" s="35">
        <f t="shared" si="222"/>
        <v>0</v>
      </c>
      <c r="S242" s="35"/>
      <c r="T242" s="35">
        <f t="shared" si="223"/>
        <v>0</v>
      </c>
      <c r="U242" s="35">
        <v>1</v>
      </c>
      <c r="V242" s="35">
        <f t="shared" si="224"/>
        <v>0</v>
      </c>
      <c r="W242" s="35"/>
      <c r="X242" s="35">
        <f t="shared" si="225"/>
        <v>5323.93</v>
      </c>
      <c r="Y242" s="35">
        <f t="shared" si="226"/>
        <v>5323.93</v>
      </c>
      <c r="Z242" s="35">
        <v>1</v>
      </c>
      <c r="AA242" s="35">
        <f t="shared" si="227"/>
        <v>5323.93</v>
      </c>
      <c r="AB242" s="35">
        <f t="shared" si="228"/>
        <v>5323.93</v>
      </c>
      <c r="AC242" s="35">
        <f t="shared" si="229"/>
        <v>0</v>
      </c>
      <c r="AD242" s="11">
        <f t="shared" si="230"/>
        <v>1999.25</v>
      </c>
      <c r="AE242" s="11">
        <f t="shared" si="231"/>
        <v>2017.6666666666667</v>
      </c>
      <c r="AF242" s="11">
        <f t="shared" si="232"/>
        <v>2009.25</v>
      </c>
      <c r="AG242" s="11">
        <f t="shared" si="233"/>
        <v>2016.6666666666667</v>
      </c>
      <c r="AH242" s="11">
        <f t="shared" si="234"/>
        <v>-8.3333333333333329E-2</v>
      </c>
    </row>
    <row r="243" spans="1:34">
      <c r="B243" s="7"/>
      <c r="C243" s="7">
        <v>1</v>
      </c>
      <c r="D243" s="32" t="s">
        <v>236</v>
      </c>
      <c r="E243" s="15">
        <v>1999</v>
      </c>
      <c r="F243" s="7">
        <v>11</v>
      </c>
      <c r="G243" s="56">
        <v>0</v>
      </c>
      <c r="H243" s="56"/>
      <c r="I243" s="15" t="s">
        <v>103</v>
      </c>
      <c r="J243" s="15">
        <v>10</v>
      </c>
      <c r="K243" s="9">
        <f t="shared" si="219"/>
        <v>2009</v>
      </c>
      <c r="L243" s="72"/>
      <c r="M243" s="7"/>
      <c r="N243" s="44">
        <v>6957</v>
      </c>
      <c r="O243" s="44"/>
      <c r="P243" s="35">
        <f t="shared" si="220"/>
        <v>6957</v>
      </c>
      <c r="Q243" s="35">
        <f t="shared" si="221"/>
        <v>57.975000000000001</v>
      </c>
      <c r="R243" s="35">
        <f t="shared" si="222"/>
        <v>0</v>
      </c>
      <c r="S243" s="35"/>
      <c r="T243" s="35">
        <f t="shared" si="223"/>
        <v>0</v>
      </c>
      <c r="U243" s="35">
        <v>1</v>
      </c>
      <c r="V243" s="35">
        <f t="shared" si="224"/>
        <v>0</v>
      </c>
      <c r="W243" s="35"/>
      <c r="X243" s="35">
        <f t="shared" si="225"/>
        <v>6957</v>
      </c>
      <c r="Y243" s="35">
        <f t="shared" si="226"/>
        <v>6957</v>
      </c>
      <c r="Z243" s="35">
        <v>1</v>
      </c>
      <c r="AA243" s="35">
        <f t="shared" si="227"/>
        <v>6957</v>
      </c>
      <c r="AB243" s="35">
        <f t="shared" si="228"/>
        <v>6957</v>
      </c>
      <c r="AC243" s="35">
        <f t="shared" si="229"/>
        <v>0</v>
      </c>
      <c r="AD243" s="11">
        <f t="shared" si="230"/>
        <v>1999.8333333333333</v>
      </c>
      <c r="AE243" s="11">
        <f t="shared" si="231"/>
        <v>2017.6666666666667</v>
      </c>
      <c r="AF243" s="11">
        <f t="shared" si="232"/>
        <v>2009.8333333333333</v>
      </c>
      <c r="AG243" s="11">
        <f t="shared" si="233"/>
        <v>2016.6666666666667</v>
      </c>
      <c r="AH243" s="11">
        <f t="shared" si="234"/>
        <v>-8.3333333333333329E-2</v>
      </c>
    </row>
    <row r="244" spans="1:34">
      <c r="B244" s="7"/>
      <c r="C244" s="7">
        <v>1</v>
      </c>
      <c r="D244" s="32" t="str">
        <f>+D241</f>
        <v>1-25 Yd Rolloff</v>
      </c>
      <c r="E244" s="15">
        <v>2000</v>
      </c>
      <c r="F244" s="7">
        <v>4</v>
      </c>
      <c r="G244" s="56">
        <v>0</v>
      </c>
      <c r="H244" s="56"/>
      <c r="I244" s="15" t="s">
        <v>103</v>
      </c>
      <c r="J244" s="15">
        <v>10</v>
      </c>
      <c r="K244" s="9">
        <f t="shared" si="219"/>
        <v>2010</v>
      </c>
      <c r="L244" s="72"/>
      <c r="M244" s="7"/>
      <c r="N244" s="44">
        <v>5642.82</v>
      </c>
      <c r="O244" s="44"/>
      <c r="P244" s="35">
        <f t="shared" si="220"/>
        <v>5642.82</v>
      </c>
      <c r="Q244" s="35">
        <f t="shared" si="221"/>
        <v>47.023499999999991</v>
      </c>
      <c r="R244" s="35">
        <f t="shared" si="222"/>
        <v>0</v>
      </c>
      <c r="S244" s="35"/>
      <c r="T244" s="35">
        <f t="shared" si="223"/>
        <v>0</v>
      </c>
      <c r="U244" s="35">
        <v>1</v>
      </c>
      <c r="V244" s="35">
        <f t="shared" si="224"/>
        <v>0</v>
      </c>
      <c r="W244" s="35"/>
      <c r="X244" s="35">
        <f t="shared" si="225"/>
        <v>5642.82</v>
      </c>
      <c r="Y244" s="35">
        <f t="shared" si="226"/>
        <v>5642.82</v>
      </c>
      <c r="Z244" s="35">
        <v>1</v>
      </c>
      <c r="AA244" s="35">
        <f t="shared" si="227"/>
        <v>5642.82</v>
      </c>
      <c r="AB244" s="35">
        <f t="shared" si="228"/>
        <v>5642.82</v>
      </c>
      <c r="AC244" s="35">
        <f t="shared" si="229"/>
        <v>0</v>
      </c>
      <c r="AD244" s="11">
        <f t="shared" si="230"/>
        <v>2000.25</v>
      </c>
      <c r="AE244" s="11">
        <f t="shared" si="231"/>
        <v>2017.6666666666667</v>
      </c>
      <c r="AF244" s="11">
        <f t="shared" si="232"/>
        <v>2010.25</v>
      </c>
      <c r="AG244" s="11">
        <f t="shared" si="233"/>
        <v>2016.6666666666667</v>
      </c>
      <c r="AH244" s="11">
        <f t="shared" si="234"/>
        <v>-8.3333333333333329E-2</v>
      </c>
    </row>
    <row r="245" spans="1:34">
      <c r="B245" s="7"/>
      <c r="C245" s="7">
        <v>1</v>
      </c>
      <c r="D245" s="32" t="s">
        <v>237</v>
      </c>
      <c r="E245" s="15">
        <v>2003</v>
      </c>
      <c r="F245" s="7">
        <v>1</v>
      </c>
      <c r="G245" s="56">
        <v>0</v>
      </c>
      <c r="H245" s="56"/>
      <c r="I245" s="15" t="s">
        <v>103</v>
      </c>
      <c r="J245" s="15">
        <v>10</v>
      </c>
      <c r="K245" s="9">
        <f t="shared" si="219"/>
        <v>2013</v>
      </c>
      <c r="L245" s="72"/>
      <c r="M245" s="7"/>
      <c r="N245" s="44">
        <v>5200</v>
      </c>
      <c r="O245" s="44"/>
      <c r="P245" s="35">
        <f t="shared" si="220"/>
        <v>5200</v>
      </c>
      <c r="Q245" s="35">
        <f t="shared" si="221"/>
        <v>43.333333333333336</v>
      </c>
      <c r="R245" s="35">
        <f t="shared" si="222"/>
        <v>0</v>
      </c>
      <c r="S245" s="35"/>
      <c r="T245" s="35">
        <f t="shared" si="223"/>
        <v>0</v>
      </c>
      <c r="U245" s="35">
        <v>1</v>
      </c>
      <c r="V245" s="35">
        <f t="shared" si="224"/>
        <v>0</v>
      </c>
      <c r="W245" s="35"/>
      <c r="X245" s="35">
        <f t="shared" si="225"/>
        <v>5200</v>
      </c>
      <c r="Y245" s="35">
        <f t="shared" si="226"/>
        <v>5200</v>
      </c>
      <c r="Z245" s="35">
        <v>1</v>
      </c>
      <c r="AA245" s="35">
        <f t="shared" si="227"/>
        <v>5200</v>
      </c>
      <c r="AB245" s="35">
        <f t="shared" si="228"/>
        <v>5200</v>
      </c>
      <c r="AC245" s="35">
        <f t="shared" si="229"/>
        <v>0</v>
      </c>
      <c r="AD245" s="11">
        <f t="shared" si="230"/>
        <v>2003</v>
      </c>
      <c r="AE245" s="11">
        <f t="shared" si="231"/>
        <v>2017.6666666666667</v>
      </c>
      <c r="AF245" s="11">
        <f t="shared" si="232"/>
        <v>2013</v>
      </c>
      <c r="AG245" s="11">
        <f t="shared" si="233"/>
        <v>2016.6666666666667</v>
      </c>
      <c r="AH245" s="11">
        <f t="shared" si="234"/>
        <v>-8.3333333333333329E-2</v>
      </c>
    </row>
    <row r="246" spans="1:34">
      <c r="B246" s="7"/>
      <c r="C246" s="7">
        <v>3</v>
      </c>
      <c r="D246" s="32" t="s">
        <v>238</v>
      </c>
      <c r="E246" s="15">
        <v>2003</v>
      </c>
      <c r="F246" s="7">
        <v>1</v>
      </c>
      <c r="G246" s="56">
        <v>0</v>
      </c>
      <c r="H246" s="56"/>
      <c r="I246" s="15" t="s">
        <v>103</v>
      </c>
      <c r="J246" s="15">
        <v>10</v>
      </c>
      <c r="K246" s="9">
        <f t="shared" si="219"/>
        <v>2013</v>
      </c>
      <c r="L246" s="72"/>
      <c r="M246" s="7"/>
      <c r="N246" s="44">
        <f>5400+5400+5400</f>
        <v>16200</v>
      </c>
      <c r="O246" s="44"/>
      <c r="P246" s="35">
        <f t="shared" si="220"/>
        <v>16200</v>
      </c>
      <c r="Q246" s="35">
        <f t="shared" si="221"/>
        <v>135</v>
      </c>
      <c r="R246" s="35">
        <f t="shared" si="222"/>
        <v>0</v>
      </c>
      <c r="S246" s="35"/>
      <c r="T246" s="35">
        <f t="shared" si="223"/>
        <v>0</v>
      </c>
      <c r="U246" s="35">
        <v>1</v>
      </c>
      <c r="V246" s="35">
        <f t="shared" si="224"/>
        <v>0</v>
      </c>
      <c r="W246" s="35"/>
      <c r="X246" s="35">
        <f t="shared" si="225"/>
        <v>16200</v>
      </c>
      <c r="Y246" s="35">
        <f t="shared" si="226"/>
        <v>16200</v>
      </c>
      <c r="Z246" s="35">
        <v>1</v>
      </c>
      <c r="AA246" s="35">
        <f t="shared" si="227"/>
        <v>16200</v>
      </c>
      <c r="AB246" s="35">
        <f t="shared" si="228"/>
        <v>16200</v>
      </c>
      <c r="AC246" s="35">
        <f t="shared" si="229"/>
        <v>0</v>
      </c>
      <c r="AD246" s="11">
        <f t="shared" si="230"/>
        <v>2003</v>
      </c>
      <c r="AE246" s="11">
        <f t="shared" si="231"/>
        <v>2017.6666666666667</v>
      </c>
      <c r="AF246" s="11">
        <f t="shared" si="232"/>
        <v>2013</v>
      </c>
      <c r="AG246" s="11">
        <f t="shared" si="233"/>
        <v>2016.6666666666667</v>
      </c>
      <c r="AH246" s="11">
        <f t="shared" si="234"/>
        <v>-8.3333333333333329E-2</v>
      </c>
    </row>
    <row r="247" spans="1:34">
      <c r="B247" s="7"/>
      <c r="C247" s="7">
        <v>1</v>
      </c>
      <c r="D247" s="32" t="s">
        <v>239</v>
      </c>
      <c r="E247" s="15">
        <v>2003</v>
      </c>
      <c r="F247" s="7">
        <v>7</v>
      </c>
      <c r="G247" s="56">
        <v>0</v>
      </c>
      <c r="H247" s="56"/>
      <c r="I247" s="15" t="s">
        <v>103</v>
      </c>
      <c r="J247" s="15">
        <v>10</v>
      </c>
      <c r="K247" s="9">
        <f t="shared" si="219"/>
        <v>2013</v>
      </c>
      <c r="L247" s="72"/>
      <c r="M247" s="7"/>
      <c r="N247" s="44">
        <v>1096.42</v>
      </c>
      <c r="O247" s="44"/>
      <c r="P247" s="35">
        <f t="shared" si="220"/>
        <v>1096.42</v>
      </c>
      <c r="Q247" s="35">
        <f t="shared" si="221"/>
        <v>9.1368333333333336</v>
      </c>
      <c r="R247" s="35">
        <f t="shared" si="222"/>
        <v>0</v>
      </c>
      <c r="S247" s="35"/>
      <c r="T247" s="35">
        <f t="shared" si="223"/>
        <v>0</v>
      </c>
      <c r="U247" s="35">
        <v>1</v>
      </c>
      <c r="V247" s="35">
        <f t="shared" si="224"/>
        <v>0</v>
      </c>
      <c r="W247" s="35"/>
      <c r="X247" s="35">
        <f t="shared" si="225"/>
        <v>1096.42</v>
      </c>
      <c r="Y247" s="35">
        <f t="shared" si="226"/>
        <v>1096.42</v>
      </c>
      <c r="Z247" s="35">
        <v>1</v>
      </c>
      <c r="AA247" s="35">
        <f t="shared" si="227"/>
        <v>1096.42</v>
      </c>
      <c r="AB247" s="35">
        <f t="shared" si="228"/>
        <v>1096.42</v>
      </c>
      <c r="AC247" s="35">
        <f t="shared" si="229"/>
        <v>0</v>
      </c>
      <c r="AD247" s="11">
        <f t="shared" si="230"/>
        <v>2003.5</v>
      </c>
      <c r="AE247" s="11">
        <f t="shared" si="231"/>
        <v>2017.6666666666667</v>
      </c>
      <c r="AF247" s="11">
        <f t="shared" si="232"/>
        <v>2013.5</v>
      </c>
      <c r="AG247" s="11">
        <f t="shared" si="233"/>
        <v>2016.6666666666667</v>
      </c>
      <c r="AH247" s="11">
        <f t="shared" si="234"/>
        <v>-8.3333333333333329E-2</v>
      </c>
    </row>
    <row r="248" spans="1:34" s="7" customFormat="1" ht="12" customHeight="1">
      <c r="C248" s="7">
        <v>1</v>
      </c>
      <c r="D248" s="32" t="s">
        <v>240</v>
      </c>
      <c r="E248" s="15">
        <v>2004</v>
      </c>
      <c r="F248" s="7">
        <v>7</v>
      </c>
      <c r="G248" s="56">
        <v>0</v>
      </c>
      <c r="H248" s="56"/>
      <c r="I248" s="15" t="s">
        <v>103</v>
      </c>
      <c r="J248" s="15">
        <v>10</v>
      </c>
      <c r="K248" s="9">
        <f t="shared" si="219"/>
        <v>2014</v>
      </c>
      <c r="L248" s="72"/>
      <c r="N248" s="44">
        <v>6750</v>
      </c>
      <c r="O248" s="44"/>
      <c r="P248" s="35">
        <f t="shared" si="220"/>
        <v>6750</v>
      </c>
      <c r="Q248" s="35">
        <f t="shared" si="221"/>
        <v>56.25</v>
      </c>
      <c r="R248" s="35">
        <f t="shared" si="222"/>
        <v>0</v>
      </c>
      <c r="S248" s="35"/>
      <c r="T248" s="35">
        <f t="shared" si="223"/>
        <v>0</v>
      </c>
      <c r="U248" s="35">
        <v>1</v>
      </c>
      <c r="V248" s="35">
        <f t="shared" si="224"/>
        <v>0</v>
      </c>
      <c r="W248" s="35"/>
      <c r="X248" s="35">
        <f t="shared" si="225"/>
        <v>6750</v>
      </c>
      <c r="Y248" s="35">
        <f t="shared" si="226"/>
        <v>6750</v>
      </c>
      <c r="Z248" s="35">
        <v>1</v>
      </c>
      <c r="AA248" s="35">
        <f t="shared" si="227"/>
        <v>6750</v>
      </c>
      <c r="AB248" s="35">
        <f t="shared" si="228"/>
        <v>6750</v>
      </c>
      <c r="AC248" s="35">
        <f t="shared" si="229"/>
        <v>0</v>
      </c>
      <c r="AD248" s="11">
        <f t="shared" si="230"/>
        <v>2004.5</v>
      </c>
      <c r="AE248" s="11">
        <f t="shared" si="231"/>
        <v>2017.6666666666667</v>
      </c>
      <c r="AF248" s="11">
        <f t="shared" si="232"/>
        <v>2014.5</v>
      </c>
      <c r="AG248" s="11">
        <f t="shared" si="233"/>
        <v>2016.6666666666667</v>
      </c>
      <c r="AH248" s="11">
        <f t="shared" si="234"/>
        <v>-8.3333333333333329E-2</v>
      </c>
    </row>
    <row r="249" spans="1:34" s="7" customFormat="1">
      <c r="C249" s="7">
        <v>1</v>
      </c>
      <c r="D249" s="32" t="s">
        <v>241</v>
      </c>
      <c r="E249" s="15">
        <v>2004</v>
      </c>
      <c r="F249" s="7">
        <v>8</v>
      </c>
      <c r="G249" s="56">
        <v>0</v>
      </c>
      <c r="H249" s="56"/>
      <c r="I249" s="15" t="s">
        <v>103</v>
      </c>
      <c r="J249" s="15">
        <v>10</v>
      </c>
      <c r="K249" s="9">
        <f t="shared" si="219"/>
        <v>2014</v>
      </c>
      <c r="L249" s="72"/>
      <c r="N249" s="44">
        <v>5500</v>
      </c>
      <c r="O249" s="44"/>
      <c r="P249" s="35">
        <f t="shared" si="220"/>
        <v>5500</v>
      </c>
      <c r="Q249" s="35">
        <f t="shared" si="221"/>
        <v>45.833333333333336</v>
      </c>
      <c r="R249" s="35">
        <f t="shared" si="222"/>
        <v>0</v>
      </c>
      <c r="S249" s="35"/>
      <c r="T249" s="35">
        <f t="shared" si="223"/>
        <v>0</v>
      </c>
      <c r="U249" s="35">
        <v>1</v>
      </c>
      <c r="V249" s="35">
        <f t="shared" si="224"/>
        <v>0</v>
      </c>
      <c r="W249" s="35"/>
      <c r="X249" s="35">
        <f t="shared" si="225"/>
        <v>5500</v>
      </c>
      <c r="Y249" s="35">
        <f t="shared" si="226"/>
        <v>5500</v>
      </c>
      <c r="Z249" s="35">
        <v>1</v>
      </c>
      <c r="AA249" s="35">
        <f t="shared" si="227"/>
        <v>5500</v>
      </c>
      <c r="AB249" s="35">
        <f t="shared" si="228"/>
        <v>5500</v>
      </c>
      <c r="AC249" s="35">
        <f t="shared" si="229"/>
        <v>0</v>
      </c>
      <c r="AD249" s="11">
        <f t="shared" si="230"/>
        <v>2004.5833333333333</v>
      </c>
      <c r="AE249" s="11">
        <f t="shared" si="231"/>
        <v>2017.6666666666667</v>
      </c>
      <c r="AF249" s="11">
        <f t="shared" si="232"/>
        <v>2014.5833333333333</v>
      </c>
      <c r="AG249" s="11">
        <f t="shared" si="233"/>
        <v>2016.6666666666667</v>
      </c>
      <c r="AH249" s="11">
        <f t="shared" si="234"/>
        <v>-8.3333333333333329E-2</v>
      </c>
    </row>
    <row r="250" spans="1:34" s="7" customFormat="1">
      <c r="C250" s="7">
        <v>1</v>
      </c>
      <c r="D250" s="32" t="s">
        <v>242</v>
      </c>
      <c r="E250" s="15">
        <v>2004</v>
      </c>
      <c r="F250" s="7">
        <v>8</v>
      </c>
      <c r="G250" s="56">
        <v>0</v>
      </c>
      <c r="H250" s="56"/>
      <c r="I250" s="15" t="s">
        <v>103</v>
      </c>
      <c r="J250" s="15">
        <v>10</v>
      </c>
      <c r="K250" s="9">
        <f t="shared" si="219"/>
        <v>2014</v>
      </c>
      <c r="L250" s="72"/>
      <c r="N250" s="44">
        <v>1055</v>
      </c>
      <c r="O250" s="44"/>
      <c r="P250" s="35">
        <f t="shared" si="220"/>
        <v>1055</v>
      </c>
      <c r="Q250" s="35">
        <f t="shared" si="221"/>
        <v>8.7916666666666661</v>
      </c>
      <c r="R250" s="35">
        <f t="shared" si="222"/>
        <v>0</v>
      </c>
      <c r="S250" s="35"/>
      <c r="T250" s="35">
        <f t="shared" si="223"/>
        <v>0</v>
      </c>
      <c r="U250" s="35">
        <v>1</v>
      </c>
      <c r="V250" s="35">
        <f t="shared" si="224"/>
        <v>0</v>
      </c>
      <c r="W250" s="35"/>
      <c r="X250" s="35">
        <f t="shared" si="225"/>
        <v>1055</v>
      </c>
      <c r="Y250" s="35">
        <f t="shared" si="226"/>
        <v>1055</v>
      </c>
      <c r="Z250" s="35">
        <v>1</v>
      </c>
      <c r="AA250" s="35">
        <f t="shared" si="227"/>
        <v>1055</v>
      </c>
      <c r="AB250" s="35">
        <f t="shared" si="228"/>
        <v>1055</v>
      </c>
      <c r="AC250" s="35">
        <f t="shared" si="229"/>
        <v>0</v>
      </c>
      <c r="AD250" s="11">
        <f t="shared" si="230"/>
        <v>2004.5833333333333</v>
      </c>
      <c r="AE250" s="11">
        <f t="shared" si="231"/>
        <v>2017.6666666666667</v>
      </c>
      <c r="AF250" s="11">
        <f t="shared" si="232"/>
        <v>2014.5833333333333</v>
      </c>
      <c r="AG250" s="11">
        <f t="shared" si="233"/>
        <v>2016.6666666666667</v>
      </c>
      <c r="AH250" s="11">
        <f t="shared" si="234"/>
        <v>-8.3333333333333329E-2</v>
      </c>
    </row>
    <row r="251" spans="1:34" s="7" customFormat="1">
      <c r="C251" s="7">
        <v>2</v>
      </c>
      <c r="D251" s="32" t="s">
        <v>241</v>
      </c>
      <c r="E251" s="15">
        <v>2007</v>
      </c>
      <c r="F251" s="7">
        <v>6</v>
      </c>
      <c r="G251" s="56">
        <v>0</v>
      </c>
      <c r="H251" s="56"/>
      <c r="I251" s="15" t="s">
        <v>103</v>
      </c>
      <c r="J251" s="15">
        <v>10</v>
      </c>
      <c r="K251" s="9">
        <f t="shared" si="219"/>
        <v>2017</v>
      </c>
      <c r="L251" s="72"/>
      <c r="N251" s="44">
        <v>13490</v>
      </c>
      <c r="O251" s="44"/>
      <c r="P251" s="35">
        <f t="shared" si="220"/>
        <v>13490</v>
      </c>
      <c r="Q251" s="35">
        <f t="shared" si="221"/>
        <v>112.41666666666667</v>
      </c>
      <c r="R251" s="35">
        <f t="shared" si="222"/>
        <v>1011.75</v>
      </c>
      <c r="S251" s="35"/>
      <c r="T251" s="35">
        <f t="shared" si="223"/>
        <v>1011.75</v>
      </c>
      <c r="U251" s="35">
        <v>1</v>
      </c>
      <c r="V251" s="35">
        <f t="shared" si="224"/>
        <v>1011.75</v>
      </c>
      <c r="W251" s="35"/>
      <c r="X251" s="35">
        <f t="shared" si="225"/>
        <v>12478.25</v>
      </c>
      <c r="Y251" s="35">
        <f t="shared" si="226"/>
        <v>12478.25</v>
      </c>
      <c r="Z251" s="35">
        <v>1</v>
      </c>
      <c r="AA251" s="35">
        <f t="shared" si="227"/>
        <v>12478.25</v>
      </c>
      <c r="AB251" s="35">
        <f t="shared" si="228"/>
        <v>13490</v>
      </c>
      <c r="AC251" s="35">
        <f t="shared" si="229"/>
        <v>505.875</v>
      </c>
      <c r="AD251" s="11">
        <f t="shared" si="230"/>
        <v>2007.4166666666667</v>
      </c>
      <c r="AE251" s="11">
        <f t="shared" si="231"/>
        <v>2017.6666666666667</v>
      </c>
      <c r="AF251" s="11">
        <f t="shared" si="232"/>
        <v>2017.4166666666667</v>
      </c>
      <c r="AG251" s="11">
        <f t="shared" si="233"/>
        <v>2016.6666666666667</v>
      </c>
      <c r="AH251" s="11">
        <f t="shared" si="234"/>
        <v>-8.3333333333333329E-2</v>
      </c>
    </row>
    <row r="252" spans="1:34" s="7" customFormat="1">
      <c r="C252" s="7">
        <v>1</v>
      </c>
      <c r="D252" s="32" t="s">
        <v>243</v>
      </c>
      <c r="E252" s="15">
        <v>2007</v>
      </c>
      <c r="F252" s="7">
        <v>6</v>
      </c>
      <c r="G252" s="56">
        <v>0</v>
      </c>
      <c r="H252" s="56"/>
      <c r="I252" s="15" t="s">
        <v>103</v>
      </c>
      <c r="J252" s="15">
        <v>10</v>
      </c>
      <c r="K252" s="9">
        <f t="shared" si="219"/>
        <v>2017</v>
      </c>
      <c r="L252" s="72"/>
      <c r="N252" s="44">
        <v>7750</v>
      </c>
      <c r="O252" s="44"/>
      <c r="P252" s="35">
        <f t="shared" si="220"/>
        <v>7750</v>
      </c>
      <c r="Q252" s="35">
        <f t="shared" si="221"/>
        <v>64.583333333333329</v>
      </c>
      <c r="R252" s="35">
        <f t="shared" si="222"/>
        <v>581.25</v>
      </c>
      <c r="S252" s="35"/>
      <c r="T252" s="35">
        <f t="shared" si="223"/>
        <v>581.25</v>
      </c>
      <c r="U252" s="35">
        <v>1</v>
      </c>
      <c r="V252" s="35">
        <f t="shared" si="224"/>
        <v>581.25</v>
      </c>
      <c r="W252" s="35"/>
      <c r="X252" s="35">
        <f t="shared" si="225"/>
        <v>7168.75</v>
      </c>
      <c r="Y252" s="35">
        <f t="shared" si="226"/>
        <v>7168.75</v>
      </c>
      <c r="Z252" s="35">
        <v>1</v>
      </c>
      <c r="AA252" s="35">
        <f t="shared" si="227"/>
        <v>7168.75</v>
      </c>
      <c r="AB252" s="35">
        <f t="shared" si="228"/>
        <v>7750</v>
      </c>
      <c r="AC252" s="35">
        <f t="shared" si="229"/>
        <v>290.625</v>
      </c>
      <c r="AD252" s="11">
        <f t="shared" si="230"/>
        <v>2007.4166666666667</v>
      </c>
      <c r="AE252" s="11">
        <f t="shared" si="231"/>
        <v>2017.6666666666667</v>
      </c>
      <c r="AF252" s="11">
        <f t="shared" si="232"/>
        <v>2017.4166666666667</v>
      </c>
      <c r="AG252" s="11">
        <f t="shared" si="233"/>
        <v>2016.6666666666667</v>
      </c>
      <c r="AH252" s="11">
        <f t="shared" si="234"/>
        <v>-8.3333333333333329E-2</v>
      </c>
    </row>
    <row r="253" spans="1:34" s="7" customFormat="1">
      <c r="A253" s="7">
        <v>118265</v>
      </c>
      <c r="C253" s="7">
        <v>2</v>
      </c>
      <c r="D253" s="32" t="s">
        <v>244</v>
      </c>
      <c r="E253" s="15">
        <v>2014</v>
      </c>
      <c r="F253" s="7">
        <v>12</v>
      </c>
      <c r="G253" s="56">
        <v>0</v>
      </c>
      <c r="H253" s="56"/>
      <c r="I253" s="15" t="s">
        <v>103</v>
      </c>
      <c r="J253" s="15">
        <v>10</v>
      </c>
      <c r="K253" s="9">
        <f t="shared" si="219"/>
        <v>2024</v>
      </c>
      <c r="L253" s="72"/>
      <c r="N253" s="44">
        <v>16536.52</v>
      </c>
      <c r="O253" s="44"/>
      <c r="P253" s="35">
        <f t="shared" si="220"/>
        <v>16536.52</v>
      </c>
      <c r="Q253" s="35">
        <f t="shared" si="221"/>
        <v>137.80433333333335</v>
      </c>
      <c r="R253" s="35">
        <f t="shared" si="222"/>
        <v>1653.652</v>
      </c>
      <c r="S253" s="35"/>
      <c r="T253" s="35">
        <f t="shared" si="223"/>
        <v>1653.652</v>
      </c>
      <c r="U253" s="35">
        <v>1</v>
      </c>
      <c r="V253" s="35">
        <f t="shared" si="224"/>
        <v>1653.652</v>
      </c>
      <c r="W253" s="35"/>
      <c r="X253" s="35">
        <f t="shared" si="225"/>
        <v>2893.8910000000001</v>
      </c>
      <c r="Y253" s="35">
        <f t="shared" si="226"/>
        <v>2893.8910000000001</v>
      </c>
      <c r="Z253" s="35">
        <v>1</v>
      </c>
      <c r="AA253" s="35">
        <f t="shared" si="227"/>
        <v>2893.8910000000001</v>
      </c>
      <c r="AB253" s="35">
        <f t="shared" si="228"/>
        <v>4547.5429999999997</v>
      </c>
      <c r="AC253" s="35">
        <f t="shared" si="229"/>
        <v>12815.803</v>
      </c>
      <c r="AD253" s="11">
        <f t="shared" si="230"/>
        <v>2014.9166666666667</v>
      </c>
      <c r="AE253" s="11">
        <f t="shared" si="231"/>
        <v>2017.6666666666667</v>
      </c>
      <c r="AF253" s="11">
        <f t="shared" si="232"/>
        <v>2024.9166666666667</v>
      </c>
      <c r="AG253" s="11">
        <f t="shared" si="233"/>
        <v>2016.6666666666667</v>
      </c>
      <c r="AH253" s="11">
        <f t="shared" si="234"/>
        <v>-8.3333333333333329E-2</v>
      </c>
    </row>
    <row r="254" spans="1:34" s="7" customFormat="1">
      <c r="A254" s="7">
        <v>167243</v>
      </c>
      <c r="C254" s="7">
        <v>2</v>
      </c>
      <c r="D254" s="32" t="s">
        <v>293</v>
      </c>
      <c r="E254" s="15">
        <v>2016</v>
      </c>
      <c r="F254" s="7">
        <v>8</v>
      </c>
      <c r="G254" s="56">
        <v>0</v>
      </c>
      <c r="H254" s="56"/>
      <c r="I254" s="15" t="s">
        <v>103</v>
      </c>
      <c r="J254" s="15">
        <v>12</v>
      </c>
      <c r="K254" s="9">
        <f t="shared" ref="K254" si="235">E254+J254</f>
        <v>2028</v>
      </c>
      <c r="L254" s="72"/>
      <c r="N254" s="44">
        <v>16326.32</v>
      </c>
      <c r="O254" s="44"/>
      <c r="P254" s="35">
        <f t="shared" ref="P254" si="236">N254-N254*G254</f>
        <v>16326.32</v>
      </c>
      <c r="Q254" s="35">
        <f t="shared" ref="Q254" si="237">P254/J254/12</f>
        <v>113.37722222222222</v>
      </c>
      <c r="R254" s="35">
        <f t="shared" ref="R254" si="238">IF(O254&gt;0,0,IF(OR(AD254&gt;AE254,AF254&lt;AG254),0,IF(AND(AF254&gt;=AG254,AF254&lt;=AE254),Q254*((AF254-AG254)*12),IF(AND(AG254&lt;=AD254,AE254&gt;=AD254),((AE254-AD254)*12)*Q254,IF(AF254&gt;AE254,12*Q254,0)))))</f>
        <v>1360.5266666666666</v>
      </c>
      <c r="S254" s="35"/>
      <c r="T254" s="35">
        <f t="shared" ref="T254" si="239">IF(S254&gt;0,S254,R254)</f>
        <v>1360.5266666666666</v>
      </c>
      <c r="U254" s="35">
        <v>1</v>
      </c>
      <c r="V254" s="35">
        <f t="shared" ref="V254" si="240">U254*SUM(R254:S254)</f>
        <v>1360.5266666666666</v>
      </c>
      <c r="W254" s="35"/>
      <c r="X254" s="35">
        <f t="shared" ref="X254" si="241">IF(AD254&gt;AE254,0,IF(AF254&lt;AG254,P254,IF(AND(AF254&gt;=AG254,AF254&lt;=AE254),(P254-T254),IF(AND(AG254&lt;=AD254,AE254&gt;=AD254),0,IF(AF254&gt;AE254,((AG254-AD254)*12)*Q254,0)))))</f>
        <v>113.37722222242844</v>
      </c>
      <c r="Y254" s="35">
        <f t="shared" ref="Y254" si="242">X254*U254</f>
        <v>113.37722222242844</v>
      </c>
      <c r="Z254" s="35">
        <v>1</v>
      </c>
      <c r="AA254" s="35">
        <f t="shared" ref="AA254" si="243">Y254*Z254</f>
        <v>113.37722222242844</v>
      </c>
      <c r="AB254" s="35">
        <f t="shared" ref="AB254" si="244">IF(O254&gt;0,0,AA254+V254*Z254)*Z254</f>
        <v>1473.903888889095</v>
      </c>
      <c r="AC254" s="35">
        <f t="shared" ref="AC254" si="245">IF(O254&gt;0,(N254-AA254)/2,IF(AD254&gt;=AG254,(((N254*U254)*Z254)-AB254)/2,((((N254*U254)*Z254)-AA254)+(((N254*U254)*Z254)-AB254))/2))</f>
        <v>15532.679444444238</v>
      </c>
      <c r="AD254" s="11">
        <f t="shared" si="230"/>
        <v>2016.5833333333333</v>
      </c>
      <c r="AE254" s="11">
        <f t="shared" si="231"/>
        <v>2017.6666666666667</v>
      </c>
      <c r="AF254" s="11">
        <f t="shared" si="232"/>
        <v>2028.5833333333333</v>
      </c>
      <c r="AG254" s="11">
        <f t="shared" si="233"/>
        <v>2016.6666666666667</v>
      </c>
      <c r="AH254" s="11">
        <f t="shared" si="234"/>
        <v>-8.3333333333333329E-2</v>
      </c>
    </row>
    <row r="255" spans="1:34" s="7" customFormat="1">
      <c r="A255" s="7">
        <v>167672</v>
      </c>
      <c r="C255" s="7">
        <v>2</v>
      </c>
      <c r="D255" s="32" t="s">
        <v>294</v>
      </c>
      <c r="E255" s="15">
        <v>2016</v>
      </c>
      <c r="F255" s="7">
        <v>9</v>
      </c>
      <c r="G255" s="56">
        <v>0</v>
      </c>
      <c r="H255" s="56"/>
      <c r="I255" s="15" t="s">
        <v>103</v>
      </c>
      <c r="J255" s="15">
        <v>12</v>
      </c>
      <c r="K255" s="9">
        <f t="shared" ref="K255:K256" si="246">E255+J255</f>
        <v>2028</v>
      </c>
      <c r="L255" s="72"/>
      <c r="N255" s="44">
        <v>17274.96</v>
      </c>
      <c r="O255" s="44"/>
      <c r="P255" s="35">
        <f t="shared" ref="P255:P256" si="247">N255-N255*G255</f>
        <v>17274.96</v>
      </c>
      <c r="Q255" s="35">
        <f t="shared" ref="Q255:Q256" si="248">P255/J255/12</f>
        <v>119.96499999999999</v>
      </c>
      <c r="R255" s="35">
        <f t="shared" ref="R255" si="249">IF(O255&gt;0,0,IF(OR(AD255&gt;AE255,AF255&lt;AG255),0,IF(AND(AF255&gt;=AG255,AF255&lt;=AE255),Q255*((AF255-AG255)*12),IF(AND(AG255&lt;=AD255,AE255&gt;=AD255),((AE255-AD255)*12)*Q255,IF(AF255&gt;AE255,12*Q255,0)))))</f>
        <v>1439.58</v>
      </c>
      <c r="S255" s="35"/>
      <c r="T255" s="35">
        <f t="shared" ref="T255" si="250">IF(S255&gt;0,S255,R255)</f>
        <v>1439.58</v>
      </c>
      <c r="U255" s="35">
        <v>1</v>
      </c>
      <c r="V255" s="35">
        <f t="shared" ref="V255" si="251">U255*SUM(R255:S255)</f>
        <v>1439.58</v>
      </c>
      <c r="W255" s="35"/>
      <c r="X255" s="35">
        <f t="shared" ref="X255" si="252">IF(AD255&gt;AE255,0,IF(AF255&lt;AG255,P255,IF(AND(AF255&gt;=AG255,AF255&lt;=AE255),(P255-T255),IF(AND(AG255&lt;=AD255,AE255&gt;=AD255),0,IF(AF255&gt;AE255,((AG255-AD255)*12)*Q255,0)))))</f>
        <v>0</v>
      </c>
      <c r="Y255" s="35">
        <f t="shared" ref="Y255" si="253">X255*U255</f>
        <v>0</v>
      </c>
      <c r="Z255" s="35">
        <v>1</v>
      </c>
      <c r="AA255" s="35">
        <f t="shared" ref="AA255" si="254">Y255*Z255</f>
        <v>0</v>
      </c>
      <c r="AB255" s="35">
        <f t="shared" ref="AB255" si="255">IF(O255&gt;0,0,AA255+V255*Z255)*Z255</f>
        <v>1439.58</v>
      </c>
      <c r="AC255" s="35">
        <f t="shared" ref="AC255" si="256">IF(O255&gt;0,(N255-AA255)/2,IF(AD255&gt;=AG255,(((N255*U255)*Z255)-AB255)/2,((((N255*U255)*Z255)-AA255)+(((N255*U255)*Z255)-AB255))/2))</f>
        <v>7917.69</v>
      </c>
      <c r="AD255" s="11">
        <f t="shared" si="230"/>
        <v>2016.6666666666667</v>
      </c>
      <c r="AE255" s="11">
        <f t="shared" si="231"/>
        <v>2017.6666666666667</v>
      </c>
      <c r="AF255" s="11">
        <f t="shared" si="232"/>
        <v>2028.6666666666667</v>
      </c>
      <c r="AG255" s="11">
        <f t="shared" si="233"/>
        <v>2016.6666666666667</v>
      </c>
      <c r="AH255" s="11">
        <f t="shared" si="234"/>
        <v>-8.3333333333333329E-2</v>
      </c>
    </row>
    <row r="256" spans="1:34" s="97" customFormat="1">
      <c r="A256" s="97">
        <v>184173</v>
      </c>
      <c r="C256" s="97">
        <v>2</v>
      </c>
      <c r="D256" s="98" t="s">
        <v>306</v>
      </c>
      <c r="E256" s="99">
        <v>2017</v>
      </c>
      <c r="F256" s="97">
        <v>7</v>
      </c>
      <c r="G256" s="100">
        <v>0</v>
      </c>
      <c r="H256" s="100"/>
      <c r="I256" s="99" t="s">
        <v>103</v>
      </c>
      <c r="J256" s="99">
        <v>12</v>
      </c>
      <c r="K256" s="101">
        <f t="shared" si="246"/>
        <v>2029</v>
      </c>
      <c r="L256" s="107"/>
      <c r="N256" s="104">
        <v>23286</v>
      </c>
      <c r="O256" s="104"/>
      <c r="P256" s="105">
        <f t="shared" si="247"/>
        <v>23286</v>
      </c>
      <c r="Q256" s="105">
        <f t="shared" si="248"/>
        <v>161.70833333333334</v>
      </c>
      <c r="R256" s="105">
        <f t="shared" ref="R256" si="257">IF(O256&gt;0,0,IF(OR(AD256&gt;AE256,AF256&lt;AG256),0,IF(AND(AF256&gt;=AG256,AF256&lt;=AE256),Q256*((AF256-AG256)*12),IF(AND(AG256&lt;=AD256,AE256&gt;=AD256),((AE256-AD256)*12)*Q256,IF(AF256&gt;AE256,12*Q256,0)))))</f>
        <v>323.41666666681374</v>
      </c>
      <c r="S256" s="105"/>
      <c r="T256" s="105">
        <f t="shared" ref="T256" si="258">IF(S256&gt;0,S256,R256)</f>
        <v>323.41666666681374</v>
      </c>
      <c r="U256" s="105">
        <v>1</v>
      </c>
      <c r="V256" s="105">
        <f t="shared" ref="V256" si="259">U256*SUM(R256:S256)</f>
        <v>323.41666666681374</v>
      </c>
      <c r="W256" s="105"/>
      <c r="X256" s="105">
        <f t="shared" ref="X256" si="260">IF(AD256&gt;AE256,0,IF(AF256&lt;AG256,P256,IF(AND(AF256&gt;=AG256,AF256&lt;=AE256),(P256-T256),IF(AND(AG256&lt;=AD256,AE256&gt;=AD256),0,IF(AF256&gt;AE256,((AG256-AD256)*12)*Q256,0)))))</f>
        <v>0</v>
      </c>
      <c r="Y256" s="105">
        <f t="shared" ref="Y256" si="261">X256*U256</f>
        <v>0</v>
      </c>
      <c r="Z256" s="105">
        <v>1</v>
      </c>
      <c r="AA256" s="105">
        <f t="shared" ref="AA256" si="262">Y256*Z256</f>
        <v>0</v>
      </c>
      <c r="AB256" s="105">
        <f t="shared" ref="AB256" si="263">IF(O256&gt;0,0,AA256+V256*Z256)*Z256</f>
        <v>323.41666666681374</v>
      </c>
      <c r="AC256" s="105">
        <f t="shared" ref="AC256" si="264">IF(O256&gt;0,(N256-AA256)/2,IF(AD256&gt;=AG256,(((N256*U256)*Z256)-AB256)/2,((((N256*U256)*Z256)-AA256)+(((N256*U256)*Z256)-AB256))/2))</f>
        <v>11481.291666666593</v>
      </c>
      <c r="AD256" s="106">
        <f t="shared" si="230"/>
        <v>2017.5</v>
      </c>
      <c r="AE256" s="106">
        <f t="shared" si="231"/>
        <v>2017.6666666666667</v>
      </c>
      <c r="AF256" s="106">
        <f t="shared" si="232"/>
        <v>2029.5</v>
      </c>
      <c r="AG256" s="106">
        <f t="shared" si="233"/>
        <v>2016.6666666666667</v>
      </c>
      <c r="AH256" s="106">
        <f t="shared" si="234"/>
        <v>-8.3333333333333329E-2</v>
      </c>
    </row>
    <row r="257" spans="2:34">
      <c r="B257" s="7"/>
      <c r="D257" s="32"/>
      <c r="E257" s="15"/>
      <c r="F257" s="7"/>
      <c r="G257" s="56"/>
      <c r="H257" s="56"/>
      <c r="I257" s="15"/>
      <c r="J257" s="15"/>
      <c r="K257" s="9"/>
      <c r="L257" s="72"/>
      <c r="M257" s="7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7"/>
      <c r="AE257" s="7"/>
      <c r="AF257" s="7"/>
      <c r="AG257" s="7"/>
      <c r="AH257" s="7"/>
    </row>
    <row r="258" spans="2:34">
      <c r="B258" s="7"/>
      <c r="C258" s="37">
        <f>SUM(C240:C252)</f>
        <v>16</v>
      </c>
      <c r="D258" s="47" t="s">
        <v>245</v>
      </c>
      <c r="E258" s="48"/>
      <c r="F258" s="49"/>
      <c r="G258" s="49"/>
      <c r="H258" s="49"/>
      <c r="I258" s="49"/>
      <c r="J258" s="48"/>
      <c r="K258" s="64"/>
      <c r="L258" s="65"/>
      <c r="M258" s="49"/>
      <c r="N258" s="66">
        <f>SUM(N239:N257)</f>
        <v>160510.9</v>
      </c>
      <c r="O258" s="67"/>
      <c r="P258" s="66">
        <f>SUM(P239:P257)</f>
        <v>160510.9</v>
      </c>
      <c r="Q258" s="66">
        <f>SUM(Q239:Q257)</f>
        <v>1258.5807222222222</v>
      </c>
      <c r="R258" s="66">
        <f>SUM(R239:R257)</f>
        <v>6370.17533333348</v>
      </c>
      <c r="S258" s="66"/>
      <c r="T258" s="66">
        <f>SUM(T239:T257)</f>
        <v>6370.17533333348</v>
      </c>
      <c r="U258" s="66"/>
      <c r="V258" s="66">
        <f>SUM(V239:V257)</f>
        <v>6370.17533333348</v>
      </c>
      <c r="W258" s="67"/>
      <c r="X258" s="67"/>
      <c r="Y258" s="67"/>
      <c r="Z258" s="67"/>
      <c r="AA258" s="66">
        <f>SUM(AA239:AA257)</f>
        <v>88501.368222222431</v>
      </c>
      <c r="AB258" s="66">
        <f>SUM(AB239:AB257)</f>
        <v>94871.543555555923</v>
      </c>
      <c r="AC258" s="66">
        <f>SUM(AC239:AC257)</f>
        <v>48543.964111110829</v>
      </c>
      <c r="AD258" s="7"/>
      <c r="AE258" s="7"/>
      <c r="AF258" s="7"/>
      <c r="AG258" s="7"/>
      <c r="AH258" s="7"/>
    </row>
    <row r="259" spans="2:34">
      <c r="B259" s="7"/>
      <c r="C259" s="73"/>
      <c r="D259" s="59"/>
      <c r="E259" s="15"/>
      <c r="F259" s="7"/>
      <c r="G259" s="7"/>
      <c r="H259" s="7"/>
      <c r="I259" s="7"/>
      <c r="J259" s="15"/>
      <c r="K259" s="9"/>
      <c r="L259" s="69"/>
      <c r="M259" s="7"/>
      <c r="N259" s="70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7"/>
      <c r="AE259" s="7"/>
      <c r="AF259" s="7"/>
      <c r="AG259" s="7"/>
      <c r="AH259" s="7"/>
    </row>
    <row r="260" spans="2:34">
      <c r="B260" s="7"/>
      <c r="D260" s="20"/>
      <c r="E260" s="15"/>
      <c r="F260" s="7"/>
      <c r="G260" s="7"/>
      <c r="H260" s="7"/>
      <c r="I260" s="7"/>
      <c r="J260" s="15"/>
      <c r="K260" s="9"/>
      <c r="L260" s="69"/>
      <c r="M260" s="7"/>
      <c r="N260" s="70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7"/>
      <c r="AE260" s="7"/>
      <c r="AF260" s="7"/>
      <c r="AG260" s="7"/>
      <c r="AH260" s="7"/>
    </row>
    <row r="261" spans="2:34">
      <c r="B261" s="7"/>
      <c r="D261" s="20" t="s">
        <v>246</v>
      </c>
      <c r="E261" s="15"/>
      <c r="F261" s="7"/>
      <c r="G261" s="7"/>
      <c r="H261" s="7"/>
      <c r="I261" s="7"/>
      <c r="J261" s="15"/>
      <c r="K261" s="9"/>
      <c r="L261" s="69"/>
      <c r="M261" s="7"/>
      <c r="N261" s="70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7"/>
      <c r="AE261" s="7"/>
      <c r="AF261" s="7"/>
      <c r="AG261" s="7"/>
      <c r="AH261" s="7"/>
    </row>
    <row r="262" spans="2:34">
      <c r="B262" s="7"/>
      <c r="D262" s="32" t="s">
        <v>247</v>
      </c>
      <c r="E262" s="15">
        <v>2004</v>
      </c>
      <c r="F262" s="7">
        <v>8</v>
      </c>
      <c r="G262" s="56">
        <v>0.2</v>
      </c>
      <c r="H262" s="56"/>
      <c r="I262" s="15" t="s">
        <v>103</v>
      </c>
      <c r="J262" s="15">
        <v>7</v>
      </c>
      <c r="K262" s="9">
        <f>E262+J262</f>
        <v>2011</v>
      </c>
      <c r="L262" s="57"/>
      <c r="M262" s="7"/>
      <c r="N262" s="34">
        <f>15000+18940</f>
        <v>33940</v>
      </c>
      <c r="O262" s="44"/>
      <c r="P262" s="35">
        <f>N262-N262*G262</f>
        <v>27152</v>
      </c>
      <c r="Q262" s="35">
        <f>P262/J262/12</f>
        <v>323.23809523809524</v>
      </c>
      <c r="R262" s="35">
        <f>IF(O262&gt;0,0,IF(OR(AD262&gt;AE262,AF262&lt;AG262),0,IF(AND(AF262&gt;=AG262,AF262&lt;=AE262),Q262*((AF262-AG262)*12),IF(AND(AG262&lt;=AD262,AE262&gt;=AD262),((AE262-AD262)*12)*Q262,IF(AF262&gt;AE262,12*Q262,0)))))</f>
        <v>0</v>
      </c>
      <c r="S262" s="35"/>
      <c r="T262" s="35">
        <f>IF(S262&gt;0,S262,R262)</f>
        <v>0</v>
      </c>
      <c r="U262" s="35">
        <v>1</v>
      </c>
      <c r="V262" s="35">
        <f>U262*SUM(R262:S262)</f>
        <v>0</v>
      </c>
      <c r="W262" s="35"/>
      <c r="X262" s="35">
        <f>IF(AD262&gt;AE262,0,IF(AF262&lt;AG262,P262,IF(AND(AF262&gt;=AG262,AF262&lt;=AE262),(P262-T262),IF(AND(AG262&lt;=AD262,AE262&gt;=AD262),0,IF(AF262&gt;AE262,((AG262-AD262)*12)*Q262,0)))))</f>
        <v>27152</v>
      </c>
      <c r="Y262" s="35">
        <f>X262*U262</f>
        <v>27152</v>
      </c>
      <c r="Z262" s="35">
        <v>1</v>
      </c>
      <c r="AA262" s="35">
        <f>Y262*Z262</f>
        <v>27152</v>
      </c>
      <c r="AB262" s="35">
        <f>IF(O262&gt;0,0,AA262+V262*Z262)*Z262</f>
        <v>27152</v>
      </c>
      <c r="AC262" s="35">
        <f>IF(O262&gt;0,(N262-AA262)/2,IF(AD262&gt;=AG262,(((N262*U262)*Z262)-AB262)/2,((((N262*U262)*Z262)-AA262)+(((N262*U262)*Z262)-AB262))/2))</f>
        <v>6788</v>
      </c>
      <c r="AD262" s="11">
        <f>$E262+(($F262-1)/12)</f>
        <v>2004.5833333333333</v>
      </c>
      <c r="AE262" s="11">
        <f>($P$5+1)-($P$2/12)</f>
        <v>2017.6666666666667</v>
      </c>
      <c r="AF262" s="11">
        <f>$K262+(($F262-1)/12)</f>
        <v>2011.5833333333333</v>
      </c>
      <c r="AG262" s="11">
        <f>$P$4+($P$3/12)</f>
        <v>2016.6666666666667</v>
      </c>
      <c r="AH262" s="11">
        <f>$L262+(($M262-1)/12)</f>
        <v>-8.3333333333333329E-2</v>
      </c>
    </row>
    <row r="263" spans="2:34">
      <c r="B263" s="7"/>
      <c r="D263" s="32"/>
      <c r="E263" s="15"/>
      <c r="F263" s="7"/>
      <c r="G263" s="56"/>
      <c r="H263" s="56"/>
      <c r="I263" s="15"/>
      <c r="J263" s="15"/>
      <c r="K263" s="9"/>
      <c r="L263" s="57"/>
      <c r="M263" s="7"/>
      <c r="N263" s="34"/>
      <c r="O263" s="44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11"/>
      <c r="AE263" s="11"/>
      <c r="AF263" s="11"/>
      <c r="AG263" s="11"/>
      <c r="AH263" s="11"/>
    </row>
    <row r="264" spans="2:34">
      <c r="B264" s="7"/>
      <c r="D264" s="47" t="s">
        <v>43</v>
      </c>
      <c r="E264" s="48"/>
      <c r="F264" s="49"/>
      <c r="G264" s="74"/>
      <c r="H264" s="74"/>
      <c r="I264" s="48"/>
      <c r="J264" s="48"/>
      <c r="K264" s="64"/>
      <c r="L264" s="75"/>
      <c r="M264" s="49"/>
      <c r="N264" s="66">
        <f>SUM(N262:N263)</f>
        <v>33940</v>
      </c>
      <c r="O264" s="67"/>
      <c r="P264" s="66">
        <f>SUM(P262:P263)</f>
        <v>27152</v>
      </c>
      <c r="Q264" s="66">
        <f>SUM(Q262:Q263)</f>
        <v>323.23809523809524</v>
      </c>
      <c r="R264" s="66">
        <f>SUM(R262:R263)</f>
        <v>0</v>
      </c>
      <c r="S264" s="76"/>
      <c r="T264" s="76"/>
      <c r="U264" s="76"/>
      <c r="V264" s="76"/>
      <c r="W264" s="76"/>
      <c r="X264" s="76"/>
      <c r="Y264" s="76"/>
      <c r="Z264" s="76"/>
      <c r="AA264" s="66">
        <f>SUM(AA262:AA263)</f>
        <v>27152</v>
      </c>
      <c r="AB264" s="66">
        <f>SUM(AB262:AB263)</f>
        <v>27152</v>
      </c>
      <c r="AC264" s="66">
        <f>SUM(AC262:AC263)</f>
        <v>6788</v>
      </c>
      <c r="AD264" s="11"/>
      <c r="AE264" s="11"/>
      <c r="AF264" s="11"/>
      <c r="AG264" s="11"/>
      <c r="AH264" s="11"/>
    </row>
    <row r="265" spans="2:34">
      <c r="B265" s="7"/>
      <c r="D265" s="20"/>
      <c r="E265" s="15"/>
      <c r="F265" s="7"/>
      <c r="G265" s="7"/>
      <c r="H265" s="7"/>
      <c r="I265" s="7"/>
      <c r="J265" s="15"/>
      <c r="K265" s="9"/>
      <c r="L265" s="69"/>
      <c r="M265" s="7"/>
      <c r="N265" s="70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7"/>
      <c r="AE265" s="7"/>
      <c r="AF265" s="7"/>
      <c r="AG265" s="7"/>
      <c r="AH265" s="7"/>
    </row>
    <row r="266" spans="2:34">
      <c r="B266" s="7"/>
      <c r="D266" s="7"/>
      <c r="E266" s="15"/>
      <c r="F266" s="7"/>
      <c r="G266" s="7"/>
      <c r="H266" s="7"/>
      <c r="I266" s="7"/>
      <c r="J266" s="15"/>
      <c r="K266" s="9"/>
      <c r="L266" s="77"/>
      <c r="M266" s="7"/>
      <c r="N266" s="78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7"/>
      <c r="AE266" s="7"/>
      <c r="AF266" s="7"/>
      <c r="AG266" s="7"/>
      <c r="AH266" s="7"/>
    </row>
    <row r="267" spans="2:34">
      <c r="B267" s="7"/>
      <c r="D267" s="20" t="s">
        <v>248</v>
      </c>
      <c r="E267" s="15"/>
      <c r="F267" s="7"/>
      <c r="G267" s="7"/>
      <c r="H267" s="7"/>
      <c r="I267" s="7"/>
      <c r="J267" s="15"/>
      <c r="K267" s="9"/>
      <c r="L267" s="77"/>
      <c r="M267" s="7"/>
      <c r="N267" s="78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7"/>
      <c r="AE267" s="7"/>
      <c r="AF267" s="7"/>
      <c r="AG267" s="7"/>
      <c r="AH267" s="7"/>
    </row>
    <row r="268" spans="2:34">
      <c r="B268" s="7"/>
      <c r="D268" s="32" t="s">
        <v>249</v>
      </c>
      <c r="E268" s="15">
        <v>1992</v>
      </c>
      <c r="F268" s="7">
        <v>7</v>
      </c>
      <c r="G268" s="56">
        <v>0.2</v>
      </c>
      <c r="H268" s="56"/>
      <c r="I268" s="15" t="s">
        <v>103</v>
      </c>
      <c r="J268" s="15">
        <v>7</v>
      </c>
      <c r="K268" s="9">
        <f t="shared" ref="K268:K279" si="265">E268+J268</f>
        <v>1999</v>
      </c>
      <c r="L268" s="57"/>
      <c r="M268" s="7"/>
      <c r="N268" s="34">
        <v>20010</v>
      </c>
      <c r="O268" s="44"/>
      <c r="P268" s="35">
        <f t="shared" ref="P268:P279" si="266">N268-N268*G268</f>
        <v>16008</v>
      </c>
      <c r="Q268" s="35">
        <f t="shared" ref="Q268:Q279" si="267">P268/J268/12</f>
        <v>190.57142857142856</v>
      </c>
      <c r="R268" s="35">
        <f t="shared" ref="R268:R279" si="268">IF(O268&gt;0,0,IF(OR(AD268&gt;AE268,AF268&lt;AG268),0,IF(AND(AF268&gt;=AG268,AF268&lt;=AE268),Q268*((AF268-AG268)*12),IF(AND(AG268&lt;=AD268,AE268&gt;=AD268),((AE268-AD268)*12)*Q268,IF(AF268&gt;AE268,12*Q268,0)))))</f>
        <v>0</v>
      </c>
      <c r="S268" s="35"/>
      <c r="T268" s="35">
        <f t="shared" ref="T268:T279" si="269">IF(S268&gt;0,S268,R268)</f>
        <v>0</v>
      </c>
      <c r="U268" s="35">
        <v>1</v>
      </c>
      <c r="V268" s="35">
        <f t="shared" ref="V268:V279" si="270">U268*SUM(R268:S268)</f>
        <v>0</v>
      </c>
      <c r="W268" s="35"/>
      <c r="X268" s="35">
        <f t="shared" ref="X268:X279" si="271">IF(AD268&gt;AE268,0,IF(AF268&lt;AG268,P268,IF(AND(AF268&gt;=AG268,AF268&lt;=AE268),(P268-T268),IF(AND(AG268&lt;=AD268,AE268&gt;=AD268),0,IF(AF268&gt;AE268,((AG268-AD268)*12)*Q268,0)))))</f>
        <v>16008</v>
      </c>
      <c r="Y268" s="35">
        <f t="shared" ref="Y268:Y279" si="272">X268*U268</f>
        <v>16008</v>
      </c>
      <c r="Z268" s="35">
        <v>1</v>
      </c>
      <c r="AA268" s="35">
        <f t="shared" ref="AA268:AA279" si="273">Y268*Z268</f>
        <v>16008</v>
      </c>
      <c r="AB268" s="35">
        <f t="shared" ref="AB268:AB279" si="274">IF(O268&gt;0,0,AA268+V268*Z268)*Z268</f>
        <v>16008</v>
      </c>
      <c r="AC268" s="35">
        <f t="shared" ref="AC268:AC279" si="275">IF(O268&gt;0,(N268-AA268)/2,IF(AD268&gt;=AG268,(((N268*U268)*Z268)-AB268)/2,((((N268*U268)*Z268)-AA268)+(((N268*U268)*Z268)-AB268))/2))</f>
        <v>4002</v>
      </c>
      <c r="AD268" s="11">
        <f t="shared" ref="AD268:AD286" si="276">$E268+(($F268-1)/12)</f>
        <v>1992.5</v>
      </c>
      <c r="AE268" s="11">
        <f t="shared" ref="AE268:AE286" si="277">($P$5+1)-($P$2/12)</f>
        <v>2017.6666666666667</v>
      </c>
      <c r="AF268" s="11">
        <f t="shared" ref="AF268:AF286" si="278">$K268+(($F268-1)/12)</f>
        <v>1999.5</v>
      </c>
      <c r="AG268" s="11">
        <f t="shared" ref="AG268:AG286" si="279">$P$4+($P$3/12)</f>
        <v>2016.6666666666667</v>
      </c>
      <c r="AH268" s="11">
        <f t="shared" ref="AH268:AH286" si="280">$L268+(($M268-1)/12)</f>
        <v>-8.3333333333333329E-2</v>
      </c>
    </row>
    <row r="269" spans="2:34">
      <c r="B269" s="7"/>
      <c r="D269" s="32" t="s">
        <v>250</v>
      </c>
      <c r="E269" s="15">
        <v>1992</v>
      </c>
      <c r="F269" s="7">
        <v>5</v>
      </c>
      <c r="G269" s="56">
        <v>0.2</v>
      </c>
      <c r="H269" s="56"/>
      <c r="I269" s="15" t="s">
        <v>103</v>
      </c>
      <c r="J269" s="15">
        <v>7</v>
      </c>
      <c r="K269" s="9">
        <f t="shared" si="265"/>
        <v>1999</v>
      </c>
      <c r="L269" s="57"/>
      <c r="M269" s="7"/>
      <c r="N269" s="34">
        <v>44068</v>
      </c>
      <c r="O269" s="44"/>
      <c r="P269" s="35">
        <f t="shared" si="266"/>
        <v>35254.400000000001</v>
      </c>
      <c r="Q269" s="35">
        <f t="shared" si="267"/>
        <v>419.69523809523815</v>
      </c>
      <c r="R269" s="35">
        <f t="shared" si="268"/>
        <v>0</v>
      </c>
      <c r="S269" s="35"/>
      <c r="T269" s="35">
        <f t="shared" si="269"/>
        <v>0</v>
      </c>
      <c r="U269" s="35">
        <v>1</v>
      </c>
      <c r="V269" s="35">
        <f t="shared" si="270"/>
        <v>0</v>
      </c>
      <c r="W269" s="35"/>
      <c r="X269" s="35">
        <f t="shared" si="271"/>
        <v>35254.400000000001</v>
      </c>
      <c r="Y269" s="35">
        <f t="shared" si="272"/>
        <v>35254.400000000001</v>
      </c>
      <c r="Z269" s="35">
        <v>1</v>
      </c>
      <c r="AA269" s="35">
        <f t="shared" si="273"/>
        <v>35254.400000000001</v>
      </c>
      <c r="AB269" s="35">
        <f t="shared" si="274"/>
        <v>35254.400000000001</v>
      </c>
      <c r="AC269" s="35">
        <f t="shared" si="275"/>
        <v>8813.5999999999985</v>
      </c>
      <c r="AD269" s="11">
        <f t="shared" si="276"/>
        <v>1992.3333333333333</v>
      </c>
      <c r="AE269" s="11">
        <f t="shared" si="277"/>
        <v>2017.6666666666667</v>
      </c>
      <c r="AF269" s="11">
        <f t="shared" si="278"/>
        <v>1999.3333333333333</v>
      </c>
      <c r="AG269" s="11">
        <f t="shared" si="279"/>
        <v>2016.6666666666667</v>
      </c>
      <c r="AH269" s="11">
        <f t="shared" si="280"/>
        <v>-8.3333333333333329E-2</v>
      </c>
    </row>
    <row r="270" spans="2:34">
      <c r="B270" s="7"/>
      <c r="D270" s="32" t="s">
        <v>251</v>
      </c>
      <c r="E270" s="15">
        <v>1996</v>
      </c>
      <c r="F270" s="7">
        <v>12</v>
      </c>
      <c r="G270" s="56">
        <v>0.3</v>
      </c>
      <c r="H270" s="56"/>
      <c r="I270" s="15" t="s">
        <v>103</v>
      </c>
      <c r="J270" s="15">
        <v>7</v>
      </c>
      <c r="K270" s="9">
        <f t="shared" si="265"/>
        <v>2003</v>
      </c>
      <c r="L270" s="57"/>
      <c r="M270" s="7"/>
      <c r="N270" s="34">
        <v>800</v>
      </c>
      <c r="O270" s="44"/>
      <c r="P270" s="35">
        <f t="shared" si="266"/>
        <v>560</v>
      </c>
      <c r="Q270" s="35">
        <f t="shared" si="267"/>
        <v>6.666666666666667</v>
      </c>
      <c r="R270" s="35">
        <f t="shared" si="268"/>
        <v>0</v>
      </c>
      <c r="S270" s="35"/>
      <c r="T270" s="35">
        <f t="shared" si="269"/>
        <v>0</v>
      </c>
      <c r="U270" s="35">
        <v>1</v>
      </c>
      <c r="V270" s="35">
        <f t="shared" si="270"/>
        <v>0</v>
      </c>
      <c r="W270" s="35"/>
      <c r="X270" s="35">
        <f t="shared" si="271"/>
        <v>560</v>
      </c>
      <c r="Y270" s="35">
        <f t="shared" si="272"/>
        <v>560</v>
      </c>
      <c r="Z270" s="35">
        <v>1</v>
      </c>
      <c r="AA270" s="35">
        <f t="shared" si="273"/>
        <v>560</v>
      </c>
      <c r="AB270" s="35">
        <f t="shared" si="274"/>
        <v>560</v>
      </c>
      <c r="AC270" s="35">
        <f t="shared" si="275"/>
        <v>240</v>
      </c>
      <c r="AD270" s="11">
        <f t="shared" si="276"/>
        <v>1996.9166666666667</v>
      </c>
      <c r="AE270" s="11">
        <f t="shared" si="277"/>
        <v>2017.6666666666667</v>
      </c>
      <c r="AF270" s="11">
        <f t="shared" si="278"/>
        <v>2003.9166666666667</v>
      </c>
      <c r="AG270" s="11">
        <f t="shared" si="279"/>
        <v>2016.6666666666667</v>
      </c>
      <c r="AH270" s="11">
        <f t="shared" si="280"/>
        <v>-8.3333333333333329E-2</v>
      </c>
    </row>
    <row r="271" spans="2:34">
      <c r="B271" s="7"/>
      <c r="D271" s="32" t="s">
        <v>252</v>
      </c>
      <c r="E271" s="15">
        <v>2001</v>
      </c>
      <c r="F271" s="7">
        <v>2</v>
      </c>
      <c r="G271" s="56">
        <v>0</v>
      </c>
      <c r="H271" s="56"/>
      <c r="I271" s="15" t="s">
        <v>103</v>
      </c>
      <c r="J271" s="15">
        <v>7</v>
      </c>
      <c r="K271" s="9">
        <f t="shared" si="265"/>
        <v>2008</v>
      </c>
      <c r="L271" s="57"/>
      <c r="M271" s="7"/>
      <c r="N271" s="34">
        <v>4462.29</v>
      </c>
      <c r="O271" s="44"/>
      <c r="P271" s="35">
        <f t="shared" si="266"/>
        <v>4462.29</v>
      </c>
      <c r="Q271" s="35">
        <f t="shared" si="267"/>
        <v>53.122500000000002</v>
      </c>
      <c r="R271" s="35">
        <f t="shared" si="268"/>
        <v>0</v>
      </c>
      <c r="S271" s="35"/>
      <c r="T271" s="35">
        <f t="shared" si="269"/>
        <v>0</v>
      </c>
      <c r="U271" s="35">
        <v>1</v>
      </c>
      <c r="V271" s="35">
        <f t="shared" si="270"/>
        <v>0</v>
      </c>
      <c r="W271" s="35"/>
      <c r="X271" s="35">
        <f t="shared" si="271"/>
        <v>4462.29</v>
      </c>
      <c r="Y271" s="35">
        <f t="shared" si="272"/>
        <v>4462.29</v>
      </c>
      <c r="Z271" s="35">
        <v>1</v>
      </c>
      <c r="AA271" s="35">
        <f t="shared" si="273"/>
        <v>4462.29</v>
      </c>
      <c r="AB271" s="35">
        <f t="shared" si="274"/>
        <v>4462.29</v>
      </c>
      <c r="AC271" s="35">
        <f t="shared" si="275"/>
        <v>0</v>
      </c>
      <c r="AD271" s="11">
        <f t="shared" si="276"/>
        <v>2001.0833333333333</v>
      </c>
      <c r="AE271" s="11">
        <f t="shared" si="277"/>
        <v>2017.6666666666667</v>
      </c>
      <c r="AF271" s="11">
        <f t="shared" si="278"/>
        <v>2008.0833333333333</v>
      </c>
      <c r="AG271" s="11">
        <f t="shared" si="279"/>
        <v>2016.6666666666667</v>
      </c>
      <c r="AH271" s="11">
        <f t="shared" si="280"/>
        <v>-8.3333333333333329E-2</v>
      </c>
    </row>
    <row r="272" spans="2:34">
      <c r="B272" s="7"/>
      <c r="D272" s="7" t="s">
        <v>253</v>
      </c>
      <c r="E272" s="15">
        <v>2002</v>
      </c>
      <c r="F272" s="7">
        <v>1</v>
      </c>
      <c r="G272" s="56">
        <v>0</v>
      </c>
      <c r="H272" s="56"/>
      <c r="I272" s="15" t="s">
        <v>103</v>
      </c>
      <c r="J272" s="15">
        <v>7</v>
      </c>
      <c r="K272" s="9">
        <f t="shared" si="265"/>
        <v>2009</v>
      </c>
      <c r="L272" s="72"/>
      <c r="M272" s="7"/>
      <c r="N272" s="44">
        <v>5000</v>
      </c>
      <c r="O272" s="44"/>
      <c r="P272" s="35">
        <f t="shared" si="266"/>
        <v>5000</v>
      </c>
      <c r="Q272" s="35">
        <f t="shared" si="267"/>
        <v>59.523809523809526</v>
      </c>
      <c r="R272" s="35">
        <f t="shared" si="268"/>
        <v>0</v>
      </c>
      <c r="S272" s="35"/>
      <c r="T272" s="35">
        <f t="shared" si="269"/>
        <v>0</v>
      </c>
      <c r="U272" s="35">
        <v>1</v>
      </c>
      <c r="V272" s="35">
        <f t="shared" si="270"/>
        <v>0</v>
      </c>
      <c r="W272" s="35"/>
      <c r="X272" s="35">
        <f t="shared" si="271"/>
        <v>5000</v>
      </c>
      <c r="Y272" s="35">
        <f t="shared" si="272"/>
        <v>5000</v>
      </c>
      <c r="Z272" s="35">
        <v>1</v>
      </c>
      <c r="AA272" s="35">
        <f t="shared" si="273"/>
        <v>5000</v>
      </c>
      <c r="AB272" s="35">
        <f t="shared" si="274"/>
        <v>5000</v>
      </c>
      <c r="AC272" s="35">
        <f t="shared" si="275"/>
        <v>0</v>
      </c>
      <c r="AD272" s="11">
        <f t="shared" si="276"/>
        <v>2002</v>
      </c>
      <c r="AE272" s="11">
        <f t="shared" si="277"/>
        <v>2017.6666666666667</v>
      </c>
      <c r="AF272" s="11">
        <f t="shared" si="278"/>
        <v>2009</v>
      </c>
      <c r="AG272" s="11">
        <f t="shared" si="279"/>
        <v>2016.6666666666667</v>
      </c>
      <c r="AH272" s="11">
        <f t="shared" si="280"/>
        <v>-8.3333333333333329E-2</v>
      </c>
    </row>
    <row r="273" spans="1:34">
      <c r="B273" s="7"/>
      <c r="D273" s="7" t="s">
        <v>254</v>
      </c>
      <c r="E273" s="15">
        <v>2004</v>
      </c>
      <c r="F273" s="7">
        <v>7</v>
      </c>
      <c r="G273" s="56">
        <v>0</v>
      </c>
      <c r="H273" s="56"/>
      <c r="I273" s="15" t="s">
        <v>103</v>
      </c>
      <c r="J273" s="15">
        <v>7</v>
      </c>
      <c r="K273" s="9">
        <f t="shared" si="265"/>
        <v>2011</v>
      </c>
      <c r="L273" s="72"/>
      <c r="M273" s="7"/>
      <c r="N273" s="44">
        <v>318</v>
      </c>
      <c r="O273" s="44"/>
      <c r="P273" s="35">
        <f t="shared" si="266"/>
        <v>318</v>
      </c>
      <c r="Q273" s="35">
        <f t="shared" si="267"/>
        <v>3.785714285714286</v>
      </c>
      <c r="R273" s="35">
        <f t="shared" si="268"/>
        <v>0</v>
      </c>
      <c r="S273" s="35"/>
      <c r="T273" s="35">
        <f t="shared" si="269"/>
        <v>0</v>
      </c>
      <c r="U273" s="35">
        <v>1</v>
      </c>
      <c r="V273" s="35">
        <f t="shared" si="270"/>
        <v>0</v>
      </c>
      <c r="W273" s="35"/>
      <c r="X273" s="35">
        <f t="shared" si="271"/>
        <v>318</v>
      </c>
      <c r="Y273" s="35">
        <f t="shared" si="272"/>
        <v>318</v>
      </c>
      <c r="Z273" s="35">
        <v>1</v>
      </c>
      <c r="AA273" s="35">
        <f t="shared" si="273"/>
        <v>318</v>
      </c>
      <c r="AB273" s="35">
        <f t="shared" si="274"/>
        <v>318</v>
      </c>
      <c r="AC273" s="35">
        <f t="shared" si="275"/>
        <v>0</v>
      </c>
      <c r="AD273" s="11">
        <f t="shared" si="276"/>
        <v>2004.5</v>
      </c>
      <c r="AE273" s="11">
        <f t="shared" si="277"/>
        <v>2017.6666666666667</v>
      </c>
      <c r="AF273" s="11">
        <f t="shared" si="278"/>
        <v>2011.5</v>
      </c>
      <c r="AG273" s="11">
        <f t="shared" si="279"/>
        <v>2016.6666666666667</v>
      </c>
      <c r="AH273" s="11">
        <f t="shared" si="280"/>
        <v>-8.3333333333333329E-2</v>
      </c>
    </row>
    <row r="274" spans="1:34">
      <c r="B274" s="7"/>
      <c r="D274" s="7" t="s">
        <v>255</v>
      </c>
      <c r="E274" s="15">
        <v>2004</v>
      </c>
      <c r="F274" s="7">
        <v>7</v>
      </c>
      <c r="G274" s="56">
        <v>0</v>
      </c>
      <c r="H274" s="56"/>
      <c r="I274" s="15" t="s">
        <v>103</v>
      </c>
      <c r="J274" s="15">
        <v>7</v>
      </c>
      <c r="K274" s="9">
        <f t="shared" si="265"/>
        <v>2011</v>
      </c>
      <c r="L274" s="72"/>
      <c r="M274" s="7"/>
      <c r="N274" s="44">
        <v>229</v>
      </c>
      <c r="O274" s="44"/>
      <c r="P274" s="35">
        <f t="shared" si="266"/>
        <v>229</v>
      </c>
      <c r="Q274" s="35">
        <f t="shared" si="267"/>
        <v>2.7261904761904763</v>
      </c>
      <c r="R274" s="35">
        <f t="shared" si="268"/>
        <v>0</v>
      </c>
      <c r="S274" s="35"/>
      <c r="T274" s="35">
        <f t="shared" si="269"/>
        <v>0</v>
      </c>
      <c r="U274" s="35">
        <v>1</v>
      </c>
      <c r="V274" s="35">
        <f t="shared" si="270"/>
        <v>0</v>
      </c>
      <c r="W274" s="35"/>
      <c r="X274" s="35">
        <f t="shared" si="271"/>
        <v>229</v>
      </c>
      <c r="Y274" s="35">
        <f t="shared" si="272"/>
        <v>229</v>
      </c>
      <c r="Z274" s="35">
        <v>1</v>
      </c>
      <c r="AA274" s="35">
        <f t="shared" si="273"/>
        <v>229</v>
      </c>
      <c r="AB274" s="35">
        <f t="shared" si="274"/>
        <v>229</v>
      </c>
      <c r="AC274" s="35">
        <f t="shared" si="275"/>
        <v>0</v>
      </c>
      <c r="AD274" s="11">
        <f t="shared" si="276"/>
        <v>2004.5</v>
      </c>
      <c r="AE274" s="11">
        <f t="shared" si="277"/>
        <v>2017.6666666666667</v>
      </c>
      <c r="AF274" s="11">
        <f t="shared" si="278"/>
        <v>2011.5</v>
      </c>
      <c r="AG274" s="11">
        <f t="shared" si="279"/>
        <v>2016.6666666666667</v>
      </c>
      <c r="AH274" s="11">
        <f t="shared" si="280"/>
        <v>-8.3333333333333329E-2</v>
      </c>
    </row>
    <row r="275" spans="1:34">
      <c r="B275" s="7"/>
      <c r="D275" s="7" t="s">
        <v>256</v>
      </c>
      <c r="E275" s="15">
        <v>2004</v>
      </c>
      <c r="F275" s="7">
        <v>7</v>
      </c>
      <c r="G275" s="56">
        <v>0</v>
      </c>
      <c r="H275" s="56"/>
      <c r="I275" s="15" t="s">
        <v>103</v>
      </c>
      <c r="J275" s="15">
        <v>7</v>
      </c>
      <c r="K275" s="9">
        <f t="shared" si="265"/>
        <v>2011</v>
      </c>
      <c r="L275" s="72"/>
      <c r="M275" s="7"/>
      <c r="N275" s="44">
        <v>572</v>
      </c>
      <c r="O275" s="44"/>
      <c r="P275" s="35">
        <f t="shared" si="266"/>
        <v>572</v>
      </c>
      <c r="Q275" s="35">
        <f t="shared" si="267"/>
        <v>6.8095238095238093</v>
      </c>
      <c r="R275" s="35">
        <f t="shared" si="268"/>
        <v>0</v>
      </c>
      <c r="S275" s="35"/>
      <c r="T275" s="35">
        <f t="shared" si="269"/>
        <v>0</v>
      </c>
      <c r="U275" s="35">
        <v>1</v>
      </c>
      <c r="V275" s="35">
        <f t="shared" si="270"/>
        <v>0</v>
      </c>
      <c r="W275" s="35"/>
      <c r="X275" s="35">
        <f t="shared" si="271"/>
        <v>572</v>
      </c>
      <c r="Y275" s="35">
        <f t="shared" si="272"/>
        <v>572</v>
      </c>
      <c r="Z275" s="35">
        <v>1</v>
      </c>
      <c r="AA275" s="35">
        <f t="shared" si="273"/>
        <v>572</v>
      </c>
      <c r="AB275" s="35">
        <f t="shared" si="274"/>
        <v>572</v>
      </c>
      <c r="AC275" s="35">
        <f t="shared" si="275"/>
        <v>0</v>
      </c>
      <c r="AD275" s="11">
        <f t="shared" si="276"/>
        <v>2004.5</v>
      </c>
      <c r="AE275" s="11">
        <f t="shared" si="277"/>
        <v>2017.6666666666667</v>
      </c>
      <c r="AF275" s="11">
        <f t="shared" si="278"/>
        <v>2011.5</v>
      </c>
      <c r="AG275" s="11">
        <f t="shared" si="279"/>
        <v>2016.6666666666667</v>
      </c>
      <c r="AH275" s="11">
        <f t="shared" si="280"/>
        <v>-8.3333333333333329E-2</v>
      </c>
    </row>
    <row r="276" spans="1:34">
      <c r="B276" s="7"/>
      <c r="D276" s="7" t="s">
        <v>257</v>
      </c>
      <c r="E276" s="15">
        <v>2004</v>
      </c>
      <c r="F276" s="7">
        <v>7</v>
      </c>
      <c r="G276" s="56">
        <v>0</v>
      </c>
      <c r="H276" s="56"/>
      <c r="I276" s="15" t="s">
        <v>103</v>
      </c>
      <c r="J276" s="15">
        <v>7</v>
      </c>
      <c r="K276" s="9">
        <f t="shared" si="265"/>
        <v>2011</v>
      </c>
      <c r="L276" s="72"/>
      <c r="M276" s="7"/>
      <c r="N276" s="44">
        <v>55</v>
      </c>
      <c r="O276" s="44"/>
      <c r="P276" s="35">
        <f t="shared" si="266"/>
        <v>55</v>
      </c>
      <c r="Q276" s="35">
        <f t="shared" si="267"/>
        <v>0.65476190476190477</v>
      </c>
      <c r="R276" s="35">
        <f t="shared" si="268"/>
        <v>0</v>
      </c>
      <c r="S276" s="35"/>
      <c r="T276" s="35">
        <f t="shared" si="269"/>
        <v>0</v>
      </c>
      <c r="U276" s="35">
        <v>1</v>
      </c>
      <c r="V276" s="35">
        <f t="shared" si="270"/>
        <v>0</v>
      </c>
      <c r="W276" s="35"/>
      <c r="X276" s="35">
        <f t="shared" si="271"/>
        <v>55</v>
      </c>
      <c r="Y276" s="35">
        <f t="shared" si="272"/>
        <v>55</v>
      </c>
      <c r="Z276" s="35">
        <v>1</v>
      </c>
      <c r="AA276" s="35">
        <f t="shared" si="273"/>
        <v>55</v>
      </c>
      <c r="AB276" s="35">
        <f t="shared" si="274"/>
        <v>55</v>
      </c>
      <c r="AC276" s="35">
        <f t="shared" si="275"/>
        <v>0</v>
      </c>
      <c r="AD276" s="11">
        <f t="shared" si="276"/>
        <v>2004.5</v>
      </c>
      <c r="AE276" s="11">
        <f t="shared" si="277"/>
        <v>2017.6666666666667</v>
      </c>
      <c r="AF276" s="11">
        <f t="shared" si="278"/>
        <v>2011.5</v>
      </c>
      <c r="AG276" s="11">
        <f t="shared" si="279"/>
        <v>2016.6666666666667</v>
      </c>
      <c r="AH276" s="11">
        <f t="shared" si="280"/>
        <v>-8.3333333333333329E-2</v>
      </c>
    </row>
    <row r="277" spans="1:34">
      <c r="B277" s="7"/>
      <c r="D277" s="7" t="s">
        <v>258</v>
      </c>
      <c r="E277" s="15">
        <v>2005</v>
      </c>
      <c r="F277" s="7">
        <v>12</v>
      </c>
      <c r="G277" s="56">
        <v>0</v>
      </c>
      <c r="H277" s="56"/>
      <c r="I277" s="15"/>
      <c r="J277" s="15">
        <v>7</v>
      </c>
      <c r="K277" s="9">
        <f t="shared" si="265"/>
        <v>2012</v>
      </c>
      <c r="L277" s="72"/>
      <c r="M277" s="7"/>
      <c r="N277" s="44">
        <v>1969</v>
      </c>
      <c r="O277" s="44"/>
      <c r="P277" s="35">
        <f t="shared" si="266"/>
        <v>1969</v>
      </c>
      <c r="Q277" s="35">
        <f t="shared" si="267"/>
        <v>23.44047619047619</v>
      </c>
      <c r="R277" s="35">
        <f t="shared" si="268"/>
        <v>0</v>
      </c>
      <c r="S277" s="35"/>
      <c r="T277" s="35">
        <f t="shared" si="269"/>
        <v>0</v>
      </c>
      <c r="U277" s="35">
        <v>1</v>
      </c>
      <c r="V277" s="35">
        <f t="shared" si="270"/>
        <v>0</v>
      </c>
      <c r="W277" s="35"/>
      <c r="X277" s="35">
        <f t="shared" si="271"/>
        <v>1969</v>
      </c>
      <c r="Y277" s="35">
        <f t="shared" si="272"/>
        <v>1969</v>
      </c>
      <c r="Z277" s="35">
        <v>1</v>
      </c>
      <c r="AA277" s="35">
        <f t="shared" si="273"/>
        <v>1969</v>
      </c>
      <c r="AB277" s="35">
        <f t="shared" si="274"/>
        <v>1969</v>
      </c>
      <c r="AC277" s="35">
        <f t="shared" si="275"/>
        <v>0</v>
      </c>
      <c r="AD277" s="11">
        <f t="shared" si="276"/>
        <v>2005.9166666666667</v>
      </c>
      <c r="AE277" s="11">
        <f t="shared" si="277"/>
        <v>2017.6666666666667</v>
      </c>
      <c r="AF277" s="11">
        <f t="shared" si="278"/>
        <v>2012.9166666666667</v>
      </c>
      <c r="AG277" s="11">
        <f t="shared" si="279"/>
        <v>2016.6666666666667</v>
      </c>
      <c r="AH277" s="11">
        <f t="shared" si="280"/>
        <v>-8.3333333333333329E-2</v>
      </c>
    </row>
    <row r="278" spans="1:34">
      <c r="A278" s="5">
        <v>168614</v>
      </c>
      <c r="B278" s="7"/>
      <c r="C278" s="7">
        <v>409</v>
      </c>
      <c r="D278" s="7" t="s">
        <v>300</v>
      </c>
      <c r="E278" s="15">
        <v>2008</v>
      </c>
      <c r="F278" s="7">
        <v>10</v>
      </c>
      <c r="G278" s="56">
        <v>0</v>
      </c>
      <c r="H278" s="56"/>
      <c r="I278" s="15" t="s">
        <v>103</v>
      </c>
      <c r="J278" s="15">
        <v>3</v>
      </c>
      <c r="K278" s="9">
        <f t="shared" ref="K278" si="281">E278+J278</f>
        <v>2011</v>
      </c>
      <c r="L278" s="72"/>
      <c r="M278" s="7"/>
      <c r="N278" s="44">
        <v>2500</v>
      </c>
      <c r="O278" s="44"/>
      <c r="P278" s="35">
        <f t="shared" ref="P278" si="282">N278-N278*G278</f>
        <v>2500</v>
      </c>
      <c r="Q278" s="35">
        <f t="shared" ref="Q278" si="283">P278/J278/12</f>
        <v>69.444444444444443</v>
      </c>
      <c r="R278" s="35">
        <f t="shared" ref="R278" si="284">IF(O278&gt;0,0,IF(OR(AD278&gt;AE278,AF278&lt;AG278),0,IF(AND(AF278&gt;=AG278,AF278&lt;=AE278),Q278*((AF278-AG278)*12),IF(AND(AG278&lt;=AD278,AE278&gt;=AD278),((AE278-AD278)*12)*Q278,IF(AF278&gt;AE278,12*Q278,0)))))</f>
        <v>0</v>
      </c>
      <c r="S278" s="35"/>
      <c r="T278" s="35">
        <f t="shared" ref="T278" si="285">IF(S278&gt;0,S278,R278)</f>
        <v>0</v>
      </c>
      <c r="U278" s="35">
        <v>1</v>
      </c>
      <c r="V278" s="35">
        <f t="shared" ref="V278" si="286">U278*SUM(R278:S278)</f>
        <v>0</v>
      </c>
      <c r="W278" s="35"/>
      <c r="X278" s="35">
        <f t="shared" ref="X278" si="287">IF(AD278&gt;AE278,0,IF(AF278&lt;AG278,P278,IF(AND(AF278&gt;=AG278,AF278&lt;=AE278),(P278-T278),IF(AND(AG278&lt;=AD278,AE278&gt;=AD278),0,IF(AF278&gt;AE278,((AG278-AD278)*12)*Q278,0)))))</f>
        <v>2500</v>
      </c>
      <c r="Y278" s="35">
        <f t="shared" ref="Y278" si="288">X278*U278</f>
        <v>2500</v>
      </c>
      <c r="Z278" s="35">
        <v>1</v>
      </c>
      <c r="AA278" s="35">
        <f t="shared" ref="AA278" si="289">Y278*Z278</f>
        <v>2500</v>
      </c>
      <c r="AB278" s="35">
        <f t="shared" ref="AB278" si="290">IF(O278&gt;0,0,AA278+V278*Z278)*Z278</f>
        <v>2500</v>
      </c>
      <c r="AC278" s="35">
        <f t="shared" ref="AC278" si="291">IF(O278&gt;0,(N278-AA278)/2,IF(AD278&gt;=AG278,(((N278*U278)*Z278)-AB278)/2,((((N278*U278)*Z278)-AA278)+(((N278*U278)*Z278)-AB278))/2))</f>
        <v>0</v>
      </c>
      <c r="AD278" s="11">
        <f t="shared" si="276"/>
        <v>2008.75</v>
      </c>
      <c r="AE278" s="11">
        <f t="shared" si="277"/>
        <v>2017.6666666666667</v>
      </c>
      <c r="AF278" s="11">
        <f t="shared" si="278"/>
        <v>2011.75</v>
      </c>
      <c r="AG278" s="11">
        <f t="shared" si="279"/>
        <v>2016.6666666666667</v>
      </c>
      <c r="AH278" s="11">
        <f t="shared" si="280"/>
        <v>-8.3333333333333329E-2</v>
      </c>
    </row>
    <row r="279" spans="1:34">
      <c r="B279" s="7"/>
      <c r="D279" s="32" t="s">
        <v>259</v>
      </c>
      <c r="E279" s="15">
        <v>2010</v>
      </c>
      <c r="F279" s="7">
        <v>1</v>
      </c>
      <c r="G279" s="56">
        <v>0</v>
      </c>
      <c r="H279" s="56"/>
      <c r="I279" s="15" t="s">
        <v>103</v>
      </c>
      <c r="J279" s="79">
        <v>10</v>
      </c>
      <c r="K279" s="9">
        <f t="shared" si="265"/>
        <v>2020</v>
      </c>
      <c r="L279" s="57"/>
      <c r="M279" s="7"/>
      <c r="N279" s="34">
        <v>2200</v>
      </c>
      <c r="O279" s="44"/>
      <c r="P279" s="35">
        <f t="shared" si="266"/>
        <v>2200</v>
      </c>
      <c r="Q279" s="35">
        <f t="shared" si="267"/>
        <v>18.333333333333332</v>
      </c>
      <c r="R279" s="35">
        <f t="shared" si="268"/>
        <v>220</v>
      </c>
      <c r="S279" s="35"/>
      <c r="T279" s="35">
        <f t="shared" si="269"/>
        <v>220</v>
      </c>
      <c r="U279" s="35">
        <v>1</v>
      </c>
      <c r="V279" s="35">
        <f t="shared" si="270"/>
        <v>220</v>
      </c>
      <c r="W279" s="35"/>
      <c r="X279" s="35">
        <f t="shared" si="271"/>
        <v>1466.6666666666833</v>
      </c>
      <c r="Y279" s="35">
        <f t="shared" si="272"/>
        <v>1466.6666666666833</v>
      </c>
      <c r="Z279" s="35">
        <v>1</v>
      </c>
      <c r="AA279" s="35">
        <f t="shared" si="273"/>
        <v>1466.6666666666833</v>
      </c>
      <c r="AB279" s="35">
        <f t="shared" si="274"/>
        <v>1686.6666666666833</v>
      </c>
      <c r="AC279" s="35">
        <f t="shared" si="275"/>
        <v>623.33333333331666</v>
      </c>
      <c r="AD279" s="11">
        <f t="shared" si="276"/>
        <v>2010</v>
      </c>
      <c r="AE279" s="11">
        <f t="shared" si="277"/>
        <v>2017.6666666666667</v>
      </c>
      <c r="AF279" s="11">
        <f t="shared" si="278"/>
        <v>2020</v>
      </c>
      <c r="AG279" s="11">
        <f t="shared" si="279"/>
        <v>2016.6666666666667</v>
      </c>
      <c r="AH279" s="11">
        <f t="shared" si="280"/>
        <v>-8.3333333333333329E-2</v>
      </c>
    </row>
    <row r="280" spans="1:34">
      <c r="B280" s="7"/>
      <c r="D280" s="32" t="s">
        <v>260</v>
      </c>
      <c r="E280" s="15">
        <v>2011</v>
      </c>
      <c r="F280" s="7">
        <v>7</v>
      </c>
      <c r="G280" s="56">
        <v>0.33</v>
      </c>
      <c r="H280" s="56"/>
      <c r="I280" s="15" t="s">
        <v>103</v>
      </c>
      <c r="J280" s="15">
        <v>5</v>
      </c>
      <c r="K280" s="9">
        <f t="shared" ref="K280:K286" si="292">E280+J280</f>
        <v>2016</v>
      </c>
      <c r="L280" s="57"/>
      <c r="M280" s="7"/>
      <c r="N280" s="34">
        <v>29999.71</v>
      </c>
      <c r="O280" s="44"/>
      <c r="P280" s="35">
        <f t="shared" ref="P280:P286" si="293">N280-N280*G280</f>
        <v>20099.805699999997</v>
      </c>
      <c r="Q280" s="35">
        <f t="shared" ref="Q280:Q286" si="294">P280/J280/12</f>
        <v>334.9967616666666</v>
      </c>
      <c r="R280" s="35">
        <f t="shared" ref="R280:R286" si="295">IF(O280&gt;0,0,IF(OR(AD280&gt;AE280,AF280&lt;AG280),0,IF(AND(AF280&gt;=AG280,AF280&lt;=AE280),Q280*((AF280-AG280)*12),IF(AND(AG280&lt;=AD280,AE280&gt;=AD280),((AE280-AD280)*12)*Q280,IF(AF280&gt;AE280,12*Q280,0)))))</f>
        <v>0</v>
      </c>
      <c r="S280" s="35"/>
      <c r="T280" s="35">
        <f t="shared" ref="T280:T286" si="296">IF(S280&gt;0,S280,R280)</f>
        <v>0</v>
      </c>
      <c r="U280" s="35">
        <v>1</v>
      </c>
      <c r="V280" s="35">
        <f t="shared" ref="V280:V286" si="297">U280*SUM(R280:S280)</f>
        <v>0</v>
      </c>
      <c r="W280" s="35"/>
      <c r="X280" s="35">
        <f t="shared" ref="X280:X286" si="298">IF(AD280&gt;AE280,0,IF(AF280&lt;AG280,P280,IF(AND(AF280&gt;=AG280,AF280&lt;=AE280),(P280-T280),IF(AND(AG280&lt;=AD280,AE280&gt;=AD280),0,IF(AF280&gt;AE280,((AG280-AD280)*12)*Q280,0)))))</f>
        <v>20099.805699999997</v>
      </c>
      <c r="Y280" s="35">
        <f t="shared" ref="Y280:Y286" si="299">X280*U280</f>
        <v>20099.805699999997</v>
      </c>
      <c r="Z280" s="35">
        <v>1</v>
      </c>
      <c r="AA280" s="35">
        <f t="shared" ref="AA280:AA286" si="300">Y280*Z280</f>
        <v>20099.805699999997</v>
      </c>
      <c r="AB280" s="35">
        <f t="shared" ref="AB280:AB286" si="301">IF(O280&gt;0,0,AA280+V280*Z280)*Z280</f>
        <v>20099.805699999997</v>
      </c>
      <c r="AC280" s="35">
        <f t="shared" ref="AC280:AC286" si="302">IF(O280&gt;0,(N280-AA280)/2,IF(AD280&gt;=AG280,(((N280*U280)*Z280)-AB280)/2,((((N280*U280)*Z280)-AA280)+(((N280*U280)*Z280)-AB280))/2))</f>
        <v>9899.904300000002</v>
      </c>
      <c r="AD280" s="11">
        <f>$E280+(($F280-1)/12)</f>
        <v>2011.5</v>
      </c>
      <c r="AE280" s="11">
        <f>($P$5+1)-($P$2/12)</f>
        <v>2017.6666666666667</v>
      </c>
      <c r="AF280" s="11">
        <f>$K280+(($F280-1)/12)</f>
        <v>2016.5</v>
      </c>
      <c r="AG280" s="11">
        <f>$P$4+($P$3/12)</f>
        <v>2016.6666666666667</v>
      </c>
      <c r="AH280" s="11">
        <f>$L280+(($M280-1)/12)</f>
        <v>-8.3333333333333329E-2</v>
      </c>
    </row>
    <row r="281" spans="1:34">
      <c r="B281" s="7"/>
      <c r="D281" s="32" t="s">
        <v>261</v>
      </c>
      <c r="E281" s="15">
        <v>2011</v>
      </c>
      <c r="F281" s="7">
        <v>12</v>
      </c>
      <c r="G281" s="56">
        <v>0</v>
      </c>
      <c r="H281" s="56"/>
      <c r="I281" s="15" t="s">
        <v>103</v>
      </c>
      <c r="J281" s="79">
        <v>10</v>
      </c>
      <c r="K281" s="9">
        <f t="shared" si="292"/>
        <v>2021</v>
      </c>
      <c r="L281" s="57"/>
      <c r="M281" s="7"/>
      <c r="N281" s="34">
        <v>6996.91</v>
      </c>
      <c r="O281" s="44"/>
      <c r="P281" s="35">
        <f t="shared" si="293"/>
        <v>6996.91</v>
      </c>
      <c r="Q281" s="35">
        <f t="shared" si="294"/>
        <v>58.307583333333334</v>
      </c>
      <c r="R281" s="35">
        <f t="shared" si="295"/>
        <v>699.69100000000003</v>
      </c>
      <c r="S281" s="35"/>
      <c r="T281" s="35">
        <f t="shared" si="296"/>
        <v>699.69100000000003</v>
      </c>
      <c r="U281" s="35">
        <v>1</v>
      </c>
      <c r="V281" s="35">
        <f t="shared" si="297"/>
        <v>699.69100000000003</v>
      </c>
      <c r="W281" s="35"/>
      <c r="X281" s="35">
        <f t="shared" si="298"/>
        <v>3323.5322500000002</v>
      </c>
      <c r="Y281" s="35">
        <f t="shared" si="299"/>
        <v>3323.5322500000002</v>
      </c>
      <c r="Z281" s="35">
        <v>1</v>
      </c>
      <c r="AA281" s="35">
        <f t="shared" si="300"/>
        <v>3323.5322500000002</v>
      </c>
      <c r="AB281" s="35">
        <f t="shared" si="301"/>
        <v>4023.22325</v>
      </c>
      <c r="AC281" s="35">
        <f t="shared" si="302"/>
        <v>3323.5322499999997</v>
      </c>
      <c r="AD281" s="11">
        <f t="shared" si="276"/>
        <v>2011.9166666666667</v>
      </c>
      <c r="AE281" s="11">
        <f t="shared" si="277"/>
        <v>2017.6666666666667</v>
      </c>
      <c r="AF281" s="11">
        <f t="shared" si="278"/>
        <v>2021.9166666666667</v>
      </c>
      <c r="AG281" s="11">
        <f t="shared" si="279"/>
        <v>2016.6666666666667</v>
      </c>
      <c r="AH281" s="11">
        <f t="shared" si="280"/>
        <v>-8.3333333333333329E-2</v>
      </c>
    </row>
    <row r="282" spans="1:34">
      <c r="B282" s="7"/>
      <c r="D282" s="32" t="s">
        <v>262</v>
      </c>
      <c r="E282" s="15">
        <v>2012</v>
      </c>
      <c r="F282" s="7">
        <v>4</v>
      </c>
      <c r="G282" s="56">
        <v>0</v>
      </c>
      <c r="H282" s="56"/>
      <c r="I282" s="15" t="s">
        <v>103</v>
      </c>
      <c r="J282" s="15">
        <v>5</v>
      </c>
      <c r="K282" s="9">
        <f t="shared" si="292"/>
        <v>2017</v>
      </c>
      <c r="L282" s="57"/>
      <c r="M282" s="7"/>
      <c r="N282" s="34">
        <v>466</v>
      </c>
      <c r="O282" s="44"/>
      <c r="P282" s="35">
        <f t="shared" si="293"/>
        <v>466</v>
      </c>
      <c r="Q282" s="35">
        <f t="shared" si="294"/>
        <v>7.7666666666666666</v>
      </c>
      <c r="R282" s="35">
        <f t="shared" si="295"/>
        <v>54.366666666659604</v>
      </c>
      <c r="S282" s="35"/>
      <c r="T282" s="35">
        <f t="shared" si="296"/>
        <v>54.366666666659604</v>
      </c>
      <c r="U282" s="35">
        <v>1</v>
      </c>
      <c r="V282" s="35">
        <f t="shared" si="297"/>
        <v>54.366666666659604</v>
      </c>
      <c r="W282" s="35"/>
      <c r="X282" s="35">
        <f t="shared" si="298"/>
        <v>411.63333333334037</v>
      </c>
      <c r="Y282" s="35">
        <f t="shared" si="299"/>
        <v>411.63333333334037</v>
      </c>
      <c r="Z282" s="35">
        <v>1</v>
      </c>
      <c r="AA282" s="35">
        <f t="shared" si="300"/>
        <v>411.63333333334037</v>
      </c>
      <c r="AB282" s="35">
        <f t="shared" si="301"/>
        <v>466</v>
      </c>
      <c r="AC282" s="35">
        <f t="shared" si="302"/>
        <v>27.183333333329813</v>
      </c>
      <c r="AD282" s="11">
        <f t="shared" si="276"/>
        <v>2012.25</v>
      </c>
      <c r="AE282" s="11">
        <f t="shared" si="277"/>
        <v>2017.6666666666667</v>
      </c>
      <c r="AF282" s="11">
        <f t="shared" si="278"/>
        <v>2017.25</v>
      </c>
      <c r="AG282" s="11">
        <f t="shared" si="279"/>
        <v>2016.6666666666667</v>
      </c>
      <c r="AH282" s="11">
        <f t="shared" si="280"/>
        <v>-8.3333333333333329E-2</v>
      </c>
    </row>
    <row r="283" spans="1:34">
      <c r="B283" s="7"/>
      <c r="D283" s="32" t="s">
        <v>263</v>
      </c>
      <c r="E283" s="15">
        <v>2012</v>
      </c>
      <c r="F283" s="7">
        <v>10</v>
      </c>
      <c r="G283" s="56">
        <v>0</v>
      </c>
      <c r="H283" s="56"/>
      <c r="I283" s="15" t="s">
        <v>103</v>
      </c>
      <c r="J283" s="15">
        <v>5</v>
      </c>
      <c r="K283" s="9">
        <f t="shared" si="292"/>
        <v>2017</v>
      </c>
      <c r="L283" s="57"/>
      <c r="M283" s="7"/>
      <c r="N283" s="34">
        <v>6022</v>
      </c>
      <c r="O283" s="44"/>
      <c r="P283" s="35">
        <f t="shared" si="293"/>
        <v>6022</v>
      </c>
      <c r="Q283" s="35">
        <f t="shared" si="294"/>
        <v>100.36666666666667</v>
      </c>
      <c r="R283" s="35">
        <f t="shared" si="295"/>
        <v>1204.4000000000001</v>
      </c>
      <c r="S283" s="35"/>
      <c r="T283" s="35">
        <f t="shared" si="296"/>
        <v>1204.4000000000001</v>
      </c>
      <c r="U283" s="35">
        <v>1</v>
      </c>
      <c r="V283" s="35">
        <f t="shared" si="297"/>
        <v>1204.4000000000001</v>
      </c>
      <c r="W283" s="35"/>
      <c r="X283" s="35">
        <f t="shared" si="298"/>
        <v>4717.2333333334245</v>
      </c>
      <c r="Y283" s="35">
        <f t="shared" si="299"/>
        <v>4717.2333333334245</v>
      </c>
      <c r="Z283" s="35">
        <v>1</v>
      </c>
      <c r="AA283" s="35">
        <f t="shared" si="300"/>
        <v>4717.2333333334245</v>
      </c>
      <c r="AB283" s="35">
        <f t="shared" si="301"/>
        <v>5921.6333333334242</v>
      </c>
      <c r="AC283" s="35">
        <f t="shared" si="302"/>
        <v>702.56666666657566</v>
      </c>
      <c r="AD283" s="11">
        <f t="shared" si="276"/>
        <v>2012.75</v>
      </c>
      <c r="AE283" s="11">
        <f t="shared" si="277"/>
        <v>2017.6666666666667</v>
      </c>
      <c r="AF283" s="11">
        <f t="shared" si="278"/>
        <v>2017.75</v>
      </c>
      <c r="AG283" s="11">
        <f t="shared" si="279"/>
        <v>2016.6666666666667</v>
      </c>
      <c r="AH283" s="11">
        <f t="shared" si="280"/>
        <v>-8.3333333333333329E-2</v>
      </c>
    </row>
    <row r="284" spans="1:34">
      <c r="A284" s="7" t="s">
        <v>264</v>
      </c>
      <c r="D284" s="32" t="s">
        <v>265</v>
      </c>
      <c r="E284" s="15">
        <v>2012</v>
      </c>
      <c r="F284" s="7">
        <v>12</v>
      </c>
      <c r="G284" s="56">
        <v>0</v>
      </c>
      <c r="H284" s="56"/>
      <c r="I284" s="15" t="s">
        <v>103</v>
      </c>
      <c r="J284" s="15">
        <v>5</v>
      </c>
      <c r="K284" s="9">
        <f t="shared" si="292"/>
        <v>2017</v>
      </c>
      <c r="L284" s="57"/>
      <c r="M284" s="7"/>
      <c r="N284" s="34">
        <f>1245+815</f>
        <v>2060</v>
      </c>
      <c r="O284" s="44"/>
      <c r="P284" s="35">
        <f t="shared" si="293"/>
        <v>2060</v>
      </c>
      <c r="Q284" s="35">
        <f t="shared" si="294"/>
        <v>34.333333333333336</v>
      </c>
      <c r="R284" s="35">
        <f t="shared" si="295"/>
        <v>412</v>
      </c>
      <c r="S284" s="35"/>
      <c r="T284" s="35">
        <f t="shared" si="296"/>
        <v>412</v>
      </c>
      <c r="U284" s="35">
        <v>1</v>
      </c>
      <c r="V284" s="35">
        <f t="shared" si="297"/>
        <v>412</v>
      </c>
      <c r="W284" s="35"/>
      <c r="X284" s="35">
        <f t="shared" si="298"/>
        <v>1545</v>
      </c>
      <c r="Y284" s="35">
        <f t="shared" si="299"/>
        <v>1545</v>
      </c>
      <c r="Z284" s="35">
        <v>1</v>
      </c>
      <c r="AA284" s="35">
        <f t="shared" si="300"/>
        <v>1545</v>
      </c>
      <c r="AB284" s="35">
        <f t="shared" si="301"/>
        <v>1957</v>
      </c>
      <c r="AC284" s="35">
        <f t="shared" si="302"/>
        <v>309</v>
      </c>
      <c r="AD284" s="11">
        <f t="shared" si="276"/>
        <v>2012.9166666666667</v>
      </c>
      <c r="AE284" s="11">
        <f t="shared" si="277"/>
        <v>2017.6666666666667</v>
      </c>
      <c r="AF284" s="11">
        <f t="shared" si="278"/>
        <v>2017.9166666666667</v>
      </c>
      <c r="AG284" s="11">
        <f t="shared" si="279"/>
        <v>2016.6666666666667</v>
      </c>
      <c r="AH284" s="11">
        <f t="shared" si="280"/>
        <v>-8.3333333333333329E-2</v>
      </c>
    </row>
    <row r="285" spans="1:34">
      <c r="A285" s="7">
        <v>167961</v>
      </c>
      <c r="D285" s="32" t="s">
        <v>298</v>
      </c>
      <c r="E285" s="15">
        <v>2016</v>
      </c>
      <c r="F285" s="7">
        <v>9</v>
      </c>
      <c r="G285" s="56">
        <v>0</v>
      </c>
      <c r="H285" s="56"/>
      <c r="I285" s="15" t="s">
        <v>103</v>
      </c>
      <c r="J285" s="15">
        <v>5</v>
      </c>
      <c r="K285" s="9">
        <f t="shared" si="292"/>
        <v>2021</v>
      </c>
      <c r="L285" s="57"/>
      <c r="M285" s="7"/>
      <c r="N285" s="34">
        <v>5329</v>
      </c>
      <c r="O285" s="44"/>
      <c r="P285" s="35">
        <f t="shared" si="293"/>
        <v>5329</v>
      </c>
      <c r="Q285" s="35">
        <f t="shared" si="294"/>
        <v>88.816666666666663</v>
      </c>
      <c r="R285" s="35">
        <f t="shared" si="295"/>
        <v>1065.8</v>
      </c>
      <c r="S285" s="35"/>
      <c r="T285" s="35">
        <f t="shared" si="296"/>
        <v>1065.8</v>
      </c>
      <c r="U285" s="35">
        <v>1</v>
      </c>
      <c r="V285" s="35">
        <f t="shared" si="297"/>
        <v>1065.8</v>
      </c>
      <c r="W285" s="35"/>
      <c r="X285" s="35">
        <f t="shared" si="298"/>
        <v>0</v>
      </c>
      <c r="Y285" s="35">
        <f t="shared" si="299"/>
        <v>0</v>
      </c>
      <c r="Z285" s="35">
        <v>1</v>
      </c>
      <c r="AA285" s="35">
        <f t="shared" si="300"/>
        <v>0</v>
      </c>
      <c r="AB285" s="35">
        <f t="shared" si="301"/>
        <v>1065.8</v>
      </c>
      <c r="AC285" s="35">
        <f t="shared" si="302"/>
        <v>2131.6</v>
      </c>
      <c r="AD285" s="11">
        <f t="shared" si="276"/>
        <v>2016.6666666666667</v>
      </c>
      <c r="AE285" s="11">
        <f t="shared" si="277"/>
        <v>2017.6666666666667</v>
      </c>
      <c r="AF285" s="11">
        <f t="shared" si="278"/>
        <v>2021.6666666666667</v>
      </c>
      <c r="AG285" s="11">
        <f t="shared" si="279"/>
        <v>2016.6666666666667</v>
      </c>
      <c r="AH285" s="11">
        <f t="shared" si="280"/>
        <v>-8.3333333333333329E-2</v>
      </c>
    </row>
    <row r="286" spans="1:34">
      <c r="A286" s="7">
        <v>169271</v>
      </c>
      <c r="D286" s="32" t="s">
        <v>299</v>
      </c>
      <c r="E286" s="15">
        <v>2016</v>
      </c>
      <c r="F286" s="7">
        <v>10</v>
      </c>
      <c r="G286" s="56">
        <v>0</v>
      </c>
      <c r="H286" s="56"/>
      <c r="I286" s="15" t="s">
        <v>103</v>
      </c>
      <c r="J286" s="15">
        <v>5</v>
      </c>
      <c r="K286" s="9">
        <f t="shared" si="292"/>
        <v>2021</v>
      </c>
      <c r="L286" s="57"/>
      <c r="M286" s="7"/>
      <c r="N286" s="34">
        <v>2587.1999999999998</v>
      </c>
      <c r="O286" s="44"/>
      <c r="P286" s="35">
        <f t="shared" si="293"/>
        <v>2587.1999999999998</v>
      </c>
      <c r="Q286" s="35">
        <f t="shared" si="294"/>
        <v>43.12</v>
      </c>
      <c r="R286" s="35">
        <f t="shared" si="295"/>
        <v>474.32000000003922</v>
      </c>
      <c r="S286" s="35"/>
      <c r="T286" s="35">
        <f t="shared" si="296"/>
        <v>474.32000000003922</v>
      </c>
      <c r="U286" s="35">
        <v>1</v>
      </c>
      <c r="V286" s="35">
        <f t="shared" si="297"/>
        <v>474.32000000003922</v>
      </c>
      <c r="W286" s="35"/>
      <c r="X286" s="35">
        <f t="shared" si="298"/>
        <v>0</v>
      </c>
      <c r="Y286" s="35">
        <f t="shared" si="299"/>
        <v>0</v>
      </c>
      <c r="Z286" s="35">
        <v>1</v>
      </c>
      <c r="AA286" s="35">
        <f t="shared" si="300"/>
        <v>0</v>
      </c>
      <c r="AB286" s="35">
        <f t="shared" si="301"/>
        <v>474.32000000003922</v>
      </c>
      <c r="AC286" s="35">
        <f t="shared" si="302"/>
        <v>1056.4399999999803</v>
      </c>
      <c r="AD286" s="11">
        <f t="shared" si="276"/>
        <v>2016.75</v>
      </c>
      <c r="AE286" s="11">
        <f t="shared" si="277"/>
        <v>2017.6666666666667</v>
      </c>
      <c r="AF286" s="11">
        <f t="shared" si="278"/>
        <v>2021.75</v>
      </c>
      <c r="AG286" s="11">
        <f t="shared" si="279"/>
        <v>2016.6666666666667</v>
      </c>
      <c r="AH286" s="11">
        <f t="shared" si="280"/>
        <v>-8.3333333333333329E-2</v>
      </c>
    </row>
    <row r="287" spans="1:34">
      <c r="B287" s="7"/>
      <c r="D287" s="32"/>
      <c r="E287" s="15"/>
      <c r="F287" s="7"/>
      <c r="G287" s="56"/>
      <c r="H287" s="56"/>
      <c r="I287" s="15"/>
      <c r="J287" s="15"/>
      <c r="K287" s="9"/>
      <c r="L287" s="57"/>
      <c r="M287" s="7"/>
      <c r="N287" s="34"/>
      <c r="O287" s="44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11"/>
      <c r="AE287" s="11"/>
      <c r="AF287" s="11"/>
      <c r="AG287" s="11"/>
      <c r="AH287" s="11"/>
    </row>
    <row r="288" spans="1:34">
      <c r="B288" s="7"/>
      <c r="D288" s="7"/>
      <c r="E288" s="15"/>
      <c r="F288" s="7"/>
      <c r="G288" s="56"/>
      <c r="H288" s="56"/>
      <c r="I288" s="15"/>
      <c r="J288" s="15"/>
      <c r="K288" s="9"/>
      <c r="L288" s="72"/>
      <c r="M288" s="7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7"/>
      <c r="AE288" s="7"/>
      <c r="AF288" s="7"/>
      <c r="AG288" s="7"/>
      <c r="AH288" s="7"/>
    </row>
    <row r="289" spans="1:34">
      <c r="B289" s="7"/>
      <c r="D289" s="38" t="s">
        <v>266</v>
      </c>
      <c r="E289" s="48"/>
      <c r="F289" s="49"/>
      <c r="G289" s="74"/>
      <c r="H289" s="74"/>
      <c r="I289" s="48"/>
      <c r="J289" s="48"/>
      <c r="K289" s="64"/>
      <c r="L289" s="80"/>
      <c r="M289" s="49"/>
      <c r="N289" s="41">
        <f>SUM(N268:N288)</f>
        <v>135644.11000000002</v>
      </c>
      <c r="O289" s="67"/>
      <c r="P289" s="41">
        <f t="shared" ref="P289:AB289" si="303">SUM(P268:P288)</f>
        <v>112688.6057</v>
      </c>
      <c r="Q289" s="41">
        <f t="shared" si="303"/>
        <v>1522.4817656349203</v>
      </c>
      <c r="R289" s="41">
        <f t="shared" si="303"/>
        <v>4130.5776666666989</v>
      </c>
      <c r="S289" s="41"/>
      <c r="T289" s="41">
        <f t="shared" si="303"/>
        <v>4130.5776666666989</v>
      </c>
      <c r="U289" s="41"/>
      <c r="V289" s="41">
        <f t="shared" si="303"/>
        <v>4130.5776666666989</v>
      </c>
      <c r="W289" s="41"/>
      <c r="X289" s="41">
        <f t="shared" si="303"/>
        <v>98491.56128333346</v>
      </c>
      <c r="Y289" s="41">
        <f t="shared" si="303"/>
        <v>98491.56128333346</v>
      </c>
      <c r="Z289" s="41"/>
      <c r="AA289" s="41">
        <f t="shared" si="303"/>
        <v>98491.56128333346</v>
      </c>
      <c r="AB289" s="41">
        <f t="shared" si="303"/>
        <v>102622.13895000014</v>
      </c>
      <c r="AC289" s="41">
        <f>SUM(AC268:AC288)</f>
        <v>31129.159883333203</v>
      </c>
      <c r="AD289" s="7"/>
      <c r="AE289" s="7"/>
      <c r="AF289" s="7"/>
      <c r="AG289" s="7"/>
      <c r="AH289" s="7"/>
    </row>
    <row r="290" spans="1:34">
      <c r="B290" s="7"/>
      <c r="D290" s="37"/>
      <c r="E290" s="15"/>
      <c r="F290" s="7"/>
      <c r="G290" s="56"/>
      <c r="H290" s="56"/>
      <c r="I290" s="15"/>
      <c r="J290" s="15"/>
      <c r="K290" s="9"/>
      <c r="L290" s="81"/>
      <c r="M290" s="7"/>
      <c r="N290" s="43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7"/>
      <c r="AE290" s="7"/>
      <c r="AF290" s="7"/>
      <c r="AG290" s="7"/>
      <c r="AH290" s="7"/>
    </row>
    <row r="291" spans="1:34">
      <c r="B291" s="7"/>
      <c r="D291" s="20" t="s">
        <v>267</v>
      </c>
      <c r="E291" s="15"/>
      <c r="F291" s="7"/>
      <c r="G291" s="7"/>
      <c r="H291" s="7"/>
      <c r="I291" s="7"/>
      <c r="J291" s="15"/>
      <c r="K291" s="9"/>
      <c r="L291" s="7"/>
      <c r="M291" s="7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7"/>
      <c r="AE291" s="7"/>
      <c r="AF291" s="7"/>
      <c r="AG291" s="7"/>
      <c r="AH291" s="7"/>
    </row>
    <row r="292" spans="1:34">
      <c r="B292" s="7"/>
      <c r="D292" s="32" t="s">
        <v>268</v>
      </c>
      <c r="E292" s="15">
        <v>2009</v>
      </c>
      <c r="F292" s="7">
        <v>2</v>
      </c>
      <c r="G292" s="56">
        <v>0</v>
      </c>
      <c r="H292" s="56"/>
      <c r="I292" s="15" t="s">
        <v>103</v>
      </c>
      <c r="J292" s="15">
        <v>3</v>
      </c>
      <c r="K292" s="9">
        <f t="shared" ref="K292:K302" si="304">E292+J292</f>
        <v>2012</v>
      </c>
      <c r="L292" s="57"/>
      <c r="M292" s="57"/>
      <c r="N292" s="34">
        <v>6775</v>
      </c>
      <c r="O292" s="44"/>
      <c r="P292" s="35">
        <f t="shared" ref="P292:P301" si="305">N292-N292*G292</f>
        <v>6775</v>
      </c>
      <c r="Q292" s="35">
        <f t="shared" ref="Q292:Q301" si="306">P292/J292/12</f>
        <v>188.19444444444446</v>
      </c>
      <c r="R292" s="35">
        <f t="shared" ref="R292:R301" si="307">IF(O292&gt;0,0,IF(OR(AD292&gt;AE292,AF292&lt;AG292),0,IF(AND(AF292&gt;=AG292,AF292&lt;=AE292),Q292*((AF292-AG292)*12),IF(AND(AG292&lt;=AD292,AE292&gt;=AD292),((AE292-AD292)*12)*Q292,IF(AF292&gt;AE292,12*Q292,0)))))</f>
        <v>0</v>
      </c>
      <c r="S292" s="35"/>
      <c r="T292" s="35">
        <f t="shared" ref="T292:T301" si="308">IF(S292&gt;0,S292,R292)</f>
        <v>0</v>
      </c>
      <c r="U292" s="35">
        <v>1</v>
      </c>
      <c r="V292" s="35">
        <f t="shared" ref="V292:V301" si="309">U292*SUM(R292:S292)</f>
        <v>0</v>
      </c>
      <c r="W292" s="35"/>
      <c r="X292" s="35">
        <f t="shared" ref="X292:X301" si="310">IF(AD292&gt;AE292,0,IF(AF292&lt;AG292,P292,IF(AND(AF292&gt;=AG292,AF292&lt;=AE292),(P292-T292),IF(AND(AG292&lt;=AD292,AE292&gt;=AD292),0,IF(AF292&gt;AE292,((AG292-AD292)*12)*Q292,0)))))</f>
        <v>6775</v>
      </c>
      <c r="Y292" s="35">
        <f t="shared" ref="Y292:Y301" si="311">X292*U292</f>
        <v>6775</v>
      </c>
      <c r="Z292" s="35">
        <v>1</v>
      </c>
      <c r="AA292" s="35">
        <f t="shared" ref="AA292:AA301" si="312">Y292*Z292</f>
        <v>6775</v>
      </c>
      <c r="AB292" s="35">
        <f t="shared" ref="AB292:AB301" si="313">IF(O292&gt;0,0,AA292+V292*Z292)*Z292</f>
        <v>6775</v>
      </c>
      <c r="AC292" s="35">
        <f t="shared" ref="AC292:AC301" si="314">IF(O292&gt;0,(N292-AA292)/2,IF(AD292&gt;=AG292,(((N292*U292)*Z292)-AB292)/2,((((N292*U292)*Z292)-AA292)+(((N292*U292)*Z292)-AB292))/2))</f>
        <v>0</v>
      </c>
      <c r="AD292" s="11">
        <f t="shared" ref="AD292:AD302" si="315">$E292+(($F292-1)/12)</f>
        <v>2009.0833333333333</v>
      </c>
      <c r="AE292" s="11">
        <f t="shared" ref="AE292:AE302" si="316">($P$5+1)-($P$2/12)</f>
        <v>2017.6666666666667</v>
      </c>
      <c r="AF292" s="11">
        <f t="shared" ref="AF292:AF302" si="317">$K292+(($F292-1)/12)</f>
        <v>2012.0833333333333</v>
      </c>
      <c r="AG292" s="11">
        <f t="shared" ref="AG292:AG302" si="318">$P$4+($P$3/12)</f>
        <v>2016.6666666666667</v>
      </c>
      <c r="AH292" s="11">
        <f t="shared" ref="AH292:AH302" si="319">$L292+(($M292-1)/12)</f>
        <v>-8.3333333333333329E-2</v>
      </c>
    </row>
    <row r="293" spans="1:34">
      <c r="B293" s="7"/>
      <c r="D293" s="32" t="s">
        <v>269</v>
      </c>
      <c r="E293" s="15">
        <v>2010</v>
      </c>
      <c r="F293" s="7">
        <v>6</v>
      </c>
      <c r="G293" s="56">
        <v>0</v>
      </c>
      <c r="H293" s="56"/>
      <c r="I293" s="15" t="s">
        <v>103</v>
      </c>
      <c r="J293" s="15">
        <v>5</v>
      </c>
      <c r="K293" s="9">
        <f t="shared" si="304"/>
        <v>2015</v>
      </c>
      <c r="L293" s="57"/>
      <c r="M293" s="57"/>
      <c r="N293" s="34">
        <v>1043.42</v>
      </c>
      <c r="O293" s="44"/>
      <c r="P293" s="35">
        <f t="shared" si="305"/>
        <v>1043.42</v>
      </c>
      <c r="Q293" s="35">
        <f t="shared" si="306"/>
        <v>17.390333333333334</v>
      </c>
      <c r="R293" s="35">
        <f t="shared" si="307"/>
        <v>0</v>
      </c>
      <c r="S293" s="35"/>
      <c r="T293" s="35">
        <f t="shared" si="308"/>
        <v>0</v>
      </c>
      <c r="U293" s="35">
        <v>1</v>
      </c>
      <c r="V293" s="35">
        <f t="shared" si="309"/>
        <v>0</v>
      </c>
      <c r="W293" s="35"/>
      <c r="X293" s="35">
        <f t="shared" si="310"/>
        <v>1043.42</v>
      </c>
      <c r="Y293" s="35">
        <f t="shared" si="311"/>
        <v>1043.42</v>
      </c>
      <c r="Z293" s="35">
        <v>1</v>
      </c>
      <c r="AA293" s="35">
        <f t="shared" si="312"/>
        <v>1043.42</v>
      </c>
      <c r="AB293" s="35">
        <f t="shared" si="313"/>
        <v>1043.42</v>
      </c>
      <c r="AC293" s="35">
        <f t="shared" si="314"/>
        <v>0</v>
      </c>
      <c r="AD293" s="11">
        <f t="shared" si="315"/>
        <v>2010.4166666666667</v>
      </c>
      <c r="AE293" s="11">
        <f t="shared" si="316"/>
        <v>2017.6666666666667</v>
      </c>
      <c r="AF293" s="11">
        <f t="shared" si="317"/>
        <v>2015.4166666666667</v>
      </c>
      <c r="AG293" s="11">
        <f t="shared" si="318"/>
        <v>2016.6666666666667</v>
      </c>
      <c r="AH293" s="11">
        <f t="shared" si="319"/>
        <v>-8.3333333333333329E-2</v>
      </c>
    </row>
    <row r="294" spans="1:34">
      <c r="B294" s="7"/>
      <c r="D294" s="32" t="s">
        <v>270</v>
      </c>
      <c r="E294" s="15">
        <v>2010</v>
      </c>
      <c r="F294" s="7">
        <v>12</v>
      </c>
      <c r="G294" s="56">
        <v>0</v>
      </c>
      <c r="H294" s="56"/>
      <c r="I294" s="15" t="s">
        <v>103</v>
      </c>
      <c r="J294" s="15">
        <v>5</v>
      </c>
      <c r="K294" s="9">
        <f t="shared" si="304"/>
        <v>2015</v>
      </c>
      <c r="L294" s="57"/>
      <c r="M294" s="57"/>
      <c r="N294" s="34">
        <f>4249.48</f>
        <v>4249.4799999999996</v>
      </c>
      <c r="O294" s="44"/>
      <c r="P294" s="35">
        <f t="shared" si="305"/>
        <v>4249.4799999999996</v>
      </c>
      <c r="Q294" s="35">
        <f t="shared" si="306"/>
        <v>70.824666666666658</v>
      </c>
      <c r="R294" s="35">
        <f t="shared" si="307"/>
        <v>0</v>
      </c>
      <c r="S294" s="35"/>
      <c r="T294" s="35">
        <f t="shared" si="308"/>
        <v>0</v>
      </c>
      <c r="U294" s="35">
        <v>1</v>
      </c>
      <c r="V294" s="35">
        <f t="shared" si="309"/>
        <v>0</v>
      </c>
      <c r="W294" s="35"/>
      <c r="X294" s="35">
        <f t="shared" si="310"/>
        <v>4249.4799999999996</v>
      </c>
      <c r="Y294" s="35">
        <f t="shared" si="311"/>
        <v>4249.4799999999996</v>
      </c>
      <c r="Z294" s="35">
        <v>1</v>
      </c>
      <c r="AA294" s="35">
        <f t="shared" si="312"/>
        <v>4249.4799999999996</v>
      </c>
      <c r="AB294" s="35">
        <f t="shared" si="313"/>
        <v>4249.4799999999996</v>
      </c>
      <c r="AC294" s="35">
        <f t="shared" si="314"/>
        <v>0</v>
      </c>
      <c r="AD294" s="11">
        <f t="shared" si="315"/>
        <v>2010.9166666666667</v>
      </c>
      <c r="AE294" s="11">
        <f t="shared" si="316"/>
        <v>2017.6666666666667</v>
      </c>
      <c r="AF294" s="11">
        <f t="shared" si="317"/>
        <v>2015.9166666666667</v>
      </c>
      <c r="AG294" s="11">
        <f t="shared" si="318"/>
        <v>2016.6666666666667</v>
      </c>
      <c r="AH294" s="11">
        <f t="shared" si="319"/>
        <v>-8.3333333333333329E-2</v>
      </c>
    </row>
    <row r="295" spans="1:34">
      <c r="B295" s="7"/>
      <c r="D295" s="32" t="s">
        <v>271</v>
      </c>
      <c r="E295" s="15">
        <v>2011</v>
      </c>
      <c r="F295" s="7">
        <v>3</v>
      </c>
      <c r="G295" s="56">
        <v>0</v>
      </c>
      <c r="H295" s="56"/>
      <c r="I295" s="15" t="s">
        <v>103</v>
      </c>
      <c r="J295" s="15">
        <v>5</v>
      </c>
      <c r="K295" s="9">
        <f t="shared" si="304"/>
        <v>2016</v>
      </c>
      <c r="L295" s="57"/>
      <c r="M295" s="57"/>
      <c r="N295" s="34">
        <v>1120.45</v>
      </c>
      <c r="O295" s="44"/>
      <c r="P295" s="35">
        <f t="shared" si="305"/>
        <v>1120.45</v>
      </c>
      <c r="Q295" s="35">
        <f t="shared" si="306"/>
        <v>18.674166666666668</v>
      </c>
      <c r="R295" s="35">
        <f t="shared" si="307"/>
        <v>0</v>
      </c>
      <c r="S295" s="35"/>
      <c r="T295" s="35">
        <f t="shared" si="308"/>
        <v>0</v>
      </c>
      <c r="U295" s="35">
        <v>1</v>
      </c>
      <c r="V295" s="35">
        <f t="shared" si="309"/>
        <v>0</v>
      </c>
      <c r="W295" s="35"/>
      <c r="X295" s="35">
        <f t="shared" si="310"/>
        <v>1120.45</v>
      </c>
      <c r="Y295" s="35">
        <f t="shared" si="311"/>
        <v>1120.45</v>
      </c>
      <c r="Z295" s="35">
        <v>1</v>
      </c>
      <c r="AA295" s="35">
        <f t="shared" si="312"/>
        <v>1120.45</v>
      </c>
      <c r="AB295" s="35">
        <f t="shared" si="313"/>
        <v>1120.45</v>
      </c>
      <c r="AC295" s="35">
        <f t="shared" si="314"/>
        <v>0</v>
      </c>
      <c r="AD295" s="11">
        <f t="shared" si="315"/>
        <v>2011.1666666666667</v>
      </c>
      <c r="AE295" s="11">
        <f t="shared" si="316"/>
        <v>2017.6666666666667</v>
      </c>
      <c r="AF295" s="11">
        <f t="shared" si="317"/>
        <v>2016.1666666666667</v>
      </c>
      <c r="AG295" s="11">
        <f t="shared" si="318"/>
        <v>2016.6666666666667</v>
      </c>
      <c r="AH295" s="11">
        <f t="shared" si="319"/>
        <v>-8.3333333333333329E-2</v>
      </c>
    </row>
    <row r="296" spans="1:34">
      <c r="B296" s="7"/>
      <c r="D296" s="32" t="s">
        <v>272</v>
      </c>
      <c r="E296" s="15">
        <v>2011</v>
      </c>
      <c r="F296" s="7">
        <v>12</v>
      </c>
      <c r="G296" s="56">
        <v>0</v>
      </c>
      <c r="H296" s="56"/>
      <c r="I296" s="15" t="s">
        <v>103</v>
      </c>
      <c r="J296" s="15">
        <v>5</v>
      </c>
      <c r="K296" s="9">
        <f t="shared" si="304"/>
        <v>2016</v>
      </c>
      <c r="L296" s="57"/>
      <c r="M296" s="57"/>
      <c r="N296" s="34">
        <v>846.18</v>
      </c>
      <c r="O296" s="44"/>
      <c r="P296" s="35">
        <f t="shared" si="305"/>
        <v>846.18</v>
      </c>
      <c r="Q296" s="35">
        <f t="shared" si="306"/>
        <v>14.103</v>
      </c>
      <c r="R296" s="35">
        <f t="shared" si="307"/>
        <v>42.308999999999997</v>
      </c>
      <c r="S296" s="35"/>
      <c r="T296" s="35">
        <f t="shared" si="308"/>
        <v>42.308999999999997</v>
      </c>
      <c r="U296" s="35">
        <v>1</v>
      </c>
      <c r="V296" s="35">
        <f t="shared" si="309"/>
        <v>42.308999999999997</v>
      </c>
      <c r="W296" s="35"/>
      <c r="X296" s="35">
        <f t="shared" si="310"/>
        <v>803.87099999999998</v>
      </c>
      <c r="Y296" s="35">
        <f t="shared" si="311"/>
        <v>803.87099999999998</v>
      </c>
      <c r="Z296" s="35">
        <v>1</v>
      </c>
      <c r="AA296" s="35">
        <f t="shared" si="312"/>
        <v>803.87099999999998</v>
      </c>
      <c r="AB296" s="35">
        <f t="shared" si="313"/>
        <v>846.18</v>
      </c>
      <c r="AC296" s="35">
        <f t="shared" si="314"/>
        <v>21.154499999999985</v>
      </c>
      <c r="AD296" s="11">
        <f t="shared" si="315"/>
        <v>2011.9166666666667</v>
      </c>
      <c r="AE296" s="11">
        <f t="shared" si="316"/>
        <v>2017.6666666666667</v>
      </c>
      <c r="AF296" s="11">
        <f t="shared" si="317"/>
        <v>2016.9166666666667</v>
      </c>
      <c r="AG296" s="11">
        <f t="shared" si="318"/>
        <v>2016.6666666666667</v>
      </c>
      <c r="AH296" s="11">
        <f t="shared" si="319"/>
        <v>-8.3333333333333329E-2</v>
      </c>
    </row>
    <row r="297" spans="1:34">
      <c r="B297" s="7"/>
      <c r="D297" s="32" t="s">
        <v>273</v>
      </c>
      <c r="E297" s="15">
        <v>2013</v>
      </c>
      <c r="F297" s="7">
        <v>9</v>
      </c>
      <c r="G297" s="56">
        <v>0</v>
      </c>
      <c r="H297" s="56"/>
      <c r="I297" s="15" t="s">
        <v>103</v>
      </c>
      <c r="J297" s="15">
        <v>5</v>
      </c>
      <c r="K297" s="9">
        <f t="shared" si="304"/>
        <v>2018</v>
      </c>
      <c r="L297" s="57"/>
      <c r="M297" s="57"/>
      <c r="N297" s="34">
        <v>1010.1</v>
      </c>
      <c r="O297" s="44"/>
      <c r="P297" s="35">
        <f t="shared" si="305"/>
        <v>1010.1</v>
      </c>
      <c r="Q297" s="35">
        <f t="shared" si="306"/>
        <v>16.835000000000001</v>
      </c>
      <c r="R297" s="35">
        <f t="shared" si="307"/>
        <v>202.02</v>
      </c>
      <c r="S297" s="35"/>
      <c r="T297" s="35">
        <f t="shared" si="308"/>
        <v>202.02</v>
      </c>
      <c r="U297" s="35">
        <v>1</v>
      </c>
      <c r="V297" s="35">
        <f t="shared" si="309"/>
        <v>202.02</v>
      </c>
      <c r="W297" s="35"/>
      <c r="X297" s="35">
        <f t="shared" si="310"/>
        <v>606.06000000000006</v>
      </c>
      <c r="Y297" s="35">
        <f t="shared" si="311"/>
        <v>606.06000000000006</v>
      </c>
      <c r="Z297" s="35">
        <v>1</v>
      </c>
      <c r="AA297" s="35">
        <f t="shared" si="312"/>
        <v>606.06000000000006</v>
      </c>
      <c r="AB297" s="35">
        <f t="shared" si="313"/>
        <v>808.08</v>
      </c>
      <c r="AC297" s="35">
        <f t="shared" si="314"/>
        <v>303.02999999999997</v>
      </c>
      <c r="AD297" s="11">
        <f t="shared" si="315"/>
        <v>2013.6666666666667</v>
      </c>
      <c r="AE297" s="11">
        <f t="shared" si="316"/>
        <v>2017.6666666666667</v>
      </c>
      <c r="AF297" s="11">
        <f t="shared" si="317"/>
        <v>2018.6666666666667</v>
      </c>
      <c r="AG297" s="11">
        <f t="shared" si="318"/>
        <v>2016.6666666666667</v>
      </c>
      <c r="AH297" s="11">
        <f t="shared" si="319"/>
        <v>-8.3333333333333329E-2</v>
      </c>
    </row>
    <row r="298" spans="1:34">
      <c r="A298" s="5">
        <v>113894</v>
      </c>
      <c r="B298" s="7"/>
      <c r="C298" s="7">
        <v>1</v>
      </c>
      <c r="D298" s="32" t="s">
        <v>274</v>
      </c>
      <c r="E298" s="15">
        <v>2014</v>
      </c>
      <c r="F298" s="7">
        <v>6</v>
      </c>
      <c r="G298" s="56">
        <v>0</v>
      </c>
      <c r="H298" s="56"/>
      <c r="I298" s="15" t="s">
        <v>103</v>
      </c>
      <c r="J298" s="15">
        <v>5</v>
      </c>
      <c r="K298" s="9">
        <f t="shared" si="304"/>
        <v>2019</v>
      </c>
      <c r="L298" s="57"/>
      <c r="M298" s="57"/>
      <c r="N298" s="34">
        <v>824.08</v>
      </c>
      <c r="O298" s="44"/>
      <c r="P298" s="35">
        <f t="shared" si="305"/>
        <v>824.08</v>
      </c>
      <c r="Q298" s="35">
        <f t="shared" si="306"/>
        <v>13.734666666666667</v>
      </c>
      <c r="R298" s="35">
        <f t="shared" si="307"/>
        <v>164.816</v>
      </c>
      <c r="S298" s="35"/>
      <c r="T298" s="35">
        <f t="shared" si="308"/>
        <v>164.816</v>
      </c>
      <c r="U298" s="35">
        <v>1</v>
      </c>
      <c r="V298" s="35">
        <f t="shared" si="309"/>
        <v>164.816</v>
      </c>
      <c r="W298" s="35"/>
      <c r="X298" s="35">
        <f t="shared" si="310"/>
        <v>370.83600000000001</v>
      </c>
      <c r="Y298" s="35">
        <f t="shared" si="311"/>
        <v>370.83600000000001</v>
      </c>
      <c r="Z298" s="35">
        <v>1</v>
      </c>
      <c r="AA298" s="35">
        <f t="shared" si="312"/>
        <v>370.83600000000001</v>
      </c>
      <c r="AB298" s="35">
        <f t="shared" si="313"/>
        <v>535.65200000000004</v>
      </c>
      <c r="AC298" s="35">
        <f t="shared" si="314"/>
        <v>370.83600000000001</v>
      </c>
      <c r="AD298" s="11">
        <f t="shared" si="315"/>
        <v>2014.4166666666667</v>
      </c>
      <c r="AE298" s="11">
        <f t="shared" si="316"/>
        <v>2017.6666666666667</v>
      </c>
      <c r="AF298" s="11">
        <f t="shared" si="317"/>
        <v>2019.4166666666667</v>
      </c>
      <c r="AG298" s="11">
        <f t="shared" si="318"/>
        <v>2016.6666666666667</v>
      </c>
      <c r="AH298" s="11">
        <f t="shared" si="319"/>
        <v>-8.3333333333333329E-2</v>
      </c>
    </row>
    <row r="299" spans="1:34">
      <c r="A299" s="5">
        <v>117628</v>
      </c>
      <c r="B299" s="7"/>
      <c r="C299" s="7">
        <v>1</v>
      </c>
      <c r="D299" s="32" t="s">
        <v>275</v>
      </c>
      <c r="E299" s="15">
        <v>2014</v>
      </c>
      <c r="F299" s="7">
        <v>11</v>
      </c>
      <c r="G299" s="56">
        <v>0</v>
      </c>
      <c r="H299" s="56"/>
      <c r="I299" s="15" t="s">
        <v>103</v>
      </c>
      <c r="J299" s="15">
        <v>5</v>
      </c>
      <c r="K299" s="9">
        <f t="shared" si="304"/>
        <v>2019</v>
      </c>
      <c r="L299" s="57"/>
      <c r="M299" s="57"/>
      <c r="N299" s="34">
        <v>1076.26</v>
      </c>
      <c r="O299" s="44"/>
      <c r="P299" s="35">
        <f t="shared" si="305"/>
        <v>1076.26</v>
      </c>
      <c r="Q299" s="35">
        <f t="shared" si="306"/>
        <v>17.937666666666669</v>
      </c>
      <c r="R299" s="35">
        <f t="shared" si="307"/>
        <v>215.25200000000001</v>
      </c>
      <c r="S299" s="35"/>
      <c r="T299" s="35">
        <f t="shared" si="308"/>
        <v>215.25200000000001</v>
      </c>
      <c r="U299" s="35">
        <v>1</v>
      </c>
      <c r="V299" s="35">
        <f t="shared" si="309"/>
        <v>215.25200000000001</v>
      </c>
      <c r="W299" s="35"/>
      <c r="X299" s="35">
        <f t="shared" si="310"/>
        <v>394.62866666669936</v>
      </c>
      <c r="Y299" s="35">
        <f t="shared" si="311"/>
        <v>394.62866666669936</v>
      </c>
      <c r="Z299" s="35">
        <v>1</v>
      </c>
      <c r="AA299" s="35">
        <f t="shared" si="312"/>
        <v>394.62866666669936</v>
      </c>
      <c r="AB299" s="35">
        <f t="shared" si="313"/>
        <v>609.88066666669943</v>
      </c>
      <c r="AC299" s="35">
        <f t="shared" si="314"/>
        <v>574.00533333330054</v>
      </c>
      <c r="AD299" s="11">
        <f t="shared" si="315"/>
        <v>2014.8333333333333</v>
      </c>
      <c r="AE299" s="11">
        <f t="shared" si="316"/>
        <v>2017.6666666666667</v>
      </c>
      <c r="AF299" s="11">
        <f t="shared" si="317"/>
        <v>2019.8333333333333</v>
      </c>
      <c r="AG299" s="11">
        <f t="shared" si="318"/>
        <v>2016.6666666666667</v>
      </c>
      <c r="AH299" s="11">
        <f t="shared" si="319"/>
        <v>-8.3333333333333329E-2</v>
      </c>
    </row>
    <row r="300" spans="1:34">
      <c r="A300" s="5">
        <v>120298</v>
      </c>
      <c r="B300" s="7"/>
      <c r="D300" s="32" t="s">
        <v>276</v>
      </c>
      <c r="E300" s="15">
        <v>2015</v>
      </c>
      <c r="F300" s="7">
        <v>2</v>
      </c>
      <c r="G300" s="56">
        <v>0</v>
      </c>
      <c r="H300" s="56"/>
      <c r="I300" s="15" t="s">
        <v>103</v>
      </c>
      <c r="J300" s="15">
        <v>3</v>
      </c>
      <c r="K300" s="9">
        <f t="shared" si="304"/>
        <v>2018</v>
      </c>
      <c r="L300" s="57"/>
      <c r="M300" s="57"/>
      <c r="N300" s="34">
        <v>1655.52</v>
      </c>
      <c r="O300" s="44"/>
      <c r="P300" s="35">
        <f t="shared" si="305"/>
        <v>1655.52</v>
      </c>
      <c r="Q300" s="35">
        <f t="shared" si="306"/>
        <v>45.986666666666672</v>
      </c>
      <c r="R300" s="35">
        <f t="shared" si="307"/>
        <v>551.84</v>
      </c>
      <c r="S300" s="35"/>
      <c r="T300" s="35">
        <f t="shared" si="308"/>
        <v>551.84</v>
      </c>
      <c r="U300" s="35">
        <v>1</v>
      </c>
      <c r="V300" s="35">
        <f t="shared" si="309"/>
        <v>551.84</v>
      </c>
      <c r="W300" s="35"/>
      <c r="X300" s="35">
        <f t="shared" si="310"/>
        <v>873.74666666675046</v>
      </c>
      <c r="Y300" s="35">
        <f t="shared" si="311"/>
        <v>873.74666666675046</v>
      </c>
      <c r="Z300" s="35">
        <v>1</v>
      </c>
      <c r="AA300" s="35">
        <f t="shared" si="312"/>
        <v>873.74666666675046</v>
      </c>
      <c r="AB300" s="35">
        <f t="shared" si="313"/>
        <v>1425.5866666667505</v>
      </c>
      <c r="AC300" s="35">
        <f t="shared" si="314"/>
        <v>505.85333333324951</v>
      </c>
      <c r="AD300" s="11">
        <f t="shared" si="315"/>
        <v>2015.0833333333333</v>
      </c>
      <c r="AE300" s="11">
        <f t="shared" si="316"/>
        <v>2017.6666666666667</v>
      </c>
      <c r="AF300" s="11">
        <f t="shared" si="317"/>
        <v>2018.0833333333333</v>
      </c>
      <c r="AG300" s="11">
        <f t="shared" si="318"/>
        <v>2016.6666666666667</v>
      </c>
      <c r="AH300" s="11">
        <f t="shared" si="319"/>
        <v>-8.3333333333333329E-2</v>
      </c>
    </row>
    <row r="301" spans="1:34">
      <c r="A301" s="5">
        <v>133345</v>
      </c>
      <c r="B301" s="7"/>
      <c r="D301" s="32" t="s">
        <v>277</v>
      </c>
      <c r="E301" s="15">
        <v>2016</v>
      </c>
      <c r="F301" s="7">
        <v>3</v>
      </c>
      <c r="G301" s="56">
        <v>0</v>
      </c>
      <c r="H301" s="56"/>
      <c r="I301" s="15" t="s">
        <v>103</v>
      </c>
      <c r="J301" s="15">
        <v>5</v>
      </c>
      <c r="K301" s="9">
        <f t="shared" si="304"/>
        <v>2021</v>
      </c>
      <c r="L301" s="57"/>
      <c r="M301" s="57"/>
      <c r="N301" s="34">
        <f>2075.02+583.35</f>
        <v>2658.37</v>
      </c>
      <c r="O301" s="44"/>
      <c r="P301" s="35">
        <f t="shared" si="305"/>
        <v>2658.37</v>
      </c>
      <c r="Q301" s="35">
        <f t="shared" si="306"/>
        <v>44.306166666666662</v>
      </c>
      <c r="R301" s="35">
        <f t="shared" si="307"/>
        <v>531.67399999999998</v>
      </c>
      <c r="S301" s="35"/>
      <c r="T301" s="35">
        <f t="shared" si="308"/>
        <v>531.67399999999998</v>
      </c>
      <c r="U301" s="35">
        <v>1</v>
      </c>
      <c r="V301" s="35">
        <f t="shared" si="309"/>
        <v>531.67399999999998</v>
      </c>
      <c r="W301" s="35"/>
      <c r="X301" s="35">
        <f t="shared" si="310"/>
        <v>265.83699999999999</v>
      </c>
      <c r="Y301" s="35">
        <f t="shared" si="311"/>
        <v>265.83699999999999</v>
      </c>
      <c r="Z301" s="35">
        <v>1</v>
      </c>
      <c r="AA301" s="35">
        <f t="shared" si="312"/>
        <v>265.83699999999999</v>
      </c>
      <c r="AB301" s="35">
        <f t="shared" si="313"/>
        <v>797.51099999999997</v>
      </c>
      <c r="AC301" s="35">
        <f t="shared" si="314"/>
        <v>2126.6959999999999</v>
      </c>
      <c r="AD301" s="11">
        <f t="shared" si="315"/>
        <v>2016.1666666666667</v>
      </c>
      <c r="AE301" s="11">
        <f t="shared" si="316"/>
        <v>2017.6666666666667</v>
      </c>
      <c r="AF301" s="11">
        <f t="shared" si="317"/>
        <v>2021.1666666666667</v>
      </c>
      <c r="AG301" s="11">
        <f t="shared" si="318"/>
        <v>2016.6666666666667</v>
      </c>
      <c r="AH301" s="11">
        <f t="shared" si="319"/>
        <v>-8.3333333333333329E-2</v>
      </c>
    </row>
    <row r="302" spans="1:34" s="97" customFormat="1">
      <c r="A302" s="97">
        <v>176458</v>
      </c>
      <c r="D302" s="98" t="s">
        <v>311</v>
      </c>
      <c r="E302" s="99">
        <v>2017</v>
      </c>
      <c r="F302" s="97">
        <v>2</v>
      </c>
      <c r="G302" s="100">
        <v>0</v>
      </c>
      <c r="H302" s="100"/>
      <c r="I302" s="99" t="s">
        <v>103</v>
      </c>
      <c r="J302" s="99">
        <v>5</v>
      </c>
      <c r="K302" s="101">
        <f t="shared" si="304"/>
        <v>2022</v>
      </c>
      <c r="L302" s="102"/>
      <c r="M302" s="102"/>
      <c r="N302" s="103">
        <v>937.45</v>
      </c>
      <c r="O302" s="104"/>
      <c r="P302" s="105">
        <f t="shared" ref="P302" si="320">N302-N302*G302</f>
        <v>937.45</v>
      </c>
      <c r="Q302" s="105">
        <f t="shared" ref="Q302" si="321">P302/J302/12</f>
        <v>15.624166666666667</v>
      </c>
      <c r="R302" s="105">
        <f t="shared" ref="R302" si="322">IF(O302&gt;0,0,IF(OR(AD302&gt;AE302,AF302&lt;AG302),0,IF(AND(AF302&gt;=AG302,AF302&lt;=AE302),Q302*((AF302-AG302)*12),IF(AND(AG302&lt;=AD302,AE302&gt;=AD302),((AE302-AD302)*12)*Q302,IF(AF302&gt;AE302,12*Q302,0)))))</f>
        <v>109.36916666669509</v>
      </c>
      <c r="S302" s="105"/>
      <c r="T302" s="105">
        <f t="shared" ref="T302" si="323">IF(S302&gt;0,S302,R302)</f>
        <v>109.36916666669509</v>
      </c>
      <c r="U302" s="105">
        <v>1</v>
      </c>
      <c r="V302" s="105">
        <f t="shared" ref="V302" si="324">U302*SUM(R302:S302)</f>
        <v>109.36916666669509</v>
      </c>
      <c r="W302" s="105"/>
      <c r="X302" s="105">
        <f t="shared" ref="X302" si="325">IF(AD302&gt;AE302,0,IF(AF302&lt;AG302,P302,IF(AND(AF302&gt;=AG302,AF302&lt;=AE302),(P302-T302),IF(AND(AG302&lt;=AD302,AE302&gt;=AD302),0,IF(AF302&gt;AE302,((AG302-AD302)*12)*Q302,0)))))</f>
        <v>0</v>
      </c>
      <c r="Y302" s="105">
        <f t="shared" ref="Y302" si="326">X302*U302</f>
        <v>0</v>
      </c>
      <c r="Z302" s="105">
        <v>1</v>
      </c>
      <c r="AA302" s="105">
        <f t="shared" ref="AA302" si="327">Y302*Z302</f>
        <v>0</v>
      </c>
      <c r="AB302" s="105">
        <f t="shared" ref="AB302" si="328">IF(O302&gt;0,0,AA302+V302*Z302)*Z302</f>
        <v>109.36916666669509</v>
      </c>
      <c r="AC302" s="105">
        <f t="shared" ref="AC302" si="329">IF(O302&gt;0,(N302-AA302)/2,IF(AD302&gt;=AG302,(((N302*U302)*Z302)-AB302)/2,((((N302*U302)*Z302)-AA302)+(((N302*U302)*Z302)-AB302))/2))</f>
        <v>414.0404166666525</v>
      </c>
      <c r="AD302" s="106">
        <f t="shared" si="315"/>
        <v>2017.0833333333333</v>
      </c>
      <c r="AE302" s="106">
        <f t="shared" si="316"/>
        <v>2017.6666666666667</v>
      </c>
      <c r="AF302" s="106">
        <f t="shared" si="317"/>
        <v>2022.0833333333333</v>
      </c>
      <c r="AG302" s="106">
        <f t="shared" si="318"/>
        <v>2016.6666666666667</v>
      </c>
      <c r="AH302" s="106">
        <f t="shared" si="319"/>
        <v>-8.3333333333333329E-2</v>
      </c>
    </row>
    <row r="303" spans="1:34">
      <c r="B303" s="7"/>
      <c r="D303" s="7"/>
      <c r="E303" s="15"/>
      <c r="F303" s="7"/>
      <c r="G303" s="7"/>
      <c r="H303" s="7"/>
      <c r="I303" s="7"/>
      <c r="J303" s="15"/>
      <c r="K303" s="9"/>
      <c r="L303" s="77"/>
      <c r="M303" s="7"/>
      <c r="N303" s="78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7"/>
      <c r="AE303" s="7"/>
      <c r="AF303" s="7"/>
      <c r="AG303" s="7"/>
      <c r="AH303" s="7"/>
    </row>
    <row r="304" spans="1:34">
      <c r="B304" s="7"/>
      <c r="D304" s="47" t="s">
        <v>278</v>
      </c>
      <c r="E304" s="48"/>
      <c r="F304" s="49"/>
      <c r="G304" s="49"/>
      <c r="H304" s="49"/>
      <c r="I304" s="49"/>
      <c r="J304" s="48"/>
      <c r="K304" s="64"/>
      <c r="L304" s="65">
        <f>SUM(L291:L303)</f>
        <v>0</v>
      </c>
      <c r="M304" s="38"/>
      <c r="N304" s="66">
        <f>SUM(N291:N303)</f>
        <v>22196.31</v>
      </c>
      <c r="O304" s="67"/>
      <c r="P304" s="66">
        <f>SUM(P291:P303)</f>
        <v>22196.31</v>
      </c>
      <c r="Q304" s="66">
        <f>SUM(Q291:Q303)</f>
        <v>463.61094444444444</v>
      </c>
      <c r="R304" s="66">
        <f>SUM(R291:R303)</f>
        <v>1817.2801666666951</v>
      </c>
      <c r="S304" s="66"/>
      <c r="T304" s="66">
        <f>SUM(T291:T303)</f>
        <v>1817.2801666666951</v>
      </c>
      <c r="U304" s="66"/>
      <c r="V304" s="66">
        <f>SUM(V291:V303)</f>
        <v>1817.2801666666951</v>
      </c>
      <c r="W304" s="66"/>
      <c r="X304" s="66">
        <f>SUM(X291:X303)</f>
        <v>16503.329333333448</v>
      </c>
      <c r="Y304" s="66">
        <f>SUM(Y291:Y303)</f>
        <v>16503.329333333448</v>
      </c>
      <c r="Z304" s="66"/>
      <c r="AA304" s="66">
        <f>SUM(AA291:AA303)</f>
        <v>16503.329333333448</v>
      </c>
      <c r="AB304" s="66">
        <f>SUM(AB291:AB303)</f>
        <v>18320.609500000144</v>
      </c>
      <c r="AC304" s="66">
        <f>SUM(AC291:AC303)</f>
        <v>4315.6155833332023</v>
      </c>
      <c r="AD304" s="7"/>
      <c r="AE304" s="7"/>
      <c r="AF304" s="7"/>
      <c r="AG304" s="7"/>
      <c r="AH304" s="7"/>
    </row>
    <row r="305" spans="1:34">
      <c r="B305" s="7"/>
      <c r="D305" s="20"/>
      <c r="E305" s="15"/>
      <c r="F305" s="7"/>
      <c r="G305" s="7"/>
      <c r="H305" s="7"/>
      <c r="I305" s="7"/>
      <c r="J305" s="15"/>
      <c r="K305" s="9"/>
      <c r="L305" s="69"/>
      <c r="M305" s="37"/>
      <c r="N305" s="70"/>
      <c r="O305" s="44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"/>
      <c r="AE305" s="7"/>
      <c r="AF305" s="7"/>
      <c r="AG305" s="7"/>
      <c r="AH305" s="7"/>
    </row>
    <row r="306" spans="1:34">
      <c r="B306" s="7"/>
      <c r="D306" s="37" t="s">
        <v>279</v>
      </c>
      <c r="E306" s="15"/>
      <c r="F306" s="7"/>
      <c r="G306" s="7"/>
      <c r="H306" s="7"/>
      <c r="I306" s="7"/>
      <c r="J306" s="15"/>
      <c r="K306" s="9"/>
      <c r="L306" s="82"/>
      <c r="M306" s="7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7"/>
      <c r="AE306" s="7"/>
      <c r="AF306" s="7"/>
      <c r="AG306" s="7"/>
      <c r="AH306" s="7"/>
    </row>
    <row r="307" spans="1:34" s="7" customFormat="1">
      <c r="D307" s="7" t="s">
        <v>280</v>
      </c>
      <c r="E307" s="15">
        <v>2004</v>
      </c>
      <c r="F307" s="7">
        <v>1</v>
      </c>
      <c r="G307" s="56">
        <v>0</v>
      </c>
      <c r="H307" s="56"/>
      <c r="I307" s="15" t="s">
        <v>103</v>
      </c>
      <c r="J307" s="15">
        <v>15</v>
      </c>
      <c r="K307" s="9">
        <f t="shared" ref="K307:K312" si="330">E307+J307</f>
        <v>2019</v>
      </c>
      <c r="L307" s="57"/>
      <c r="M307" s="57"/>
      <c r="N307" s="34">
        <v>107246</v>
      </c>
      <c r="O307" s="44"/>
      <c r="P307" s="35">
        <f t="shared" ref="P307:P312" si="331">N307-N307*G307</f>
        <v>107246</v>
      </c>
      <c r="Q307" s="35">
        <f t="shared" ref="Q307:Q312" si="332">P307/J307/12</f>
        <v>595.81111111111113</v>
      </c>
      <c r="R307" s="35">
        <f t="shared" ref="R307:R312" si="333">IF(O307&gt;0,0,IF(OR(AD307&gt;AE307,AF307&lt;AG307),0,IF(AND(AF307&gt;=AG307,AF307&lt;=AE307),Q307*((AF307-AG307)*12),IF(AND(AG307&lt;=AD307,AE307&gt;=AD307),((AE307-AD307)*12)*Q307,IF(AF307&gt;AE307,12*Q307,0)))))</f>
        <v>7149.7333333333336</v>
      </c>
      <c r="S307" s="35"/>
      <c r="T307" s="35">
        <f t="shared" ref="T307:T312" si="334">IF(S307&gt;0,S307,R307)</f>
        <v>7149.7333333333336</v>
      </c>
      <c r="U307" s="35">
        <v>1</v>
      </c>
      <c r="V307" s="35">
        <f t="shared" ref="V307:V312" si="335">U307*SUM(R307:S307)</f>
        <v>7149.7333333333336</v>
      </c>
      <c r="W307" s="35"/>
      <c r="X307" s="35">
        <f t="shared" ref="X307:X312" si="336">IF(AD307&gt;AE307,0,IF(AF307&lt;AG307,P307,IF(AND(AF307&gt;=AG307,AF307&lt;=AE307),(P307-T307),IF(AND(AG307&lt;=AD307,AE307&gt;=AD307),0,IF(AF307&gt;AE307,((AG307-AD307)*12)*Q307,0)))))</f>
        <v>90563.288888889438</v>
      </c>
      <c r="Y307" s="35">
        <f t="shared" ref="Y307:Y312" si="337">X307*U307</f>
        <v>90563.288888889438</v>
      </c>
      <c r="Z307" s="35">
        <v>1</v>
      </c>
      <c r="AA307" s="35">
        <f t="shared" ref="AA307:AA312" si="338">Y307*Z307</f>
        <v>90563.288888889438</v>
      </c>
      <c r="AB307" s="35">
        <f t="shared" ref="AB307:AB312" si="339">IF(O307&gt;0,0,AA307+V307*Z307)*Z307</f>
        <v>97713.022222222775</v>
      </c>
      <c r="AC307" s="35">
        <f t="shared" ref="AC307:AC312" si="340">IF(O307&gt;0,(N307-AA307)/2,IF(AD307&gt;=AG307,(((N307*U307)*Z307)-AB307)/2,((((N307*U307)*Z307)-AA307)+(((N307*U307)*Z307)-AB307))/2))</f>
        <v>13107.844444443894</v>
      </c>
      <c r="AD307" s="11">
        <f t="shared" ref="AD307:AD318" si="341">$E307+(($F307-1)/12)</f>
        <v>2004</v>
      </c>
      <c r="AE307" s="11">
        <f t="shared" ref="AE307:AE318" si="342">($P$5+1)-($P$2/12)</f>
        <v>2017.6666666666667</v>
      </c>
      <c r="AF307" s="11">
        <f t="shared" ref="AF307:AF318" si="343">$K307+(($F307-1)/12)</f>
        <v>2019</v>
      </c>
      <c r="AG307" s="11">
        <f t="shared" ref="AG307:AG318" si="344">$P$4+($P$3/12)</f>
        <v>2016.6666666666667</v>
      </c>
      <c r="AH307" s="11">
        <f t="shared" ref="AH307:AH318" si="345">$L307+(($M307-1)/12)</f>
        <v>-8.3333333333333329E-2</v>
      </c>
    </row>
    <row r="308" spans="1:34">
      <c r="B308" s="7"/>
      <c r="D308" s="32" t="s">
        <v>281</v>
      </c>
      <c r="E308" s="15">
        <v>2007</v>
      </c>
      <c r="F308" s="7">
        <v>4</v>
      </c>
      <c r="G308" s="56">
        <v>0</v>
      </c>
      <c r="H308" s="56"/>
      <c r="I308" s="15" t="s">
        <v>103</v>
      </c>
      <c r="J308" s="15">
        <v>3</v>
      </c>
      <c r="K308" s="9">
        <f t="shared" si="330"/>
        <v>2010</v>
      </c>
      <c r="L308" s="57"/>
      <c r="M308" s="57"/>
      <c r="N308" s="34">
        <v>5766</v>
      </c>
      <c r="O308" s="44"/>
      <c r="P308" s="35">
        <f t="shared" si="331"/>
        <v>5766</v>
      </c>
      <c r="Q308" s="35">
        <f t="shared" si="332"/>
        <v>160.16666666666666</v>
      </c>
      <c r="R308" s="35">
        <f t="shared" si="333"/>
        <v>0</v>
      </c>
      <c r="S308" s="35"/>
      <c r="T308" s="35">
        <f t="shared" si="334"/>
        <v>0</v>
      </c>
      <c r="U308" s="35">
        <v>1</v>
      </c>
      <c r="V308" s="35">
        <f t="shared" si="335"/>
        <v>0</v>
      </c>
      <c r="W308" s="35"/>
      <c r="X308" s="35">
        <f t="shared" si="336"/>
        <v>5766</v>
      </c>
      <c r="Y308" s="35">
        <f t="shared" si="337"/>
        <v>5766</v>
      </c>
      <c r="Z308" s="35">
        <v>1</v>
      </c>
      <c r="AA308" s="35">
        <f t="shared" si="338"/>
        <v>5766</v>
      </c>
      <c r="AB308" s="35">
        <f t="shared" si="339"/>
        <v>5766</v>
      </c>
      <c r="AC308" s="35">
        <f t="shared" si="340"/>
        <v>0</v>
      </c>
      <c r="AD308" s="11">
        <f t="shared" si="341"/>
        <v>2007.25</v>
      </c>
      <c r="AE308" s="11">
        <f t="shared" si="342"/>
        <v>2017.6666666666667</v>
      </c>
      <c r="AF308" s="11">
        <f t="shared" si="343"/>
        <v>2010.25</v>
      </c>
      <c r="AG308" s="11">
        <f t="shared" si="344"/>
        <v>2016.6666666666667</v>
      </c>
      <c r="AH308" s="11">
        <f t="shared" si="345"/>
        <v>-8.3333333333333329E-2</v>
      </c>
    </row>
    <row r="309" spans="1:34">
      <c r="B309" s="7"/>
      <c r="D309" s="32" t="s">
        <v>282</v>
      </c>
      <c r="E309" s="15">
        <v>2010</v>
      </c>
      <c r="F309" s="7">
        <v>4</v>
      </c>
      <c r="G309" s="56">
        <v>0</v>
      </c>
      <c r="H309" s="56"/>
      <c r="I309" s="15" t="s">
        <v>103</v>
      </c>
      <c r="J309" s="79">
        <v>20</v>
      </c>
      <c r="K309" s="9">
        <f t="shared" si="330"/>
        <v>2030</v>
      </c>
      <c r="L309" s="57"/>
      <c r="M309" s="57"/>
      <c r="N309" s="34">
        <v>7530</v>
      </c>
      <c r="O309" s="44"/>
      <c r="P309" s="35">
        <f t="shared" si="331"/>
        <v>7530</v>
      </c>
      <c r="Q309" s="35">
        <f t="shared" si="332"/>
        <v>31.375</v>
      </c>
      <c r="R309" s="35">
        <f t="shared" si="333"/>
        <v>376.5</v>
      </c>
      <c r="S309" s="35"/>
      <c r="T309" s="35">
        <f t="shared" si="334"/>
        <v>376.5</v>
      </c>
      <c r="U309" s="35">
        <v>1</v>
      </c>
      <c r="V309" s="35">
        <f t="shared" si="335"/>
        <v>376.5</v>
      </c>
      <c r="W309" s="35"/>
      <c r="X309" s="35">
        <f t="shared" si="336"/>
        <v>2415.8750000000286</v>
      </c>
      <c r="Y309" s="35">
        <f t="shared" si="337"/>
        <v>2415.8750000000286</v>
      </c>
      <c r="Z309" s="35">
        <v>1</v>
      </c>
      <c r="AA309" s="35">
        <f t="shared" si="338"/>
        <v>2415.8750000000286</v>
      </c>
      <c r="AB309" s="35">
        <f t="shared" si="339"/>
        <v>2792.3750000000286</v>
      </c>
      <c r="AC309" s="35">
        <f t="shared" si="340"/>
        <v>4925.8749999999709</v>
      </c>
      <c r="AD309" s="11">
        <f t="shared" si="341"/>
        <v>2010.25</v>
      </c>
      <c r="AE309" s="11">
        <f t="shared" si="342"/>
        <v>2017.6666666666667</v>
      </c>
      <c r="AF309" s="11">
        <f t="shared" si="343"/>
        <v>2030.25</v>
      </c>
      <c r="AG309" s="11">
        <f t="shared" si="344"/>
        <v>2016.6666666666667</v>
      </c>
      <c r="AH309" s="11">
        <f t="shared" si="345"/>
        <v>-8.3333333333333329E-2</v>
      </c>
    </row>
    <row r="310" spans="1:34">
      <c r="B310" s="7"/>
      <c r="D310" s="32" t="s">
        <v>283</v>
      </c>
      <c r="E310" s="15">
        <v>2010</v>
      </c>
      <c r="F310" s="7">
        <v>7</v>
      </c>
      <c r="G310" s="56">
        <v>0</v>
      </c>
      <c r="H310" s="56"/>
      <c r="I310" s="15" t="s">
        <v>103</v>
      </c>
      <c r="J310" s="79">
        <v>20</v>
      </c>
      <c r="K310" s="9">
        <f t="shared" si="330"/>
        <v>2030</v>
      </c>
      <c r="L310" s="57"/>
      <c r="M310" s="57"/>
      <c r="N310" s="34">
        <f>33338.77-4363.77</f>
        <v>28974.999999999996</v>
      </c>
      <c r="O310" s="44"/>
      <c r="P310" s="35">
        <f t="shared" si="331"/>
        <v>28974.999999999996</v>
      </c>
      <c r="Q310" s="35">
        <f t="shared" si="332"/>
        <v>120.72916666666664</v>
      </c>
      <c r="R310" s="35">
        <f t="shared" si="333"/>
        <v>1448.7499999999998</v>
      </c>
      <c r="S310" s="35"/>
      <c r="T310" s="35">
        <f t="shared" si="334"/>
        <v>1448.7499999999998</v>
      </c>
      <c r="U310" s="35">
        <v>1</v>
      </c>
      <c r="V310" s="35">
        <f t="shared" si="335"/>
        <v>1448.7499999999998</v>
      </c>
      <c r="W310" s="35"/>
      <c r="X310" s="35">
        <f t="shared" si="336"/>
        <v>8933.9583333334413</v>
      </c>
      <c r="Y310" s="35">
        <f t="shared" si="337"/>
        <v>8933.9583333334413</v>
      </c>
      <c r="Z310" s="35">
        <v>1</v>
      </c>
      <c r="AA310" s="35">
        <f t="shared" si="338"/>
        <v>8933.9583333334413</v>
      </c>
      <c r="AB310" s="35">
        <f t="shared" si="339"/>
        <v>10382.708333333441</v>
      </c>
      <c r="AC310" s="35">
        <f t="shared" si="340"/>
        <v>19316.666666666555</v>
      </c>
      <c r="AD310" s="11">
        <f t="shared" si="341"/>
        <v>2010.5</v>
      </c>
      <c r="AE310" s="11">
        <f t="shared" si="342"/>
        <v>2017.6666666666667</v>
      </c>
      <c r="AF310" s="11">
        <f t="shared" si="343"/>
        <v>2030.5</v>
      </c>
      <c r="AG310" s="11">
        <f t="shared" si="344"/>
        <v>2016.6666666666667</v>
      </c>
      <c r="AH310" s="11">
        <f t="shared" si="345"/>
        <v>-8.3333333333333329E-2</v>
      </c>
    </row>
    <row r="311" spans="1:34">
      <c r="B311" s="7"/>
      <c r="D311" s="32" t="s">
        <v>284</v>
      </c>
      <c r="E311" s="15">
        <v>2011</v>
      </c>
      <c r="F311" s="7">
        <v>8</v>
      </c>
      <c r="G311" s="56">
        <v>0</v>
      </c>
      <c r="H311" s="56"/>
      <c r="I311" s="15" t="s">
        <v>103</v>
      </c>
      <c r="J311" s="79">
        <v>25</v>
      </c>
      <c r="K311" s="9">
        <f t="shared" si="330"/>
        <v>2036</v>
      </c>
      <c r="L311" s="57"/>
      <c r="M311" s="57"/>
      <c r="N311" s="34">
        <f>1599.75+620.92</f>
        <v>2220.67</v>
      </c>
      <c r="O311" s="44"/>
      <c r="P311" s="35">
        <f t="shared" si="331"/>
        <v>2220.67</v>
      </c>
      <c r="Q311" s="35">
        <f t="shared" si="332"/>
        <v>7.4022333333333341</v>
      </c>
      <c r="R311" s="35">
        <f t="shared" si="333"/>
        <v>88.826800000000006</v>
      </c>
      <c r="S311" s="35"/>
      <c r="T311" s="35">
        <f t="shared" si="334"/>
        <v>88.826800000000006</v>
      </c>
      <c r="U311" s="35">
        <v>1</v>
      </c>
      <c r="V311" s="35">
        <f t="shared" si="335"/>
        <v>88.826800000000006</v>
      </c>
      <c r="W311" s="35"/>
      <c r="X311" s="35">
        <f t="shared" si="336"/>
        <v>451.53623333334684</v>
      </c>
      <c r="Y311" s="35">
        <f t="shared" si="337"/>
        <v>451.53623333334684</v>
      </c>
      <c r="Z311" s="35">
        <v>1</v>
      </c>
      <c r="AA311" s="35">
        <f t="shared" si="338"/>
        <v>451.53623333334684</v>
      </c>
      <c r="AB311" s="35">
        <f t="shared" si="339"/>
        <v>540.36303333334683</v>
      </c>
      <c r="AC311" s="35">
        <f t="shared" si="340"/>
        <v>1724.7203666666533</v>
      </c>
      <c r="AD311" s="11">
        <f t="shared" si="341"/>
        <v>2011.5833333333333</v>
      </c>
      <c r="AE311" s="11">
        <f t="shared" si="342"/>
        <v>2017.6666666666667</v>
      </c>
      <c r="AF311" s="11">
        <f t="shared" si="343"/>
        <v>2036.5833333333333</v>
      </c>
      <c r="AG311" s="11">
        <f t="shared" si="344"/>
        <v>2016.6666666666667</v>
      </c>
      <c r="AH311" s="11">
        <f t="shared" si="345"/>
        <v>-8.3333333333333329E-2</v>
      </c>
    </row>
    <row r="312" spans="1:34">
      <c r="B312" s="7"/>
      <c r="D312" s="32" t="s">
        <v>285</v>
      </c>
      <c r="E312" s="15">
        <v>2011</v>
      </c>
      <c r="F312" s="7">
        <v>12</v>
      </c>
      <c r="G312" s="56">
        <v>0</v>
      </c>
      <c r="H312" s="56"/>
      <c r="I312" s="15" t="s">
        <v>103</v>
      </c>
      <c r="J312" s="79">
        <v>12</v>
      </c>
      <c r="K312" s="9">
        <f t="shared" si="330"/>
        <v>2023</v>
      </c>
      <c r="L312" s="57"/>
      <c r="M312" s="57"/>
      <c r="N312" s="34">
        <v>11393</v>
      </c>
      <c r="O312" s="44"/>
      <c r="P312" s="35">
        <f t="shared" si="331"/>
        <v>11393</v>
      </c>
      <c r="Q312" s="35">
        <f t="shared" si="332"/>
        <v>79.118055555555557</v>
      </c>
      <c r="R312" s="35">
        <f t="shared" si="333"/>
        <v>949.41666666666674</v>
      </c>
      <c r="S312" s="35"/>
      <c r="T312" s="35">
        <f t="shared" si="334"/>
        <v>949.41666666666674</v>
      </c>
      <c r="U312" s="35">
        <v>1</v>
      </c>
      <c r="V312" s="35">
        <f t="shared" si="335"/>
        <v>949.41666666666674</v>
      </c>
      <c r="W312" s="35"/>
      <c r="X312" s="35">
        <f t="shared" si="336"/>
        <v>4509.729166666667</v>
      </c>
      <c r="Y312" s="35">
        <f t="shared" si="337"/>
        <v>4509.729166666667</v>
      </c>
      <c r="Z312" s="35">
        <v>1</v>
      </c>
      <c r="AA312" s="35">
        <f t="shared" si="338"/>
        <v>4509.729166666667</v>
      </c>
      <c r="AB312" s="35">
        <f t="shared" si="339"/>
        <v>5459.1458333333339</v>
      </c>
      <c r="AC312" s="35">
        <f t="shared" si="340"/>
        <v>6408.5625</v>
      </c>
      <c r="AD312" s="11">
        <f t="shared" si="341"/>
        <v>2011.9166666666667</v>
      </c>
      <c r="AE312" s="11">
        <f t="shared" si="342"/>
        <v>2017.6666666666667</v>
      </c>
      <c r="AF312" s="11">
        <f t="shared" si="343"/>
        <v>2023.9166666666667</v>
      </c>
      <c r="AG312" s="11">
        <f t="shared" si="344"/>
        <v>2016.6666666666667</v>
      </c>
      <c r="AH312" s="11">
        <f t="shared" si="345"/>
        <v>-8.3333333333333329E-2</v>
      </c>
    </row>
    <row r="313" spans="1:34">
      <c r="B313" s="7"/>
      <c r="D313" s="32" t="s">
        <v>286</v>
      </c>
      <c r="E313" s="15">
        <v>2012</v>
      </c>
      <c r="F313" s="7">
        <v>8</v>
      </c>
      <c r="G313" s="56">
        <v>0</v>
      </c>
      <c r="H313" s="56"/>
      <c r="I313" s="15" t="s">
        <v>103</v>
      </c>
      <c r="J313" s="15">
        <v>25</v>
      </c>
      <c r="K313" s="9">
        <f t="shared" ref="K313:K318" si="346">E313+J313</f>
        <v>2037</v>
      </c>
      <c r="L313" s="57"/>
      <c r="M313" s="57"/>
      <c r="N313" s="34">
        <v>31560</v>
      </c>
      <c r="O313" s="44"/>
      <c r="P313" s="35">
        <f t="shared" ref="P313:P318" si="347">N313-N313*G313</f>
        <v>31560</v>
      </c>
      <c r="Q313" s="35">
        <f t="shared" ref="Q313:Q318" si="348">P313/J313/12</f>
        <v>105.2</v>
      </c>
      <c r="R313" s="35">
        <f t="shared" ref="R313:R318" si="349">IF(O313&gt;0,0,IF(OR(AD313&gt;AE313,AF313&lt;AG313),0,IF(AND(AF313&gt;=AG313,AF313&lt;=AE313),Q313*((AF313-AG313)*12),IF(AND(AG313&lt;=AD313,AE313&gt;=AD313),((AE313-AD313)*12)*Q313,IF(AF313&gt;AE313,12*Q313,0)))))</f>
        <v>1262.4000000000001</v>
      </c>
      <c r="S313" s="35"/>
      <c r="T313" s="35">
        <f t="shared" ref="T313:T318" si="350">IF(S313&gt;0,S313,R313)</f>
        <v>1262.4000000000001</v>
      </c>
      <c r="U313" s="35">
        <v>1</v>
      </c>
      <c r="V313" s="35">
        <f t="shared" ref="V313:V318" si="351">U313*SUM(R313:S313)</f>
        <v>1262.4000000000001</v>
      </c>
      <c r="W313" s="35"/>
      <c r="X313" s="35">
        <f t="shared" ref="X313:X318" si="352">IF(AD313&gt;AE313,0,IF(AF313&lt;AG313,P313,IF(AND(AF313&gt;=AG313,AF313&lt;=AE313),(P313-T313),IF(AND(AG313&lt;=AD313,AE313&gt;=AD313),0,IF(AF313&gt;AE313,((AG313-AD313)*12)*Q313,0)))))</f>
        <v>5154.8000000001912</v>
      </c>
      <c r="Y313" s="35">
        <f t="shared" ref="Y313:Y318" si="353">X313*U313</f>
        <v>5154.8000000001912</v>
      </c>
      <c r="Z313" s="35">
        <v>1</v>
      </c>
      <c r="AA313" s="35">
        <f t="shared" ref="AA313:AA318" si="354">Y313*Z313</f>
        <v>5154.8000000001912</v>
      </c>
      <c r="AB313" s="35">
        <f t="shared" ref="AB313:AB318" si="355">IF(O313&gt;0,0,AA313+V313*Z313)*Z313</f>
        <v>6417.2000000001917</v>
      </c>
      <c r="AC313" s="35">
        <f t="shared" ref="AC313:AC318" si="356">IF(O313&gt;0,(N313-AA313)/2,IF(AD313&gt;=AG313,(((N313*U313)*Z313)-AB313)/2,((((N313*U313)*Z313)-AA313)+(((N313*U313)*Z313)-AB313))/2))</f>
        <v>25773.999999999807</v>
      </c>
      <c r="AD313" s="11">
        <f t="shared" si="341"/>
        <v>2012.5833333333333</v>
      </c>
      <c r="AE313" s="11">
        <f t="shared" si="342"/>
        <v>2017.6666666666667</v>
      </c>
      <c r="AF313" s="11">
        <f t="shared" si="343"/>
        <v>2037.5833333333333</v>
      </c>
      <c r="AG313" s="11">
        <f t="shared" si="344"/>
        <v>2016.6666666666667</v>
      </c>
      <c r="AH313" s="11">
        <f t="shared" si="345"/>
        <v>-8.3333333333333329E-2</v>
      </c>
    </row>
    <row r="314" spans="1:34">
      <c r="B314" s="7">
        <v>107484</v>
      </c>
      <c r="D314" s="32" t="s">
        <v>287</v>
      </c>
      <c r="E314" s="15">
        <v>2013</v>
      </c>
      <c r="F314" s="7">
        <v>8</v>
      </c>
      <c r="G314" s="56">
        <v>0</v>
      </c>
      <c r="H314" s="56"/>
      <c r="I314" s="15" t="s">
        <v>103</v>
      </c>
      <c r="J314" s="15">
        <v>10</v>
      </c>
      <c r="K314" s="9">
        <f t="shared" si="346"/>
        <v>2023</v>
      </c>
      <c r="L314" s="57"/>
      <c r="M314" s="57"/>
      <c r="N314" s="34">
        <v>11556.16</v>
      </c>
      <c r="O314" s="44"/>
      <c r="P314" s="35">
        <f t="shared" si="347"/>
        <v>11556.16</v>
      </c>
      <c r="Q314" s="35">
        <f t="shared" si="348"/>
        <v>96.301333333333332</v>
      </c>
      <c r="R314" s="35">
        <f t="shared" si="349"/>
        <v>1155.616</v>
      </c>
      <c r="S314" s="35"/>
      <c r="T314" s="35">
        <f t="shared" si="350"/>
        <v>1155.616</v>
      </c>
      <c r="U314" s="35">
        <v>1</v>
      </c>
      <c r="V314" s="35">
        <f t="shared" si="351"/>
        <v>1155.616</v>
      </c>
      <c r="W314" s="35"/>
      <c r="X314" s="35">
        <f t="shared" si="352"/>
        <v>3563.1493333335084</v>
      </c>
      <c r="Y314" s="35">
        <f t="shared" si="353"/>
        <v>3563.1493333335084</v>
      </c>
      <c r="Z314" s="35">
        <v>1</v>
      </c>
      <c r="AA314" s="35">
        <f t="shared" si="354"/>
        <v>3563.1493333335084</v>
      </c>
      <c r="AB314" s="35">
        <f t="shared" si="355"/>
        <v>4718.7653333335084</v>
      </c>
      <c r="AC314" s="35">
        <f t="shared" si="356"/>
        <v>7415.2026666664915</v>
      </c>
      <c r="AD314" s="11">
        <f t="shared" si="341"/>
        <v>2013.5833333333333</v>
      </c>
      <c r="AE314" s="11">
        <f t="shared" si="342"/>
        <v>2017.6666666666667</v>
      </c>
      <c r="AF314" s="11">
        <f t="shared" si="343"/>
        <v>2023.5833333333333</v>
      </c>
      <c r="AG314" s="11">
        <f t="shared" si="344"/>
        <v>2016.6666666666667</v>
      </c>
      <c r="AH314" s="11">
        <f t="shared" si="345"/>
        <v>-8.3333333333333329E-2</v>
      </c>
    </row>
    <row r="315" spans="1:34">
      <c r="B315" s="7">
        <v>107856</v>
      </c>
      <c r="D315" s="32" t="s">
        <v>288</v>
      </c>
      <c r="E315" s="15">
        <v>2013</v>
      </c>
      <c r="F315" s="7">
        <v>8</v>
      </c>
      <c r="G315" s="56">
        <v>0</v>
      </c>
      <c r="H315" s="56"/>
      <c r="I315" s="15" t="s">
        <v>103</v>
      </c>
      <c r="J315" s="15">
        <v>10</v>
      </c>
      <c r="K315" s="9">
        <f t="shared" si="346"/>
        <v>2023</v>
      </c>
      <c r="L315" s="57"/>
      <c r="M315" s="57"/>
      <c r="N315" s="34">
        <v>32340</v>
      </c>
      <c r="O315" s="44"/>
      <c r="P315" s="35">
        <f t="shared" si="347"/>
        <v>32340</v>
      </c>
      <c r="Q315" s="35">
        <f t="shared" si="348"/>
        <v>269.5</v>
      </c>
      <c r="R315" s="35">
        <f t="shared" si="349"/>
        <v>3234</v>
      </c>
      <c r="S315" s="35"/>
      <c r="T315" s="35">
        <f t="shared" si="350"/>
        <v>3234</v>
      </c>
      <c r="U315" s="35">
        <v>1</v>
      </c>
      <c r="V315" s="35">
        <f t="shared" si="351"/>
        <v>3234</v>
      </c>
      <c r="W315" s="35"/>
      <c r="X315" s="35">
        <f t="shared" si="352"/>
        <v>9971.5000000004911</v>
      </c>
      <c r="Y315" s="35">
        <f t="shared" si="353"/>
        <v>9971.5000000004911</v>
      </c>
      <c r="Z315" s="35">
        <v>1</v>
      </c>
      <c r="AA315" s="35">
        <f t="shared" si="354"/>
        <v>9971.5000000004911</v>
      </c>
      <c r="AB315" s="35">
        <f t="shared" si="355"/>
        <v>13205.500000000491</v>
      </c>
      <c r="AC315" s="35">
        <f t="shared" si="356"/>
        <v>20751.499999999509</v>
      </c>
      <c r="AD315" s="11">
        <f t="shared" si="341"/>
        <v>2013.5833333333333</v>
      </c>
      <c r="AE315" s="11">
        <f t="shared" si="342"/>
        <v>2017.6666666666667</v>
      </c>
      <c r="AF315" s="11">
        <f t="shared" si="343"/>
        <v>2023.5833333333333</v>
      </c>
      <c r="AG315" s="11">
        <f t="shared" si="344"/>
        <v>2016.6666666666667</v>
      </c>
      <c r="AH315" s="11">
        <f t="shared" si="345"/>
        <v>-8.3333333333333329E-2</v>
      </c>
    </row>
    <row r="316" spans="1:34">
      <c r="A316" s="5">
        <v>124346</v>
      </c>
      <c r="B316" s="7"/>
      <c r="D316" s="32" t="s">
        <v>289</v>
      </c>
      <c r="E316" s="15">
        <v>2015</v>
      </c>
      <c r="F316" s="7">
        <v>7</v>
      </c>
      <c r="G316" s="56">
        <v>0</v>
      </c>
      <c r="H316" s="56"/>
      <c r="I316" s="15" t="s">
        <v>103</v>
      </c>
      <c r="J316" s="15">
        <v>10</v>
      </c>
      <c r="K316" s="9">
        <f t="shared" si="346"/>
        <v>2025</v>
      </c>
      <c r="L316" s="57"/>
      <c r="M316" s="57"/>
      <c r="N316" s="34">
        <v>26050.41</v>
      </c>
      <c r="O316" s="44"/>
      <c r="P316" s="35">
        <f t="shared" si="347"/>
        <v>26050.41</v>
      </c>
      <c r="Q316" s="35">
        <f t="shared" si="348"/>
        <v>217.08675000000002</v>
      </c>
      <c r="R316" s="35">
        <f t="shared" si="349"/>
        <v>2605.0410000000002</v>
      </c>
      <c r="S316" s="35"/>
      <c r="T316" s="35">
        <f t="shared" si="350"/>
        <v>2605.0410000000002</v>
      </c>
      <c r="U316" s="35">
        <v>1</v>
      </c>
      <c r="V316" s="35">
        <f t="shared" si="351"/>
        <v>2605.0410000000002</v>
      </c>
      <c r="W316" s="35"/>
      <c r="X316" s="35">
        <f t="shared" si="352"/>
        <v>3039.2145000001979</v>
      </c>
      <c r="Y316" s="35">
        <f t="shared" si="353"/>
        <v>3039.2145000001979</v>
      </c>
      <c r="Z316" s="35">
        <v>1</v>
      </c>
      <c r="AA316" s="35">
        <f t="shared" si="354"/>
        <v>3039.2145000001979</v>
      </c>
      <c r="AB316" s="35">
        <f t="shared" si="355"/>
        <v>5644.2555000001976</v>
      </c>
      <c r="AC316" s="35">
        <f t="shared" si="356"/>
        <v>21708.674999999799</v>
      </c>
      <c r="AD316" s="11">
        <f t="shared" si="341"/>
        <v>2015.5</v>
      </c>
      <c r="AE316" s="11">
        <f t="shared" si="342"/>
        <v>2017.6666666666667</v>
      </c>
      <c r="AF316" s="11">
        <f t="shared" si="343"/>
        <v>2025.5</v>
      </c>
      <c r="AG316" s="11">
        <f t="shared" si="344"/>
        <v>2016.6666666666667</v>
      </c>
      <c r="AH316" s="11">
        <f t="shared" si="345"/>
        <v>-8.3333333333333329E-2</v>
      </c>
    </row>
    <row r="317" spans="1:34" s="97" customFormat="1">
      <c r="A317" s="97" t="s">
        <v>303</v>
      </c>
      <c r="D317" s="98" t="s">
        <v>304</v>
      </c>
      <c r="E317" s="99">
        <v>2017</v>
      </c>
      <c r="F317" s="97">
        <v>7</v>
      </c>
      <c r="G317" s="100">
        <v>0</v>
      </c>
      <c r="H317" s="100"/>
      <c r="I317" s="99" t="s">
        <v>103</v>
      </c>
      <c r="J317" s="99">
        <v>3</v>
      </c>
      <c r="K317" s="101">
        <f t="shared" si="346"/>
        <v>2020</v>
      </c>
      <c r="L317" s="102"/>
      <c r="M317" s="102"/>
      <c r="N317" s="103">
        <v>344.96</v>
      </c>
      <c r="O317" s="104"/>
      <c r="P317" s="105">
        <f t="shared" si="347"/>
        <v>344.96</v>
      </c>
      <c r="Q317" s="105">
        <f t="shared" si="348"/>
        <v>9.5822222222222226</v>
      </c>
      <c r="R317" s="105">
        <f t="shared" si="349"/>
        <v>19.16444444445316</v>
      </c>
      <c r="S317" s="105"/>
      <c r="T317" s="105">
        <f t="shared" si="350"/>
        <v>19.16444444445316</v>
      </c>
      <c r="U317" s="105">
        <v>1</v>
      </c>
      <c r="V317" s="105">
        <f t="shared" si="351"/>
        <v>19.16444444445316</v>
      </c>
      <c r="W317" s="105"/>
      <c r="X317" s="105">
        <f t="shared" si="352"/>
        <v>0</v>
      </c>
      <c r="Y317" s="105">
        <f t="shared" si="353"/>
        <v>0</v>
      </c>
      <c r="Z317" s="105">
        <v>1</v>
      </c>
      <c r="AA317" s="105">
        <f t="shared" si="354"/>
        <v>0</v>
      </c>
      <c r="AB317" s="105">
        <f t="shared" si="355"/>
        <v>19.16444444445316</v>
      </c>
      <c r="AC317" s="105">
        <f t="shared" si="356"/>
        <v>162.8977777777734</v>
      </c>
      <c r="AD317" s="106">
        <f t="shared" si="341"/>
        <v>2017.5</v>
      </c>
      <c r="AE317" s="106">
        <f t="shared" si="342"/>
        <v>2017.6666666666667</v>
      </c>
      <c r="AF317" s="106">
        <f t="shared" si="343"/>
        <v>2020.5</v>
      </c>
      <c r="AG317" s="106">
        <f t="shared" si="344"/>
        <v>2016.6666666666667</v>
      </c>
      <c r="AH317" s="106">
        <f t="shared" si="345"/>
        <v>-8.3333333333333329E-2</v>
      </c>
    </row>
    <row r="318" spans="1:34" s="97" customFormat="1">
      <c r="A318" s="97">
        <v>184583</v>
      </c>
      <c r="D318" s="98" t="s">
        <v>305</v>
      </c>
      <c r="E318" s="99">
        <v>2017</v>
      </c>
      <c r="F318" s="97">
        <v>7</v>
      </c>
      <c r="G318" s="100">
        <v>0</v>
      </c>
      <c r="H318" s="100"/>
      <c r="I318" s="99" t="s">
        <v>103</v>
      </c>
      <c r="J318" s="99">
        <v>3</v>
      </c>
      <c r="K318" s="101">
        <f t="shared" si="346"/>
        <v>2020</v>
      </c>
      <c r="L318" s="102"/>
      <c r="M318" s="102"/>
      <c r="N318" s="103">
        <v>1046.58</v>
      </c>
      <c r="O318" s="104"/>
      <c r="P318" s="105">
        <f t="shared" si="347"/>
        <v>1046.58</v>
      </c>
      <c r="Q318" s="105">
        <f t="shared" si="348"/>
        <v>29.071666666666662</v>
      </c>
      <c r="R318" s="105">
        <f t="shared" si="349"/>
        <v>58.143333333359763</v>
      </c>
      <c r="S318" s="105"/>
      <c r="T318" s="105">
        <f t="shared" si="350"/>
        <v>58.143333333359763</v>
      </c>
      <c r="U318" s="105">
        <v>1</v>
      </c>
      <c r="V318" s="105">
        <f t="shared" si="351"/>
        <v>58.143333333359763</v>
      </c>
      <c r="W318" s="105"/>
      <c r="X318" s="105">
        <f t="shared" si="352"/>
        <v>0</v>
      </c>
      <c r="Y318" s="105">
        <f t="shared" si="353"/>
        <v>0</v>
      </c>
      <c r="Z318" s="105">
        <v>1</v>
      </c>
      <c r="AA318" s="105">
        <f t="shared" si="354"/>
        <v>0</v>
      </c>
      <c r="AB318" s="105">
        <f t="shared" si="355"/>
        <v>58.143333333359763</v>
      </c>
      <c r="AC318" s="105">
        <f t="shared" si="356"/>
        <v>494.21833333332006</v>
      </c>
      <c r="AD318" s="106">
        <f t="shared" si="341"/>
        <v>2017.5</v>
      </c>
      <c r="AE318" s="106">
        <f t="shared" si="342"/>
        <v>2017.6666666666667</v>
      </c>
      <c r="AF318" s="106">
        <f t="shared" si="343"/>
        <v>2020.5</v>
      </c>
      <c r="AG318" s="106">
        <f t="shared" si="344"/>
        <v>2016.6666666666667</v>
      </c>
      <c r="AH318" s="106">
        <f t="shared" si="345"/>
        <v>-8.3333333333333329E-2</v>
      </c>
    </row>
    <row r="319" spans="1:34">
      <c r="B319" s="7"/>
      <c r="D319" s="7"/>
      <c r="E319" s="15"/>
      <c r="F319" s="7"/>
      <c r="G319" s="7"/>
      <c r="H319" s="7"/>
      <c r="I319" s="7"/>
      <c r="J319" s="15"/>
      <c r="K319" s="9"/>
      <c r="L319" s="82"/>
      <c r="M319" s="7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7"/>
      <c r="AE319" s="7"/>
      <c r="AF319" s="7"/>
      <c r="AG319" s="7"/>
      <c r="AH319" s="7"/>
    </row>
    <row r="320" spans="1:34" s="36" customFormat="1">
      <c r="B320" s="37"/>
      <c r="C320" s="37"/>
      <c r="D320" s="47" t="s">
        <v>290</v>
      </c>
      <c r="E320" s="39"/>
      <c r="F320" s="38"/>
      <c r="G320" s="38"/>
      <c r="H320" s="38"/>
      <c r="I320" s="38"/>
      <c r="J320" s="39"/>
      <c r="K320" s="40"/>
      <c r="L320" s="83"/>
      <c r="M320" s="38"/>
      <c r="N320" s="41">
        <f>SUM(N307:N319)</f>
        <v>266028.78000000003</v>
      </c>
      <c r="O320" s="41"/>
      <c r="P320" s="41">
        <f>SUM(P307:P319)</f>
        <v>266028.78000000003</v>
      </c>
      <c r="Q320" s="41">
        <f>SUM(Q307:Q319)</f>
        <v>1721.3442055555556</v>
      </c>
      <c r="R320" s="41">
        <f>SUM(R307:R319)</f>
        <v>18347.591577777814</v>
      </c>
      <c r="S320" s="41"/>
      <c r="T320" s="41">
        <f>SUM(T307:T319)</f>
        <v>18347.591577777814</v>
      </c>
      <c r="U320" s="41"/>
      <c r="V320" s="41">
        <f>SUM(V307:V319)</f>
        <v>18347.591577777814</v>
      </c>
      <c r="W320" s="41"/>
      <c r="X320" s="41">
        <f>SUM(X307:X319)</f>
        <v>134369.05145555732</v>
      </c>
      <c r="Y320" s="41">
        <f>SUM(Y307:Y319)</f>
        <v>134369.05145555732</v>
      </c>
      <c r="Z320" s="41"/>
      <c r="AA320" s="41">
        <f>SUM(AA307:AA319)</f>
        <v>134369.05145555732</v>
      </c>
      <c r="AB320" s="41">
        <f>SUM(AB307:AB319)</f>
        <v>152716.64303333513</v>
      </c>
      <c r="AC320" s="41">
        <f>SUM(AC307:AC319)</f>
        <v>121790.16275555377</v>
      </c>
      <c r="AD320" s="37"/>
      <c r="AE320" s="37"/>
      <c r="AF320" s="37"/>
      <c r="AG320" s="37"/>
      <c r="AH320" s="37"/>
    </row>
    <row r="321" spans="2:34">
      <c r="B321" s="7"/>
      <c r="D321" s="7"/>
      <c r="E321" s="15"/>
      <c r="F321" s="7"/>
      <c r="G321" s="7"/>
      <c r="H321" s="7"/>
      <c r="I321" s="7"/>
      <c r="J321" s="15"/>
      <c r="K321" s="9"/>
      <c r="L321" s="82"/>
      <c r="M321" s="7"/>
      <c r="N321" s="82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</row>
    <row r="322" spans="2:34">
      <c r="B322" s="7"/>
      <c r="D322" s="7"/>
      <c r="E322" s="15"/>
      <c r="F322" s="7"/>
      <c r="G322" s="7"/>
      <c r="H322" s="7"/>
      <c r="I322" s="7"/>
      <c r="J322" s="15"/>
      <c r="K322" s="9"/>
      <c r="L322" s="82"/>
      <c r="M322" s="7"/>
      <c r="N322" s="82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</row>
    <row r="323" spans="2:34" ht="12" thickBot="1">
      <c r="D323" s="84" t="s">
        <v>291</v>
      </c>
      <c r="E323" s="85"/>
      <c r="F323" s="86"/>
      <c r="G323" s="86"/>
      <c r="H323" s="86"/>
      <c r="I323" s="86"/>
      <c r="J323" s="85"/>
      <c r="K323" s="87"/>
      <c r="L323" s="88"/>
      <c r="M323" s="86"/>
      <c r="N323" s="89">
        <f>N320+N304+N289+N264+N258+N224+N206+N62+N236</f>
        <v>3375612.7050000001</v>
      </c>
      <c r="O323" s="86"/>
      <c r="P323" s="89">
        <f>P320+P304+P289+P264+P258+P224+P206+P62+P236</f>
        <v>2909036.3947000001</v>
      </c>
      <c r="Q323" s="89">
        <f>Q320+Q304+Q289+Q264+Q258+Q224+Q206+Q62+Q236</f>
        <v>33042.477998968257</v>
      </c>
      <c r="R323" s="89">
        <f>R320+R304+R289+R264+R258+R224+R206+R62+R236</f>
        <v>195749.52890515781</v>
      </c>
      <c r="S323" s="86"/>
      <c r="T323" s="89">
        <f>T320+T304+T289+T264+T258+T224+T206+T62+T236</f>
        <v>195749.52890515781</v>
      </c>
      <c r="U323" s="86"/>
      <c r="V323" s="89">
        <f>V320+V304+V289+V264+V258+V224+V206+V62+V236</f>
        <v>195749.52890515781</v>
      </c>
      <c r="W323" s="86"/>
      <c r="X323" s="89">
        <f>X320+X304+X289+X264+X258+X224+X206+X62+X236</f>
        <v>1808566.6852825489</v>
      </c>
      <c r="Y323" s="89">
        <f>Y320+Y304+Y289+Y264+Y258+Y224+Y206+Y62+Y236</f>
        <v>1808566.6852825489</v>
      </c>
      <c r="Z323" s="86"/>
      <c r="AA323" s="89">
        <f>AA320+AA304+AA289+AA264+AA258+AA224+AA206+AA62+AA236</f>
        <v>1924220.0535047711</v>
      </c>
      <c r="AB323" s="89">
        <f>AB320+AB304+AB289+AB264+AB258+AB224+AB206+AB62+AB236</f>
        <v>2119969.582409929</v>
      </c>
      <c r="AC323" s="89">
        <f>AC320+AC304+AC289+AC264+AC258+AC224+AC206+AC62+AC236</f>
        <v>1294129.48204265</v>
      </c>
    </row>
    <row r="324" spans="2:34" ht="12" thickTop="1">
      <c r="E324" s="90"/>
      <c r="G324" s="5"/>
      <c r="J324" s="90"/>
      <c r="L324" s="92"/>
      <c r="N324" s="92"/>
    </row>
    <row r="325" spans="2:34">
      <c r="E325" s="90"/>
      <c r="G325" s="5"/>
      <c r="J325" s="90"/>
      <c r="L325" s="92"/>
      <c r="N325" s="92"/>
    </row>
    <row r="326" spans="2:34">
      <c r="E326" s="90"/>
      <c r="G326" s="5"/>
      <c r="J326" s="90"/>
      <c r="L326" s="92"/>
      <c r="N326" s="92"/>
    </row>
    <row r="329" spans="2:34">
      <c r="AA329" s="36"/>
    </row>
    <row r="330" spans="2:34">
      <c r="D330" s="36"/>
      <c r="G330" s="5"/>
      <c r="H330" s="36"/>
      <c r="K330" s="94"/>
      <c r="N330" s="5"/>
      <c r="AA330" s="36"/>
    </row>
    <row r="331" spans="2:34">
      <c r="E331" s="95"/>
      <c r="F331" s="95"/>
      <c r="G331" s="95"/>
      <c r="I331" s="95"/>
      <c r="J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AB331" s="95"/>
      <c r="AC331" s="95"/>
      <c r="AD331" s="95"/>
      <c r="AE331" s="95"/>
      <c r="AF331" s="95"/>
      <c r="AG331" s="95"/>
      <c r="AH331" s="95"/>
    </row>
    <row r="332" spans="2:34">
      <c r="E332" s="95"/>
      <c r="F332" s="95"/>
      <c r="G332" s="95"/>
      <c r="I332" s="95"/>
      <c r="J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AB332" s="95"/>
      <c r="AC332" s="95"/>
      <c r="AD332" s="95"/>
      <c r="AE332" s="95"/>
      <c r="AF332" s="95"/>
      <c r="AG332" s="95"/>
      <c r="AH332" s="95"/>
    </row>
    <row r="333" spans="2:34">
      <c r="E333" s="95"/>
      <c r="F333" s="95"/>
      <c r="G333" s="95"/>
      <c r="I333" s="95"/>
      <c r="J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AB333" s="95"/>
      <c r="AC333" s="95"/>
      <c r="AD333" s="95"/>
      <c r="AE333" s="95"/>
      <c r="AF333" s="95"/>
      <c r="AG333" s="95"/>
      <c r="AH333" s="95"/>
    </row>
    <row r="334" spans="2:34">
      <c r="E334" s="95"/>
      <c r="F334" s="95"/>
      <c r="G334" s="95"/>
      <c r="I334" s="95"/>
      <c r="J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AB334" s="95"/>
      <c r="AC334" s="95"/>
      <c r="AD334" s="95"/>
      <c r="AE334" s="95"/>
      <c r="AF334" s="95"/>
      <c r="AG334" s="95"/>
      <c r="AH334" s="95"/>
    </row>
    <row r="335" spans="2:34">
      <c r="E335" s="95"/>
      <c r="F335" s="95"/>
      <c r="G335" s="95"/>
      <c r="I335" s="95"/>
      <c r="J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AB335" s="95"/>
      <c r="AC335" s="95"/>
      <c r="AD335" s="95"/>
      <c r="AE335" s="95"/>
      <c r="AF335" s="95"/>
      <c r="AG335" s="95"/>
      <c r="AH335" s="95"/>
    </row>
    <row r="336" spans="2:34">
      <c r="E336" s="95"/>
      <c r="F336" s="95"/>
      <c r="G336" s="95"/>
      <c r="I336" s="95"/>
      <c r="J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AB336" s="95"/>
      <c r="AC336" s="95"/>
      <c r="AD336" s="95"/>
      <c r="AE336" s="95"/>
      <c r="AF336" s="95"/>
      <c r="AG336" s="95"/>
      <c r="AH336" s="95"/>
    </row>
    <row r="337" spans="4:34">
      <c r="E337" s="95"/>
      <c r="F337" s="95"/>
      <c r="G337" s="95"/>
      <c r="I337" s="95"/>
      <c r="J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AA337" s="36"/>
      <c r="AB337" s="96"/>
      <c r="AC337" s="96"/>
      <c r="AD337" s="96"/>
      <c r="AE337" s="96"/>
      <c r="AF337" s="96"/>
      <c r="AG337" s="96"/>
      <c r="AH337" s="96"/>
    </row>
    <row r="338" spans="4:34">
      <c r="D338" s="36"/>
      <c r="E338" s="96"/>
      <c r="F338" s="96"/>
      <c r="G338" s="96"/>
      <c r="H338" s="36"/>
      <c r="I338" s="96"/>
      <c r="J338" s="96"/>
      <c r="K338" s="94"/>
      <c r="L338" s="96"/>
      <c r="M338" s="96"/>
      <c r="N338" s="96"/>
      <c r="O338" s="96"/>
      <c r="P338" s="96"/>
      <c r="Q338" s="96"/>
      <c r="R338" s="96"/>
      <c r="S338" s="96"/>
      <c r="T338" s="96"/>
      <c r="U338" s="96"/>
    </row>
    <row r="339" spans="4:34">
      <c r="K339" s="94"/>
      <c r="L339" s="96"/>
      <c r="M339" s="96"/>
      <c r="N339" s="96"/>
      <c r="O339" s="96"/>
      <c r="P339" s="96"/>
      <c r="Q339" s="96"/>
      <c r="R339" s="96"/>
      <c r="AB339" s="95"/>
      <c r="AD339" s="95"/>
      <c r="AE339" s="95"/>
      <c r="AF339" s="95"/>
      <c r="AG339" s="95"/>
      <c r="AH339" s="95"/>
    </row>
    <row r="340" spans="4:34">
      <c r="AB340" s="95"/>
      <c r="AD340" s="95"/>
      <c r="AE340" s="95"/>
      <c r="AF340" s="95"/>
      <c r="AG340" s="95"/>
      <c r="AH340" s="95"/>
    </row>
    <row r="341" spans="4:34">
      <c r="AB341" s="95"/>
      <c r="AD341" s="95"/>
      <c r="AE341" s="95"/>
      <c r="AF341" s="95"/>
      <c r="AG341" s="95"/>
      <c r="AH341" s="95"/>
    </row>
    <row r="342" spans="4:34">
      <c r="AD342" s="95"/>
      <c r="AE342" s="95"/>
      <c r="AF342" s="95"/>
      <c r="AG342" s="95"/>
      <c r="AH342" s="95"/>
    </row>
    <row r="343" spans="4:34">
      <c r="AB343" s="95"/>
      <c r="AD343" s="95"/>
      <c r="AE343" s="95"/>
      <c r="AF343" s="95"/>
      <c r="AG343" s="95"/>
      <c r="AH343" s="95"/>
    </row>
  </sheetData>
  <mergeCells count="3">
    <mergeCell ref="F1:G1"/>
    <mergeCell ref="F2:G2"/>
    <mergeCell ref="B3:C3"/>
  </mergeCells>
  <pageMargins left="0.25" right="0.25" top="0.75" bottom="0.75" header="0.3" footer="0.3"/>
  <pageSetup scale="61" fitToHeight="5" orientation="landscape" r:id="rId1"/>
  <headerFooter alignWithMargins="0"/>
  <rowBreaks count="3" manualBreakCount="3">
    <brk id="63" min="1" max="33" man="1"/>
    <brk id="209" min="1" max="33" man="1"/>
    <brk id="258" min="1" max="3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2B8D58CC5AF254A96613606D8590740" ma:contentTypeVersion="76" ma:contentTypeDescription="" ma:contentTypeScope="" ma:versionID="1549edb702239468212a096ffcb5ca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2018-02-14T08:00:00+00:00</OpenedDate>
    <SignificantOrder xmlns="dc463f71-b30c-4ab2-9473-d307f9d35888">false</SignificantOrder>
    <Date1 xmlns="dc463f71-b30c-4ab2-9473-d307f9d35888">2018-02-14T08:00:00+00:00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</CaseCompanyNames>
    <Nickname xmlns="http://schemas.microsoft.com/sharepoint/v3" xsi:nil="true"/>
    <DocketNumber xmlns="dc463f71-b30c-4ab2-9473-d307f9d35888">180153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852694-BE7B-4CA3-9750-AF2B056AA624}"/>
</file>

<file path=customXml/itemProps2.xml><?xml version="1.0" encoding="utf-8"?>
<ds:datastoreItem xmlns:ds="http://schemas.openxmlformats.org/officeDocument/2006/customXml" ds:itemID="{4C2E3610-0574-4E5D-A886-21EF66A0969B}"/>
</file>

<file path=customXml/itemProps3.xml><?xml version="1.0" encoding="utf-8"?>
<ds:datastoreItem xmlns:ds="http://schemas.openxmlformats.org/officeDocument/2006/customXml" ds:itemID="{7AB859D8-6109-4C00-9F2F-B6D7A15BEC94}"/>
</file>

<file path=customXml/itemProps4.xml><?xml version="1.0" encoding="utf-8"?>
<ds:datastoreItem xmlns:ds="http://schemas.openxmlformats.org/officeDocument/2006/customXml" ds:itemID="{DCCA8704-3794-457D-B61E-2F11F2F77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2120 Depr Summary</vt:lpstr>
      <vt:lpstr>Truck Depr - w Salvage </vt:lpstr>
      <vt:lpstr>Depr - Cont, Shop, Serv, Office</vt:lpstr>
      <vt:lpstr>2120 Depr - Orig</vt:lpstr>
      <vt:lpstr>'2120 Depr - Orig'!Print_Area</vt:lpstr>
      <vt:lpstr>'2120 Depr Summary'!Print_Area</vt:lpstr>
      <vt:lpstr>'Depr - Cont, Shop, Serv, Office'!Print_Area</vt:lpstr>
      <vt:lpstr>'Truck Depr - w Salvage '!Print_Area</vt:lpstr>
      <vt:lpstr>'2120 Depr - Orig'!Print_Area_MI</vt:lpstr>
      <vt:lpstr>'Depr - Cont, Shop, Serv, Office'!Print_Area_MI</vt:lpstr>
      <vt:lpstr>'Truck Depr - w Salvage '!Print_Area_MI</vt:lpstr>
      <vt:lpstr>'2120 Depr - Orig'!Print_Titles</vt:lpstr>
      <vt:lpstr>'2120 Depr Summary'!Print_Titles</vt:lpstr>
      <vt:lpstr>'Depr - Cont, Shop, Serv, Office'!Print_Titles</vt:lpstr>
      <vt:lpstr>'Truck Depr - w Salvage '!Print_Titles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Heather Garland</cp:lastModifiedBy>
  <cp:lastPrinted>2018-02-14T23:51:40Z</cp:lastPrinted>
  <dcterms:created xsi:type="dcterms:W3CDTF">2016-07-18T18:31:56Z</dcterms:created>
  <dcterms:modified xsi:type="dcterms:W3CDTF">2018-02-14T23:51:53Z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0x0101006E56B4D1795A2E4DB2F0B01679ED314A0052B8D58CC5AF254A96613606D8590740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