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H:\This Week\2. Tuesday\TG-180059 Harold LeMay2\"/>
    </mc:Choice>
  </mc:AlternateContent>
  <bookViews>
    <workbookView xWindow="-15" yWindow="-15" windowWidth="6915" windowHeight="4560" tabRatio="691"/>
  </bookViews>
  <sheets>
    <sheet name="References" sheetId="5" r:id="rId1"/>
    <sheet name="Disposal Calc" sheetId="6" r:id="rId2"/>
    <sheet name="Rate Sheet" sheetId="3" r:id="rId3"/>
    <sheet name="2180 (Reg.) - Price Out " sheetId="1" r:id="rId4"/>
    <sheet name="PCR Disposal" sheetId="2" r:id="rId5"/>
    <sheet name="EQR Disposal" sheetId="4" r:id="rId6"/>
  </sheets>
  <externalReferences>
    <externalReference r:id="rId7"/>
    <externalReference r:id="rId8"/>
    <externalReference r:id="rId9"/>
    <externalReference r:id="rId10"/>
  </externalReferences>
  <definedNames>
    <definedName name="_ACT1">[1]Hidden!#REF!</definedName>
    <definedName name="_ACT2">[1]Hidden!#REF!</definedName>
    <definedName name="_ACT3">[1]Hidden!#REF!</definedName>
    <definedName name="ACCT">[1]Hidden!#REF!</definedName>
    <definedName name="ACT_CUR">[1]Hidden!#REF!</definedName>
    <definedName name="ACT_YTD">[1]Hidden!#REF!</definedName>
    <definedName name="AmountCount">#REF!</definedName>
    <definedName name="AmountTotal">#REF!</definedName>
    <definedName name="BREMAIR_COST_of_SERVICE_STUDY">#REF!</definedName>
    <definedName name="BUD_CUR">[1]Hidden!#REF!</definedName>
    <definedName name="BUD_YTD">[1]Hidden!#REF!</definedName>
    <definedName name="CheckTotals">#REF!</definedName>
    <definedName name="CRCTable">#REF!</definedName>
    <definedName name="CRCTableOLD">#REF!</definedName>
    <definedName name="CriteriaType">[2]ControlPanel!$Z$2:$Z$5</definedName>
    <definedName name="Cutomers">#REF!</definedName>
    <definedName name="_xlnm.Database">#REF!</definedName>
    <definedName name="Database1">#REF!</definedName>
    <definedName name="DEPT">[1]Hidden!#REF!</definedName>
    <definedName name="DistrictNum">#REF!</definedName>
    <definedName name="End">#REF!</definedName>
    <definedName name="FBTable">#REF!</definedName>
    <definedName name="FBTableOld">#REF!</definedName>
    <definedName name="GLMappingStart">#REF!</definedName>
    <definedName name="IncomeStmnt">#REF!</definedName>
    <definedName name="INPUT">#REF!</definedName>
    <definedName name="Insurance">#REF!</definedName>
    <definedName name="JEDetail">#REF!</definedName>
    <definedName name="JEType">#REF!</definedName>
    <definedName name="lblBillAreaStatus">#REF!</definedName>
    <definedName name="lblBillCycleStatus">#REF!</definedName>
    <definedName name="lblCategoryStatus">#REF!</definedName>
    <definedName name="lblCompanyStatus">#REF!</definedName>
    <definedName name="lblDatabaseStatus">#REF!</definedName>
    <definedName name="lblPullStatus">#REF!</definedName>
    <definedName name="lllllllllllllllllllll">#REF!</definedName>
    <definedName name="MainDataEnd">#REF!</definedName>
    <definedName name="MainDataStart">#REF!</definedName>
    <definedName name="MapKeyStart">#REF!</definedName>
    <definedName name="master_def">#REF!</definedName>
    <definedName name="NewOnlyOrg">#N/A</definedName>
    <definedName name="NOTES">#REF!</definedName>
    <definedName name="OfficerSalary">#N/A</definedName>
    <definedName name="OffsetAcctBil">[3]JEexport!$L$10</definedName>
    <definedName name="OffsetAcctPmt">[3]JEexport!$L$9</definedName>
    <definedName name="Org11_13">#N/A</definedName>
    <definedName name="Org7_10">#N/A</definedName>
    <definedName name="PAGE_1">#REF!</definedName>
    <definedName name="pBatchID">#REF!</definedName>
    <definedName name="pBillArea">#REF!</definedName>
    <definedName name="pBillCycle">#REF!</definedName>
    <definedName name="pCategory">#REF!</definedName>
    <definedName name="pCompany">#REF!</definedName>
    <definedName name="pCustomerNumber">#REF!</definedName>
    <definedName name="pDatabase">#REF!</definedName>
    <definedName name="pEndPostDate">#REF!</definedName>
    <definedName name="Period">#REF!</definedName>
    <definedName name="pMonth">#REF!</definedName>
    <definedName name="pOnlyShowLastTranx">#REF!</definedName>
    <definedName name="_xlnm.Print_Area" localSheetId="3">'2180 (Reg.) - Price Out '!$B$3:$S$221</definedName>
    <definedName name="_xlnm.Print_Area" localSheetId="1">'Disposal Calc'!$A$1:$R$157</definedName>
    <definedName name="_xlnm.Print_Area" localSheetId="4">'PCR Disposal'!$A$1:$V$25</definedName>
    <definedName name="_xlnm.Print_Area">#REF!</definedName>
    <definedName name="Print_Area_MI">#REF!</definedName>
    <definedName name="Print_Area1">#REF!</definedName>
    <definedName name="Print_Area2">#REF!</definedName>
    <definedName name="Print_Area3">#REF!</definedName>
    <definedName name="Print_Area5">#REF!</definedName>
    <definedName name="_xlnm.Print_Titles" localSheetId="3">'2180 (Reg.) - Price Out '!$B:$B,'2180 (Reg.) - Price Out '!$1:$6</definedName>
    <definedName name="_xlnm.Print_Titles" localSheetId="1">'Disposal Calc'!$1:$7</definedName>
    <definedName name="_xlnm.Print_Titles" localSheetId="2">'Rate Sheet'!$1:$6</definedName>
    <definedName name="Print1">#REF!</definedName>
    <definedName name="Print2">#REF!</definedName>
    <definedName name="Print5">#REF!</definedName>
    <definedName name="pServer">#REF!</definedName>
    <definedName name="pServiceCode">#REF!</definedName>
    <definedName name="pShowAllUnposted">#REF!</definedName>
    <definedName name="pShowCustomerDetail">#REF!</definedName>
    <definedName name="pSortOption">#REF!</definedName>
    <definedName name="pStartPostDate">#REF!</definedName>
    <definedName name="pTransType">#REF!</definedName>
    <definedName name="RCW_81.04.080">#N/A</definedName>
    <definedName name="RecyDisposal">#N/A</definedName>
    <definedName name="RelatedSalary">#N/A</definedName>
    <definedName name="ReportNames">[2]ControlPanel!$X$2:$X$8</definedName>
    <definedName name="RetainedEarnings">#REF!</definedName>
    <definedName name="RevCust">[4]RevenuesCust!#REF!</definedName>
    <definedName name="sortcol">#REF!</definedName>
    <definedName name="SWDisposal">#N/A</definedName>
    <definedName name="TemplateEnd">#REF!</definedName>
    <definedName name="TemplateStart">#REF!</definedName>
    <definedName name="TheTable">#REF!</definedName>
    <definedName name="TheTableOLD">#REF!</definedName>
    <definedName name="Transactions">#REF!</definedName>
    <definedName name="WTable">#REF!</definedName>
    <definedName name="WTableOld">#REF!</definedName>
    <definedName name="xtabin">[1]Hidden!#REF!</definedName>
    <definedName name="xx">#REF!</definedName>
    <definedName name="YWMedWasteDisp">#N/A</definedName>
  </definedNames>
  <calcPr calcId="152511" concurrentManualCount="4"/>
</workbook>
</file>

<file path=xl/calcChain.xml><?xml version="1.0" encoding="utf-8"?>
<calcChain xmlns="http://schemas.openxmlformats.org/spreadsheetml/2006/main">
  <c r="G55" i="5" l="1"/>
  <c r="M100" i="6" l="1"/>
  <c r="M99" i="6"/>
  <c r="M95" i="6"/>
  <c r="M94" i="6"/>
  <c r="D110" i="3"/>
  <c r="M101" i="6" l="1"/>
  <c r="M102" i="6"/>
  <c r="M96" i="6"/>
  <c r="M97" i="6"/>
  <c r="M98" i="6"/>
  <c r="M89" i="6"/>
  <c r="M90" i="6"/>
  <c r="M91" i="6"/>
  <c r="M92" i="6"/>
  <c r="M93" i="6"/>
  <c r="M88" i="6"/>
  <c r="G96" i="6"/>
  <c r="G93" i="6"/>
  <c r="G92" i="6"/>
  <c r="G91" i="6"/>
  <c r="G90" i="6"/>
  <c r="G89" i="6"/>
  <c r="G88" i="6"/>
  <c r="G87" i="6"/>
  <c r="E93" i="6"/>
  <c r="G128" i="6" l="1"/>
  <c r="I208" i="1"/>
  <c r="F128" i="6"/>
  <c r="G122" i="6"/>
  <c r="G121" i="6"/>
  <c r="G107" i="6"/>
  <c r="G104" i="6"/>
  <c r="F33" i="5"/>
  <c r="E33" i="5"/>
  <c r="G106" i="6" s="1"/>
  <c r="D33" i="5"/>
  <c r="C33" i="5"/>
  <c r="G49" i="6"/>
  <c r="G48" i="6"/>
  <c r="G47" i="6"/>
  <c r="G46" i="6"/>
  <c r="G45" i="6"/>
  <c r="G44" i="6"/>
  <c r="G43" i="6"/>
  <c r="G39" i="6"/>
  <c r="G42" i="6"/>
  <c r="G41" i="6"/>
  <c r="G40" i="6"/>
  <c r="G37" i="6"/>
  <c r="G20" i="6"/>
  <c r="M38" i="6"/>
  <c r="G38" i="6"/>
  <c r="G51" i="6" l="1"/>
  <c r="G50" i="6"/>
  <c r="M118" i="6" l="1"/>
  <c r="M119" i="6"/>
  <c r="M120" i="6"/>
  <c r="M117" i="6"/>
  <c r="M116" i="6"/>
  <c r="M115" i="6"/>
  <c r="M148" i="6" l="1"/>
  <c r="M147" i="6"/>
  <c r="M146" i="6"/>
  <c r="M145" i="6"/>
  <c r="M144" i="6"/>
  <c r="M143" i="6"/>
  <c r="M142" i="6"/>
  <c r="M141" i="6"/>
  <c r="M140" i="6"/>
  <c r="M139" i="6"/>
  <c r="M138" i="6"/>
  <c r="M137" i="6"/>
  <c r="M136" i="6"/>
  <c r="M135" i="6"/>
  <c r="M130" i="6"/>
  <c r="M129" i="6"/>
  <c r="M128" i="6"/>
  <c r="M127" i="6"/>
  <c r="M126" i="6"/>
  <c r="M122" i="6"/>
  <c r="M121" i="6"/>
  <c r="M113" i="6"/>
  <c r="M114" i="6" s="1"/>
  <c r="M112" i="6"/>
  <c r="M111" i="6"/>
  <c r="M110" i="6"/>
  <c r="M109" i="6"/>
  <c r="M108" i="6"/>
  <c r="M105" i="6"/>
  <c r="M104" i="6"/>
  <c r="M103" i="6"/>
  <c r="M87" i="6"/>
  <c r="M86" i="6"/>
  <c r="M80" i="6"/>
  <c r="M81" i="6"/>
  <c r="M82" i="6"/>
  <c r="M83" i="6"/>
  <c r="M84" i="6"/>
  <c r="M79" i="6"/>
  <c r="M78" i="6"/>
  <c r="M77" i="6"/>
  <c r="M76" i="6"/>
  <c r="M75" i="6"/>
  <c r="M74" i="6"/>
  <c r="M73" i="6"/>
  <c r="M72" i="6"/>
  <c r="M71" i="6"/>
  <c r="M70" i="6"/>
  <c r="M69" i="6"/>
  <c r="M68" i="6"/>
  <c r="M67" i="6"/>
  <c r="M66" i="6"/>
  <c r="M65" i="6"/>
  <c r="M64" i="6"/>
  <c r="M63" i="6"/>
  <c r="M62" i="6"/>
  <c r="M61" i="6"/>
  <c r="M60" i="6"/>
  <c r="M59" i="6"/>
  <c r="M58" i="6"/>
  <c r="M57" i="6"/>
  <c r="M56" i="6"/>
  <c r="M55" i="6" l="1"/>
  <c r="M54" i="6"/>
  <c r="M53" i="6"/>
  <c r="M51" i="6"/>
  <c r="M50" i="6"/>
  <c r="M45" i="6"/>
  <c r="M47" i="6" s="1"/>
  <c r="M49" i="6" s="1"/>
  <c r="M44" i="6"/>
  <c r="M46" i="6" s="1"/>
  <c r="M48" i="6" s="1"/>
  <c r="M43" i="6"/>
  <c r="M42" i="6"/>
  <c r="M41" i="6"/>
  <c r="M40" i="6"/>
  <c r="M39" i="6"/>
  <c r="M37" i="6"/>
  <c r="M35" i="6"/>
  <c r="M34" i="6"/>
  <c r="M36" i="6" s="1"/>
  <c r="M33" i="6"/>
  <c r="M32" i="6"/>
  <c r="M31" i="6"/>
  <c r="M30" i="6"/>
  <c r="M28" i="6"/>
  <c r="M27" i="6"/>
  <c r="M29" i="6" s="1"/>
  <c r="M26" i="6"/>
  <c r="M25" i="6"/>
  <c r="M24" i="6"/>
  <c r="M23" i="6"/>
  <c r="M21" i="6"/>
  <c r="M22" i="6" s="1"/>
  <c r="M20" i="6"/>
  <c r="M19" i="6"/>
  <c r="M18" i="6"/>
  <c r="M17" i="6"/>
  <c r="M16" i="6"/>
  <c r="M15" i="6"/>
  <c r="M14" i="6"/>
  <c r="M13" i="6"/>
  <c r="M12" i="6"/>
  <c r="M11" i="6"/>
  <c r="M10" i="6"/>
  <c r="M8" i="6"/>
  <c r="M9" i="6"/>
  <c r="M85" i="6" l="1"/>
  <c r="G114" i="6" l="1"/>
  <c r="G113" i="6"/>
  <c r="G112" i="6"/>
  <c r="G110" i="6"/>
  <c r="G108" i="6"/>
  <c r="G105" i="6"/>
  <c r="G86" i="6"/>
  <c r="G143" i="6"/>
  <c r="G142" i="6"/>
  <c r="G141" i="6"/>
  <c r="G140" i="6"/>
  <c r="O143" i="6"/>
  <c r="O142" i="6"/>
  <c r="O141" i="6"/>
  <c r="O140" i="6"/>
  <c r="O148" i="6"/>
  <c r="O147" i="6"/>
  <c r="O146" i="6"/>
  <c r="O145" i="6"/>
  <c r="O144" i="6"/>
  <c r="G148" i="6"/>
  <c r="G147" i="6"/>
  <c r="G146" i="6"/>
  <c r="G145" i="6"/>
  <c r="G144" i="6"/>
  <c r="O139" i="6"/>
  <c r="O138" i="6"/>
  <c r="O137" i="6"/>
  <c r="O136" i="6"/>
  <c r="O135" i="6"/>
  <c r="G139" i="6"/>
  <c r="G138" i="6"/>
  <c r="G137" i="6"/>
  <c r="G136" i="6"/>
  <c r="G135" i="6"/>
  <c r="G22" i="6" l="1"/>
  <c r="G19" i="6"/>
  <c r="G18" i="6"/>
  <c r="G17" i="6"/>
  <c r="G16" i="6"/>
  <c r="G14" i="6"/>
  <c r="G15" i="6"/>
  <c r="G65" i="6" l="1"/>
  <c r="G70" i="6"/>
  <c r="G78" i="6"/>
  <c r="G77" i="6"/>
  <c r="G76" i="6"/>
  <c r="G75" i="6"/>
  <c r="G120" i="6"/>
  <c r="G119" i="6"/>
  <c r="G118" i="6"/>
  <c r="G117" i="6"/>
  <c r="G116" i="6"/>
  <c r="G115" i="6"/>
  <c r="G111" i="6"/>
  <c r="G109" i="6"/>
  <c r="G102" i="6"/>
  <c r="G101" i="6"/>
  <c r="G100" i="6"/>
  <c r="G99" i="6"/>
  <c r="G98" i="6"/>
  <c r="G97" i="6"/>
  <c r="G95" i="6"/>
  <c r="G94" i="6"/>
  <c r="G103" i="6" s="1"/>
  <c r="G85" i="6"/>
  <c r="G74" i="6"/>
  <c r="G73" i="6"/>
  <c r="G72" i="6"/>
  <c r="G71" i="6"/>
  <c r="G69" i="6"/>
  <c r="G84" i="6" s="1"/>
  <c r="G68" i="6"/>
  <c r="G67" i="6"/>
  <c r="G66" i="6"/>
  <c r="G83" i="6" s="1"/>
  <c r="G64" i="6"/>
  <c r="G63" i="6"/>
  <c r="G62" i="6"/>
  <c r="G82" i="6" s="1"/>
  <c r="G61" i="6"/>
  <c r="G60" i="6"/>
  <c r="G59" i="6"/>
  <c r="G81" i="6" s="1"/>
  <c r="G58" i="6"/>
  <c r="G57" i="6"/>
  <c r="G56" i="6"/>
  <c r="G80" i="6" s="1"/>
  <c r="G55" i="6"/>
  <c r="G79" i="6" s="1"/>
  <c r="G54" i="6"/>
  <c r="G53" i="6"/>
  <c r="G130" i="6"/>
  <c r="G129" i="6"/>
  <c r="C130" i="6"/>
  <c r="C129" i="6"/>
  <c r="G127" i="6"/>
  <c r="G126" i="6"/>
  <c r="D128" i="6"/>
  <c r="C128" i="6"/>
  <c r="C127" i="6"/>
  <c r="C126" i="6"/>
  <c r="G36" i="6"/>
  <c r="G35" i="6"/>
  <c r="G34" i="6"/>
  <c r="G33" i="6"/>
  <c r="G32" i="6"/>
  <c r="G31" i="6"/>
  <c r="G30" i="6"/>
  <c r="G29" i="6"/>
  <c r="G28" i="6"/>
  <c r="G27" i="6"/>
  <c r="G26" i="6"/>
  <c r="G25" i="6"/>
  <c r="G24" i="6"/>
  <c r="G23" i="6"/>
  <c r="G21" i="6"/>
  <c r="G13" i="6"/>
  <c r="G12" i="6"/>
  <c r="G11" i="6"/>
  <c r="G10" i="6"/>
  <c r="G9" i="6"/>
  <c r="G8"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O128" i="6" l="1"/>
  <c r="H128" i="6"/>
  <c r="E55" i="5"/>
  <c r="E54" i="5"/>
  <c r="D56" i="5"/>
  <c r="B56" i="5"/>
  <c r="C55" i="5"/>
  <c r="G54" i="5"/>
  <c r="G57" i="5" s="1"/>
  <c r="G59" i="5" s="1"/>
  <c r="C54" i="5"/>
  <c r="G13" i="5"/>
  <c r="B13" i="5"/>
  <c r="B12" i="5"/>
  <c r="B11" i="5"/>
  <c r="G11" i="5" s="1"/>
  <c r="B10" i="5"/>
  <c r="B9" i="5"/>
  <c r="B8" i="5"/>
  <c r="E92" i="6" s="1"/>
  <c r="C7" i="5"/>
  <c r="B7" i="5"/>
  <c r="G7" i="5" s="1"/>
  <c r="E9" i="5" l="1"/>
  <c r="E91" i="6"/>
  <c r="E96" i="6"/>
  <c r="E90" i="6"/>
  <c r="E88" i="6"/>
  <c r="E89" i="6"/>
  <c r="E146" i="6"/>
  <c r="E145" i="6"/>
  <c r="E81" i="6"/>
  <c r="E120" i="6"/>
  <c r="E116" i="6"/>
  <c r="E112" i="6"/>
  <c r="E108" i="6"/>
  <c r="E110" i="6"/>
  <c r="E84" i="6"/>
  <c r="E80" i="6"/>
  <c r="E119" i="6"/>
  <c r="E115" i="6"/>
  <c r="E111" i="6"/>
  <c r="E105" i="6"/>
  <c r="E114" i="6"/>
  <c r="E83" i="6"/>
  <c r="E79" i="6"/>
  <c r="E122" i="6"/>
  <c r="E118" i="6"/>
  <c r="E104" i="6"/>
  <c r="E128" i="6"/>
  <c r="E82" i="6"/>
  <c r="E121" i="6"/>
  <c r="E117" i="6"/>
  <c r="E113" i="6"/>
  <c r="E109" i="6"/>
  <c r="E103" i="6"/>
  <c r="E51" i="6"/>
  <c r="E49" i="6"/>
  <c r="E45" i="6"/>
  <c r="E41" i="6"/>
  <c r="E37" i="6"/>
  <c r="E47" i="6"/>
  <c r="E43" i="6"/>
  <c r="E46" i="6"/>
  <c r="E38" i="6"/>
  <c r="E48" i="6"/>
  <c r="E44" i="6"/>
  <c r="E40" i="6"/>
  <c r="E39" i="6"/>
  <c r="E42" i="6"/>
  <c r="E50" i="6"/>
  <c r="E7" i="5"/>
  <c r="C13" i="5"/>
  <c r="E13" i="5"/>
  <c r="H11" i="5"/>
  <c r="J11" i="5"/>
  <c r="M106" i="6"/>
  <c r="M107" i="6"/>
  <c r="E107" i="6"/>
  <c r="E106" i="6"/>
  <c r="E77" i="6"/>
  <c r="E100" i="6"/>
  <c r="E94" i="6"/>
  <c r="E86" i="6"/>
  <c r="E56" i="6"/>
  <c r="E32" i="6"/>
  <c r="E25" i="6"/>
  <c r="E21" i="6"/>
  <c r="E17" i="6"/>
  <c r="E13" i="6"/>
  <c r="E70" i="6"/>
  <c r="E99" i="6"/>
  <c r="E85" i="6"/>
  <c r="E59" i="6"/>
  <c r="E127" i="6"/>
  <c r="E20" i="6"/>
  <c r="E16" i="6"/>
  <c r="E12" i="6"/>
  <c r="E75" i="6"/>
  <c r="E62" i="6"/>
  <c r="E130" i="6"/>
  <c r="E126" i="6"/>
  <c r="E19" i="6"/>
  <c r="E15" i="6"/>
  <c r="E9" i="6"/>
  <c r="E95" i="6"/>
  <c r="E87" i="6"/>
  <c r="E69" i="6"/>
  <c r="E66" i="6"/>
  <c r="E53" i="6"/>
  <c r="E129" i="6"/>
  <c r="E33" i="6"/>
  <c r="E26" i="6"/>
  <c r="E22" i="6"/>
  <c r="E18" i="6"/>
  <c r="E14" i="6"/>
  <c r="E8" i="6"/>
  <c r="C11" i="5"/>
  <c r="H13" i="5"/>
  <c r="E23" i="6"/>
  <c r="E31" i="6"/>
  <c r="E11" i="6"/>
  <c r="E30" i="6"/>
  <c r="E10" i="6"/>
  <c r="E24" i="6"/>
  <c r="H9" i="5"/>
  <c r="J9" i="5"/>
  <c r="E72" i="6"/>
  <c r="E64" i="6"/>
  <c r="E68" i="6"/>
  <c r="E55" i="6"/>
  <c r="E58" i="6"/>
  <c r="E61" i="6"/>
  <c r="C9" i="5"/>
  <c r="F12" i="5"/>
  <c r="E102" i="6"/>
  <c r="E29" i="6"/>
  <c r="E101" i="6"/>
  <c r="E36" i="6"/>
  <c r="E28" i="6"/>
  <c r="E98" i="6"/>
  <c r="E35" i="6"/>
  <c r="E27" i="6"/>
  <c r="E97" i="6"/>
  <c r="E34" i="6"/>
  <c r="H7" i="5"/>
  <c r="J7" i="5"/>
  <c r="E65" i="6"/>
  <c r="E74" i="6"/>
  <c r="H8" i="5"/>
  <c r="J8" i="5"/>
  <c r="E73" i="6"/>
  <c r="G9" i="5"/>
  <c r="E11" i="5"/>
  <c r="H10" i="5"/>
  <c r="J10" i="5"/>
  <c r="E60" i="6"/>
  <c r="E76" i="6"/>
  <c r="E63" i="6"/>
  <c r="E71" i="6"/>
  <c r="E78" i="6"/>
  <c r="E67" i="6"/>
  <c r="E54" i="6"/>
  <c r="E57" i="6"/>
  <c r="B61" i="5"/>
  <c r="B62" i="5" s="1"/>
  <c r="B57" i="5"/>
  <c r="D61" i="5"/>
  <c r="D109" i="3"/>
  <c r="E109" i="3" s="1"/>
  <c r="C61" i="5"/>
  <c r="C62" i="5" s="1"/>
  <c r="D57" i="5"/>
  <c r="D111" i="3"/>
  <c r="E111" i="3" s="1"/>
  <c r="E56" i="5"/>
  <c r="C56" i="5"/>
  <c r="F8" i="5"/>
  <c r="D10" i="5"/>
  <c r="F10" i="5"/>
  <c r="D12" i="5"/>
  <c r="H12" i="5"/>
  <c r="D7" i="5"/>
  <c r="F7" i="5"/>
  <c r="C8" i="5"/>
  <c r="E8" i="5"/>
  <c r="G8" i="5"/>
  <c r="D9" i="5"/>
  <c r="F9" i="5"/>
  <c r="C10" i="5"/>
  <c r="E10" i="5"/>
  <c r="G10" i="5"/>
  <c r="D11" i="5"/>
  <c r="F11" i="5"/>
  <c r="C12" i="5"/>
  <c r="E12" i="5"/>
  <c r="G12" i="5"/>
  <c r="D13" i="5"/>
  <c r="F13" i="5"/>
  <c r="D8" i="5"/>
  <c r="D106" i="3" l="1"/>
  <c r="E106" i="3" s="1"/>
  <c r="L97" i="1" l="1"/>
  <c r="E11" i="4"/>
  <c r="E12" i="4"/>
  <c r="E13" i="4"/>
  <c r="E14" i="4"/>
  <c r="E15" i="4"/>
  <c r="E16" i="4"/>
  <c r="E17" i="4"/>
  <c r="E18" i="4"/>
  <c r="E19" i="4"/>
  <c r="E20" i="4"/>
  <c r="E21" i="4"/>
  <c r="E10" i="4"/>
  <c r="C22" i="4"/>
  <c r="E22" i="4" l="1"/>
  <c r="B29" i="4"/>
  <c r="B36" i="4" s="1"/>
  <c r="B22" i="4"/>
  <c r="I207" i="1"/>
  <c r="I206" i="1"/>
  <c r="I215" i="1"/>
  <c r="D130" i="6" s="1"/>
  <c r="F130" i="6" s="1"/>
  <c r="I214" i="1"/>
  <c r="K216" i="1"/>
  <c r="M216" i="1" s="1"/>
  <c r="K213" i="1"/>
  <c r="M213" i="1" s="1"/>
  <c r="K212" i="1"/>
  <c r="M212" i="1" s="1"/>
  <c r="K211" i="1"/>
  <c r="M211" i="1" s="1"/>
  <c r="K210" i="1"/>
  <c r="M210" i="1" s="1"/>
  <c r="K208" i="1"/>
  <c r="M208" i="1" s="1"/>
  <c r="H130" i="6" l="1"/>
  <c r="O130" i="6"/>
  <c r="H206" i="1"/>
  <c r="D126" i="6"/>
  <c r="F126" i="6" s="1"/>
  <c r="H214" i="1"/>
  <c r="K214" i="1" s="1"/>
  <c r="M214" i="1" s="1"/>
  <c r="D129" i="6"/>
  <c r="F129" i="6" s="1"/>
  <c r="H215" i="1"/>
  <c r="K215" i="1" s="1"/>
  <c r="M215" i="1" s="1"/>
  <c r="B24" i="4"/>
  <c r="M219" i="1" s="1"/>
  <c r="C63" i="5"/>
  <c r="H207" i="1"/>
  <c r="K207" i="1" s="1"/>
  <c r="M207" i="1" s="1"/>
  <c r="D127" i="6"/>
  <c r="F127" i="6" s="1"/>
  <c r="B30" i="4"/>
  <c r="V12" i="2"/>
  <c r="R11" i="2"/>
  <c r="S11" i="2" s="1"/>
  <c r="L129" i="1"/>
  <c r="L126" i="1"/>
  <c r="L125" i="1"/>
  <c r="L123" i="1"/>
  <c r="L124" i="1" s="1"/>
  <c r="L121" i="1"/>
  <c r="L122" i="1" s="1"/>
  <c r="L105" i="1"/>
  <c r="L104" i="1"/>
  <c r="L103" i="1"/>
  <c r="L102" i="1"/>
  <c r="L25" i="1"/>
  <c r="O6" i="1" l="1"/>
  <c r="H127" i="6"/>
  <c r="O127" i="6"/>
  <c r="E154" i="6"/>
  <c r="E155" i="6" s="1"/>
  <c r="C64" i="5"/>
  <c r="D131" i="6"/>
  <c r="O126" i="6"/>
  <c r="O129" i="6"/>
  <c r="H129" i="6"/>
  <c r="K206" i="1"/>
  <c r="M206" i="1" s="1"/>
  <c r="M218" i="1" s="1"/>
  <c r="M220" i="1" s="1"/>
  <c r="V14" i="2"/>
  <c r="P6" i="1" s="1"/>
  <c r="B32" i="4"/>
  <c r="O203" i="1"/>
  <c r="D87" i="2"/>
  <c r="C87" i="2"/>
  <c r="B87" i="2"/>
  <c r="E86" i="2"/>
  <c r="F86" i="2" s="1"/>
  <c r="E85" i="2"/>
  <c r="F85" i="2" s="1"/>
  <c r="E84" i="2"/>
  <c r="F84" i="2" s="1"/>
  <c r="E83" i="2"/>
  <c r="F83" i="2" s="1"/>
  <c r="E82" i="2"/>
  <c r="F82" i="2" s="1"/>
  <c r="E81" i="2"/>
  <c r="F81" i="2" s="1"/>
  <c r="E80" i="2"/>
  <c r="F80" i="2" s="1"/>
  <c r="E79" i="2"/>
  <c r="F79" i="2" s="1"/>
  <c r="E78" i="2"/>
  <c r="F78" i="2" s="1"/>
  <c r="E77" i="2"/>
  <c r="F77" i="2" s="1"/>
  <c r="E76" i="2"/>
  <c r="F76" i="2" s="1"/>
  <c r="E75" i="2"/>
  <c r="F75" i="2" s="1"/>
  <c r="M65" i="2"/>
  <c r="L65" i="2"/>
  <c r="K65" i="2"/>
  <c r="J65" i="2"/>
  <c r="I65" i="2"/>
  <c r="H65" i="2"/>
  <c r="G65" i="2"/>
  <c r="F65" i="2"/>
  <c r="E65" i="2"/>
  <c r="D65" i="2"/>
  <c r="C65" i="2"/>
  <c r="B65" i="2"/>
  <c r="N63" i="2"/>
  <c r="M61" i="2"/>
  <c r="L61" i="2"/>
  <c r="K61" i="2"/>
  <c r="J61" i="2"/>
  <c r="I61" i="2"/>
  <c r="H61" i="2"/>
  <c r="G61" i="2"/>
  <c r="F61" i="2"/>
  <c r="E61" i="2"/>
  <c r="D61" i="2"/>
  <c r="C61" i="2"/>
  <c r="B61" i="2"/>
  <c r="N59" i="2"/>
  <c r="M52" i="2"/>
  <c r="M57" i="2" s="1"/>
  <c r="M66" i="2" s="1"/>
  <c r="L52" i="2"/>
  <c r="L57" i="2" s="1"/>
  <c r="L66" i="2" s="1"/>
  <c r="K52" i="2"/>
  <c r="K57" i="2" s="1"/>
  <c r="K66" i="2" s="1"/>
  <c r="J52" i="2"/>
  <c r="I52" i="2"/>
  <c r="I57" i="2" s="1"/>
  <c r="I66" i="2" s="1"/>
  <c r="H52" i="2"/>
  <c r="H57" i="2" s="1"/>
  <c r="H66" i="2" s="1"/>
  <c r="G52" i="2"/>
  <c r="G57" i="2" s="1"/>
  <c r="G66" i="2" s="1"/>
  <c r="F52" i="2"/>
  <c r="F57" i="2" s="1"/>
  <c r="F66" i="2" s="1"/>
  <c r="E52" i="2"/>
  <c r="E57" i="2" s="1"/>
  <c r="E66" i="2" s="1"/>
  <c r="D52" i="2"/>
  <c r="D57" i="2" s="1"/>
  <c r="D66" i="2" s="1"/>
  <c r="C52" i="2"/>
  <c r="C57" i="2" s="1"/>
  <c r="C66" i="2" s="1"/>
  <c r="B52" i="2"/>
  <c r="M50" i="2"/>
  <c r="L50" i="2"/>
  <c r="K50" i="2"/>
  <c r="J50" i="2"/>
  <c r="I50" i="2"/>
  <c r="H50" i="2"/>
  <c r="G50" i="2"/>
  <c r="F50" i="2"/>
  <c r="E50" i="2"/>
  <c r="D50" i="2"/>
  <c r="C50" i="2"/>
  <c r="B50" i="2"/>
  <c r="N48" i="2"/>
  <c r="M46" i="2"/>
  <c r="L46" i="2"/>
  <c r="K46" i="2"/>
  <c r="J46" i="2"/>
  <c r="I46" i="2"/>
  <c r="H46" i="2"/>
  <c r="G46" i="2"/>
  <c r="F46" i="2"/>
  <c r="E46" i="2"/>
  <c r="D46" i="2"/>
  <c r="C46" i="2"/>
  <c r="B46" i="2"/>
  <c r="N44" i="2"/>
  <c r="M42" i="2"/>
  <c r="L42" i="2"/>
  <c r="K42" i="2"/>
  <c r="J42" i="2"/>
  <c r="I42" i="2"/>
  <c r="H42" i="2"/>
  <c r="G42" i="2"/>
  <c r="F42" i="2"/>
  <c r="E42" i="2"/>
  <c r="D42" i="2"/>
  <c r="C42" i="2"/>
  <c r="B42" i="2"/>
  <c r="N40" i="2"/>
  <c r="N38" i="2"/>
  <c r="J29" i="2"/>
  <c r="J57" i="2" s="1"/>
  <c r="J66" i="2" s="1"/>
  <c r="N27" i="2"/>
  <c r="M27" i="2"/>
  <c r="L27" i="2"/>
  <c r="K27" i="2"/>
  <c r="J27" i="2"/>
  <c r="I27" i="2"/>
  <c r="H27" i="2"/>
  <c r="G27" i="2"/>
  <c r="F27" i="2"/>
  <c r="E27" i="2"/>
  <c r="D27" i="2"/>
  <c r="C27" i="2"/>
  <c r="B27" i="2"/>
  <c r="M20" i="2"/>
  <c r="M24" i="2" s="1"/>
  <c r="L20" i="2"/>
  <c r="L24" i="2" s="1"/>
  <c r="K20" i="2"/>
  <c r="K24" i="2" s="1"/>
  <c r="J20" i="2"/>
  <c r="J24" i="2" s="1"/>
  <c r="I20" i="2"/>
  <c r="I24" i="2" s="1"/>
  <c r="H20" i="2"/>
  <c r="H24" i="2" s="1"/>
  <c r="G20" i="2"/>
  <c r="G24" i="2" s="1"/>
  <c r="F20" i="2"/>
  <c r="F24" i="2" s="1"/>
  <c r="E20" i="2"/>
  <c r="E24" i="2" s="1"/>
  <c r="D20" i="2"/>
  <c r="D24" i="2" s="1"/>
  <c r="C20" i="2"/>
  <c r="C24" i="2" s="1"/>
  <c r="B20" i="2"/>
  <c r="M18" i="2"/>
  <c r="L18" i="2"/>
  <c r="K18" i="2"/>
  <c r="J18" i="2"/>
  <c r="I18" i="2"/>
  <c r="H18" i="2"/>
  <c r="G18" i="2"/>
  <c r="F18" i="2"/>
  <c r="E18" i="2"/>
  <c r="D18" i="2"/>
  <c r="C18" i="2"/>
  <c r="B18" i="2"/>
  <c r="N14" i="2"/>
  <c r="M12" i="2"/>
  <c r="L12" i="2"/>
  <c r="K12" i="2"/>
  <c r="J12" i="2"/>
  <c r="I12" i="2"/>
  <c r="H12" i="2"/>
  <c r="G12" i="2"/>
  <c r="F12" i="2"/>
  <c r="E12" i="2"/>
  <c r="D12" i="2"/>
  <c r="C12" i="2"/>
  <c r="B12" i="2"/>
  <c r="N8" i="2"/>
  <c r="H195" i="1"/>
  <c r="I195" i="1" s="1"/>
  <c r="H194" i="1"/>
  <c r="C193" i="1"/>
  <c r="H193" i="1" s="1"/>
  <c r="I193" i="1" s="1"/>
  <c r="H192" i="1"/>
  <c r="C191" i="1"/>
  <c r="H191" i="1" s="1"/>
  <c r="H190" i="1"/>
  <c r="I190" i="1" s="1"/>
  <c r="H189" i="1"/>
  <c r="K189" i="1" s="1"/>
  <c r="H188" i="1"/>
  <c r="H187" i="1"/>
  <c r="K187" i="1" s="1"/>
  <c r="H186" i="1"/>
  <c r="H185" i="1"/>
  <c r="K185" i="1" s="1"/>
  <c r="G184" i="1"/>
  <c r="F184" i="1"/>
  <c r="G183" i="1"/>
  <c r="H182" i="1"/>
  <c r="C181" i="1"/>
  <c r="H181" i="1" s="1"/>
  <c r="H180" i="1"/>
  <c r="I180" i="1" s="1"/>
  <c r="C179" i="1"/>
  <c r="H179" i="1" s="1"/>
  <c r="H178" i="1"/>
  <c r="G177" i="1"/>
  <c r="C177" i="1"/>
  <c r="C176" i="1"/>
  <c r="H176" i="1" s="1"/>
  <c r="G175" i="1"/>
  <c r="C175" i="1"/>
  <c r="D174" i="1"/>
  <c r="C174" i="1" s="1"/>
  <c r="D173" i="1"/>
  <c r="C173" i="1" s="1"/>
  <c r="D172" i="1"/>
  <c r="D171" i="1"/>
  <c r="C171" i="1" s="1"/>
  <c r="C170" i="1"/>
  <c r="H170" i="1" s="1"/>
  <c r="C169" i="1"/>
  <c r="H169" i="1" s="1"/>
  <c r="G168" i="1"/>
  <c r="D168" i="1"/>
  <c r="C168" i="1"/>
  <c r="D167" i="1"/>
  <c r="C167" i="1"/>
  <c r="D166" i="1"/>
  <c r="C166" i="1"/>
  <c r="D165" i="1"/>
  <c r="H164" i="1"/>
  <c r="D163" i="1"/>
  <c r="C163" i="1" s="1"/>
  <c r="D160" i="1"/>
  <c r="C159" i="1"/>
  <c r="H159" i="1" s="1"/>
  <c r="C158" i="1"/>
  <c r="H158" i="1" s="1"/>
  <c r="C157" i="1"/>
  <c r="H157" i="1" s="1"/>
  <c r="D156" i="1"/>
  <c r="C155" i="1"/>
  <c r="C156" i="1" s="1"/>
  <c r="H154" i="1"/>
  <c r="K154" i="1" s="1"/>
  <c r="M154" i="1" s="1"/>
  <c r="H153" i="1"/>
  <c r="I153" i="1" s="1"/>
  <c r="H152" i="1"/>
  <c r="C151" i="1"/>
  <c r="H151" i="1" s="1"/>
  <c r="C150" i="1"/>
  <c r="H150" i="1" s="1"/>
  <c r="H149" i="1"/>
  <c r="I149" i="1" s="1"/>
  <c r="D114" i="6" s="1"/>
  <c r="F114" i="6" s="1"/>
  <c r="H148" i="1"/>
  <c r="I148" i="1" s="1"/>
  <c r="D113" i="6" s="1"/>
  <c r="F113" i="6" s="1"/>
  <c r="H147" i="1"/>
  <c r="K147" i="1" s="1"/>
  <c r="H146" i="1"/>
  <c r="I146" i="1" s="1"/>
  <c r="D111" i="6" s="1"/>
  <c r="F111" i="6" s="1"/>
  <c r="H145" i="1"/>
  <c r="G144" i="1"/>
  <c r="F144" i="1"/>
  <c r="H143" i="1"/>
  <c r="H142" i="1"/>
  <c r="K142" i="1" s="1"/>
  <c r="H141" i="1"/>
  <c r="I141" i="1" s="1"/>
  <c r="D108" i="6" s="1"/>
  <c r="F108" i="6" s="1"/>
  <c r="H138" i="1"/>
  <c r="K138" i="1" s="1"/>
  <c r="H137" i="1"/>
  <c r="K137" i="1" s="1"/>
  <c r="H136" i="1"/>
  <c r="I136" i="1" s="1"/>
  <c r="D103" i="6" s="1"/>
  <c r="F103" i="6" s="1"/>
  <c r="D135" i="1"/>
  <c r="C135" i="1"/>
  <c r="H134" i="1"/>
  <c r="K134" i="1" s="1"/>
  <c r="M134" i="1" s="1"/>
  <c r="D132" i="1"/>
  <c r="C132" i="1"/>
  <c r="C133" i="1" s="1"/>
  <c r="D131" i="1"/>
  <c r="C131" i="1"/>
  <c r="H130" i="1"/>
  <c r="I130" i="1" s="1"/>
  <c r="D97" i="6" s="1"/>
  <c r="F97" i="6" s="1"/>
  <c r="O97" i="6" s="1"/>
  <c r="C129" i="1"/>
  <c r="C128" i="1"/>
  <c r="D127" i="1"/>
  <c r="H127" i="1" s="1"/>
  <c r="K127" i="1" s="1"/>
  <c r="M127" i="1" s="1"/>
  <c r="D126" i="1"/>
  <c r="C126" i="1"/>
  <c r="C140" i="1" s="1"/>
  <c r="D125" i="1"/>
  <c r="C125" i="1"/>
  <c r="C139" i="1" s="1"/>
  <c r="D123" i="1"/>
  <c r="D124" i="1" s="1"/>
  <c r="C123" i="1"/>
  <c r="C124" i="1" s="1"/>
  <c r="G122" i="1"/>
  <c r="F122" i="1"/>
  <c r="D121" i="1"/>
  <c r="D122" i="1" s="1"/>
  <c r="C121" i="1"/>
  <c r="C122" i="1" s="1"/>
  <c r="F120" i="1"/>
  <c r="H119" i="1"/>
  <c r="K119" i="1" s="1"/>
  <c r="M119" i="1" s="1"/>
  <c r="H118" i="1"/>
  <c r="K118" i="1" s="1"/>
  <c r="M118" i="1" s="1"/>
  <c r="G117" i="1"/>
  <c r="C117" i="1"/>
  <c r="C116" i="1"/>
  <c r="H116" i="1" s="1"/>
  <c r="C115" i="1"/>
  <c r="H115" i="1" s="1"/>
  <c r="C114" i="1"/>
  <c r="H114" i="1" s="1"/>
  <c r="C113" i="1"/>
  <c r="H113" i="1" s="1"/>
  <c r="C112" i="1"/>
  <c r="H112" i="1" s="1"/>
  <c r="G111" i="1"/>
  <c r="H111" i="1" s="1"/>
  <c r="K111" i="1" s="1"/>
  <c r="H110" i="1"/>
  <c r="K110" i="1" s="1"/>
  <c r="H109" i="1"/>
  <c r="K109" i="1" s="1"/>
  <c r="H108" i="1"/>
  <c r="K108" i="1" s="1"/>
  <c r="H107" i="1"/>
  <c r="K107" i="1" s="1"/>
  <c r="H106" i="1"/>
  <c r="K106" i="1" s="1"/>
  <c r="D104" i="1"/>
  <c r="C104" i="1"/>
  <c r="C105" i="1" s="1"/>
  <c r="D103" i="1"/>
  <c r="C103" i="1"/>
  <c r="D102" i="1"/>
  <c r="C102" i="1"/>
  <c r="G96" i="1"/>
  <c r="F96" i="1"/>
  <c r="D96" i="1"/>
  <c r="C96" i="1"/>
  <c r="C97" i="1" s="1"/>
  <c r="G93" i="1"/>
  <c r="F93" i="1"/>
  <c r="D93" i="1"/>
  <c r="C93" i="1"/>
  <c r="C94" i="1" s="1"/>
  <c r="C95" i="1" s="1"/>
  <c r="D92" i="1"/>
  <c r="C92" i="1"/>
  <c r="G89" i="1"/>
  <c r="F89" i="1"/>
  <c r="D89" i="1"/>
  <c r="C89" i="1"/>
  <c r="C90" i="1" s="1"/>
  <c r="C91" i="1" s="1"/>
  <c r="G86" i="1"/>
  <c r="F86" i="1"/>
  <c r="D86" i="1"/>
  <c r="C86" i="1"/>
  <c r="C87" i="1" s="1"/>
  <c r="C88" i="1" s="1"/>
  <c r="G83" i="1"/>
  <c r="F83" i="1"/>
  <c r="D83" i="1"/>
  <c r="C83" i="1"/>
  <c r="C84" i="1" s="1"/>
  <c r="C85" i="1" s="1"/>
  <c r="G80" i="1"/>
  <c r="F80" i="1"/>
  <c r="E80" i="1"/>
  <c r="D80" i="1"/>
  <c r="C80" i="1"/>
  <c r="C81" i="1" s="1"/>
  <c r="C82" i="1" s="1"/>
  <c r="H72" i="1"/>
  <c r="F71" i="1"/>
  <c r="C71" i="1"/>
  <c r="F70" i="1"/>
  <c r="C70" i="1"/>
  <c r="C69" i="1"/>
  <c r="H69" i="1" s="1"/>
  <c r="C68" i="1"/>
  <c r="H68" i="1" s="1"/>
  <c r="G67" i="1"/>
  <c r="F67" i="1"/>
  <c r="C67" i="1"/>
  <c r="C66" i="1"/>
  <c r="H66" i="1" s="1"/>
  <c r="H65" i="1"/>
  <c r="K65" i="1" s="1"/>
  <c r="H64" i="1"/>
  <c r="H63" i="1"/>
  <c r="K63" i="1" s="1"/>
  <c r="H62" i="1"/>
  <c r="C61" i="1"/>
  <c r="H61" i="1" s="1"/>
  <c r="G60" i="1"/>
  <c r="F60" i="1"/>
  <c r="C60" i="1"/>
  <c r="D59" i="1"/>
  <c r="D58" i="1"/>
  <c r="D54" i="1"/>
  <c r="C53" i="1"/>
  <c r="H53" i="1" s="1"/>
  <c r="H52" i="1"/>
  <c r="H51" i="1"/>
  <c r="I51" i="1" s="1"/>
  <c r="D48" i="6" s="1"/>
  <c r="F48" i="6" s="1"/>
  <c r="O48" i="6" s="1"/>
  <c r="D50" i="1"/>
  <c r="C50" i="1"/>
  <c r="D49" i="1"/>
  <c r="C49" i="1"/>
  <c r="H48" i="1"/>
  <c r="K48" i="1" s="1"/>
  <c r="H47" i="1"/>
  <c r="I47" i="1" s="1"/>
  <c r="D44" i="6" s="1"/>
  <c r="F44" i="6" s="1"/>
  <c r="H46" i="1"/>
  <c r="K46" i="1" s="1"/>
  <c r="H45" i="1"/>
  <c r="I45" i="1" s="1"/>
  <c r="D42" i="6" s="1"/>
  <c r="F42" i="6" s="1"/>
  <c r="F44" i="1"/>
  <c r="H44" i="1" s="1"/>
  <c r="K44" i="1" s="1"/>
  <c r="H43" i="1"/>
  <c r="K43" i="1" s="1"/>
  <c r="G42" i="1"/>
  <c r="F42" i="1"/>
  <c r="H41" i="1"/>
  <c r="I41" i="1" s="1"/>
  <c r="D38" i="6" s="1"/>
  <c r="F38" i="6" s="1"/>
  <c r="O38" i="6" s="1"/>
  <c r="H40" i="1"/>
  <c r="I40" i="1" s="1"/>
  <c r="D37" i="6" s="1"/>
  <c r="F37" i="6" s="1"/>
  <c r="H39" i="1"/>
  <c r="K39" i="1" s="1"/>
  <c r="M39" i="1" s="1"/>
  <c r="H38" i="1"/>
  <c r="K38" i="1" s="1"/>
  <c r="M38" i="1" s="1"/>
  <c r="D37" i="1"/>
  <c r="C37" i="1"/>
  <c r="H36" i="1"/>
  <c r="K36" i="1" s="1"/>
  <c r="M36" i="1" s="1"/>
  <c r="H35" i="1"/>
  <c r="K35" i="1" s="1"/>
  <c r="M35" i="1" s="1"/>
  <c r="H34" i="1"/>
  <c r="I34" i="1" s="1"/>
  <c r="D31" i="6" s="1"/>
  <c r="F31" i="6" s="1"/>
  <c r="H33" i="1"/>
  <c r="I33" i="1" s="1"/>
  <c r="D30" i="6" s="1"/>
  <c r="F30" i="6" s="1"/>
  <c r="C32" i="1"/>
  <c r="H32" i="1" s="1"/>
  <c r="K32" i="1" s="1"/>
  <c r="M32" i="1" s="1"/>
  <c r="H31" i="1"/>
  <c r="K31" i="1" s="1"/>
  <c r="M31" i="1" s="1"/>
  <c r="H30" i="1"/>
  <c r="I30" i="1" s="1"/>
  <c r="D27" i="6" s="1"/>
  <c r="F27" i="6" s="1"/>
  <c r="H29" i="1"/>
  <c r="K29" i="1" s="1"/>
  <c r="M29" i="1" s="1"/>
  <c r="H28" i="1"/>
  <c r="K28" i="1" s="1"/>
  <c r="M28" i="1" s="1"/>
  <c r="H27" i="1"/>
  <c r="K27" i="1" s="1"/>
  <c r="M27" i="1" s="1"/>
  <c r="H26" i="1"/>
  <c r="K26" i="1" s="1"/>
  <c r="M26" i="1" s="1"/>
  <c r="C25" i="1"/>
  <c r="H25" i="1" s="1"/>
  <c r="K25" i="1" s="1"/>
  <c r="M25" i="1" s="1"/>
  <c r="C24" i="1"/>
  <c r="H24" i="1" s="1"/>
  <c r="K24" i="1" s="1"/>
  <c r="M24" i="1" s="1"/>
  <c r="D23" i="1"/>
  <c r="C23" i="1"/>
  <c r="G22" i="1"/>
  <c r="H21" i="1"/>
  <c r="K21" i="1" s="1"/>
  <c r="M21" i="1" s="1"/>
  <c r="G20" i="1"/>
  <c r="F20" i="1"/>
  <c r="H19" i="1"/>
  <c r="K19" i="1" s="1"/>
  <c r="M19" i="1" s="1"/>
  <c r="G18" i="1"/>
  <c r="F18" i="1"/>
  <c r="H17" i="1"/>
  <c r="K17" i="1" s="1"/>
  <c r="M17" i="1" s="1"/>
  <c r="G16" i="1"/>
  <c r="F16" i="1"/>
  <c r="G15" i="1"/>
  <c r="F15" i="1"/>
  <c r="G14" i="1"/>
  <c r="F14" i="1"/>
  <c r="H13" i="1"/>
  <c r="K13" i="1" s="1"/>
  <c r="M13" i="1" s="1"/>
  <c r="H12" i="1"/>
  <c r="K12" i="1" s="1"/>
  <c r="M12" i="1" s="1"/>
  <c r="H11" i="1"/>
  <c r="B33" i="4" l="1"/>
  <c r="H38" i="6"/>
  <c r="H48" i="6"/>
  <c r="O131" i="6"/>
  <c r="N206" i="1"/>
  <c r="N216" i="1"/>
  <c r="O216" i="1" s="1"/>
  <c r="P216" i="1" s="1"/>
  <c r="Q216" i="1" s="1"/>
  <c r="S216" i="1" s="1"/>
  <c r="N213" i="1"/>
  <c r="N215" i="1"/>
  <c r="O215" i="1" s="1"/>
  <c r="P215" i="1" s="1"/>
  <c r="Q215" i="1" s="1"/>
  <c r="S215" i="1" s="1"/>
  <c r="N207" i="1"/>
  <c r="N214" i="1"/>
  <c r="O214" i="1" s="1"/>
  <c r="P214" i="1" s="1"/>
  <c r="N211" i="1"/>
  <c r="O211" i="1" s="1"/>
  <c r="P211" i="1" s="1"/>
  <c r="Q211" i="1" s="1"/>
  <c r="S211" i="1" s="1"/>
  <c r="N208" i="1"/>
  <c r="N210" i="1"/>
  <c r="N212" i="1"/>
  <c r="O212" i="1" s="1"/>
  <c r="P212" i="1" s="1"/>
  <c r="Q212" i="1" s="1"/>
  <c r="S212" i="1" s="1"/>
  <c r="O27" i="6"/>
  <c r="H27" i="6"/>
  <c r="H30" i="6"/>
  <c r="O30" i="6"/>
  <c r="M43" i="1"/>
  <c r="H80" i="1"/>
  <c r="K80" i="1" s="1"/>
  <c r="M106" i="1"/>
  <c r="M110" i="1"/>
  <c r="M187" i="1"/>
  <c r="O31" i="6"/>
  <c r="H31" i="6"/>
  <c r="M44" i="1"/>
  <c r="M48" i="1"/>
  <c r="M63" i="1"/>
  <c r="M107" i="1"/>
  <c r="M111" i="1"/>
  <c r="H97" i="6"/>
  <c r="M142" i="1"/>
  <c r="M108" i="1"/>
  <c r="M137" i="1"/>
  <c r="M185" i="1"/>
  <c r="M189" i="1"/>
  <c r="M46" i="1"/>
  <c r="M65" i="1"/>
  <c r="M109" i="1"/>
  <c r="M138" i="1"/>
  <c r="M147" i="1"/>
  <c r="E54" i="2"/>
  <c r="M54" i="2"/>
  <c r="F131" i="6"/>
  <c r="E156" i="6" s="1"/>
  <c r="H126" i="6"/>
  <c r="H131" i="6" s="1"/>
  <c r="E157" i="6" s="1"/>
  <c r="I135" i="6" s="1"/>
  <c r="O213" i="1"/>
  <c r="P213" i="1" s="1"/>
  <c r="Q213" i="1" s="1"/>
  <c r="S213" i="1" s="1"/>
  <c r="P52" i="2"/>
  <c r="I54" i="2"/>
  <c r="O210" i="1"/>
  <c r="P210" i="1" s="1"/>
  <c r="O209" i="1"/>
  <c r="P209" i="1" s="1"/>
  <c r="O217" i="1"/>
  <c r="P217" i="1" s="1"/>
  <c r="O206" i="1"/>
  <c r="P206" i="1" s="1"/>
  <c r="Q206" i="1" s="1"/>
  <c r="O207" i="1"/>
  <c r="P207" i="1" s="1"/>
  <c r="I107" i="1"/>
  <c r="D80" i="6" s="1"/>
  <c r="F80" i="6" s="1"/>
  <c r="F73" i="1"/>
  <c r="K141" i="1"/>
  <c r="I11" i="1"/>
  <c r="K11" i="1"/>
  <c r="M11" i="1" s="1"/>
  <c r="H156" i="1"/>
  <c r="K47" i="1"/>
  <c r="K34" i="1"/>
  <c r="M34" i="1" s="1"/>
  <c r="K30" i="1"/>
  <c r="M30" i="1" s="1"/>
  <c r="N18" i="2"/>
  <c r="N20" i="2"/>
  <c r="B24" i="2"/>
  <c r="N24" i="2" s="1"/>
  <c r="D54" i="2"/>
  <c r="H54" i="2"/>
  <c r="L54" i="2"/>
  <c r="N52" i="2"/>
  <c r="B57" i="2"/>
  <c r="B66" i="2" s="1"/>
  <c r="K136" i="1"/>
  <c r="K146" i="1"/>
  <c r="I188" i="1"/>
  <c r="D121" i="6" s="1"/>
  <c r="F121" i="6" s="1"/>
  <c r="K188" i="1"/>
  <c r="I186" i="1"/>
  <c r="D119" i="6" s="1"/>
  <c r="F119" i="6" s="1"/>
  <c r="K186" i="1"/>
  <c r="N12" i="2"/>
  <c r="N29" i="2"/>
  <c r="C54" i="2"/>
  <c r="G54" i="2"/>
  <c r="K54" i="2"/>
  <c r="B54" i="2"/>
  <c r="F54" i="2"/>
  <c r="J54" i="2"/>
  <c r="N65" i="2"/>
  <c r="E87" i="2"/>
  <c r="B89" i="2" s="1"/>
  <c r="B96" i="2" s="1"/>
  <c r="K45" i="1"/>
  <c r="K40" i="1"/>
  <c r="K149" i="1"/>
  <c r="I182" i="1"/>
  <c r="D115" i="6" s="1"/>
  <c r="F115" i="6" s="1"/>
  <c r="K182" i="1"/>
  <c r="H18" i="1"/>
  <c r="K18" i="1" s="1"/>
  <c r="M18" i="1" s="1"/>
  <c r="N42" i="2"/>
  <c r="N61" i="2"/>
  <c r="K33" i="1"/>
  <c r="M33" i="1" s="1"/>
  <c r="K130" i="1"/>
  <c r="M130" i="1" s="1"/>
  <c r="K148" i="1"/>
  <c r="H15" i="1"/>
  <c r="H20" i="1"/>
  <c r="K20" i="1" s="1"/>
  <c r="M20" i="1" s="1"/>
  <c r="H50" i="1"/>
  <c r="K50" i="1" s="1"/>
  <c r="H71" i="1"/>
  <c r="I71" i="1" s="1"/>
  <c r="H103" i="1"/>
  <c r="H96" i="1"/>
  <c r="K96" i="1" s="1"/>
  <c r="M96" i="1" s="1"/>
  <c r="H126" i="1"/>
  <c r="K126" i="1" s="1"/>
  <c r="M126" i="1" s="1"/>
  <c r="H37" i="1"/>
  <c r="K37" i="1" s="1"/>
  <c r="M37" i="1" s="1"/>
  <c r="H125" i="1"/>
  <c r="H177" i="1"/>
  <c r="I177" i="1" s="1"/>
  <c r="H14" i="1"/>
  <c r="K14" i="1" s="1"/>
  <c r="M14" i="1" s="1"/>
  <c r="H42" i="1"/>
  <c r="K42" i="1" s="1"/>
  <c r="H49" i="1"/>
  <c r="H60" i="1"/>
  <c r="I60" i="1" s="1"/>
  <c r="C98" i="1"/>
  <c r="C99" i="1" s="1"/>
  <c r="C100" i="1" s="1"/>
  <c r="C101" i="1" s="1"/>
  <c r="H117" i="1"/>
  <c r="H171" i="1"/>
  <c r="I171" i="1" s="1"/>
  <c r="H175" i="1"/>
  <c r="I175" i="1" s="1"/>
  <c r="H83" i="1"/>
  <c r="K83" i="1" s="1"/>
  <c r="M83" i="1" s="1"/>
  <c r="H89" i="1"/>
  <c r="K89" i="1" s="1"/>
  <c r="M89" i="1" s="1"/>
  <c r="H174" i="1"/>
  <c r="I174" i="1" s="1"/>
  <c r="I24" i="1"/>
  <c r="D21" i="6" s="1"/>
  <c r="F21" i="6" s="1"/>
  <c r="I18" i="1"/>
  <c r="D15" i="6" s="1"/>
  <c r="F15" i="6" s="1"/>
  <c r="I17" i="1"/>
  <c r="D14" i="6" s="1"/>
  <c r="F14" i="6" s="1"/>
  <c r="I25" i="1"/>
  <c r="D22" i="6" s="1"/>
  <c r="F22" i="6" s="1"/>
  <c r="I43" i="1"/>
  <c r="D40" i="6" s="1"/>
  <c r="F40" i="6" s="1"/>
  <c r="I63" i="1"/>
  <c r="D50" i="6" s="1"/>
  <c r="F50" i="6" s="1"/>
  <c r="H50" i="6" s="1"/>
  <c r="G196" i="1"/>
  <c r="H92" i="1"/>
  <c r="K92" i="1" s="1"/>
  <c r="M92" i="1" s="1"/>
  <c r="I111" i="1"/>
  <c r="D84" i="6" s="1"/>
  <c r="F84" i="6" s="1"/>
  <c r="I115" i="1"/>
  <c r="H121" i="1"/>
  <c r="H123" i="1"/>
  <c r="K123" i="1" s="1"/>
  <c r="M123" i="1" s="1"/>
  <c r="H132" i="1"/>
  <c r="K132" i="1" s="1"/>
  <c r="M132" i="1" s="1"/>
  <c r="I134" i="1"/>
  <c r="D101" i="6" s="1"/>
  <c r="F101" i="6" s="1"/>
  <c r="O101" i="6" s="1"/>
  <c r="I137" i="1"/>
  <c r="D104" i="6" s="1"/>
  <c r="F104" i="6" s="1"/>
  <c r="I143" i="1"/>
  <c r="I145" i="1"/>
  <c r="H155" i="1"/>
  <c r="I155" i="1" s="1"/>
  <c r="I156" i="1"/>
  <c r="I192" i="1"/>
  <c r="D128" i="1"/>
  <c r="H128" i="1" s="1"/>
  <c r="I13" i="1"/>
  <c r="D10" i="6" s="1"/>
  <c r="F10" i="6" s="1"/>
  <c r="H16" i="1"/>
  <c r="K16" i="1" s="1"/>
  <c r="M16" i="1" s="1"/>
  <c r="H131" i="1"/>
  <c r="K131" i="1" s="1"/>
  <c r="M131" i="1" s="1"/>
  <c r="H144" i="1"/>
  <c r="I154" i="1"/>
  <c r="H163" i="1"/>
  <c r="C172" i="1"/>
  <c r="H172" i="1" s="1"/>
  <c r="H184" i="1"/>
  <c r="I36" i="1"/>
  <c r="D33" i="6" s="1"/>
  <c r="F33" i="6" s="1"/>
  <c r="I65" i="1"/>
  <c r="D51" i="6" s="1"/>
  <c r="F51" i="6" s="1"/>
  <c r="H51" i="6" s="1"/>
  <c r="H67" i="1"/>
  <c r="H70" i="1"/>
  <c r="I70" i="1" s="1"/>
  <c r="I72" i="1"/>
  <c r="H102" i="1"/>
  <c r="I109" i="1"/>
  <c r="D82" i="6" s="1"/>
  <c r="F82" i="6" s="1"/>
  <c r="I119" i="1"/>
  <c r="D86" i="6" s="1"/>
  <c r="F86" i="6" s="1"/>
  <c r="H120" i="1"/>
  <c r="K120" i="1" s="1"/>
  <c r="M120" i="1" s="1"/>
  <c r="H135" i="1"/>
  <c r="K135" i="1" s="1"/>
  <c r="M135" i="1" s="1"/>
  <c r="I138" i="1"/>
  <c r="D105" i="6" s="1"/>
  <c r="F105" i="6" s="1"/>
  <c r="I147" i="1"/>
  <c r="D112" i="6" s="1"/>
  <c r="F112" i="6" s="1"/>
  <c r="I152" i="1"/>
  <c r="H173" i="1"/>
  <c r="I173" i="1" s="1"/>
  <c r="I178" i="1"/>
  <c r="F87" i="2"/>
  <c r="N46" i="2"/>
  <c r="H23" i="1"/>
  <c r="K23" i="1" s="1"/>
  <c r="M23" i="1" s="1"/>
  <c r="I32" i="1"/>
  <c r="D29" i="6" s="1"/>
  <c r="F29" i="6" s="1"/>
  <c r="I67" i="1"/>
  <c r="I12" i="1"/>
  <c r="D9" i="6" s="1"/>
  <c r="F9" i="6" s="1"/>
  <c r="I37" i="1"/>
  <c r="D34" i="6" s="1"/>
  <c r="F34" i="6" s="1"/>
  <c r="I66" i="1"/>
  <c r="I68" i="1"/>
  <c r="H22" i="1"/>
  <c r="K22" i="1" s="1"/>
  <c r="M22" i="1" s="1"/>
  <c r="I61" i="1"/>
  <c r="I69" i="1"/>
  <c r="I112" i="1"/>
  <c r="I116" i="1"/>
  <c r="I117" i="1"/>
  <c r="G73" i="1"/>
  <c r="I53" i="1"/>
  <c r="I113" i="1"/>
  <c r="H122" i="1"/>
  <c r="K122" i="1" s="1"/>
  <c r="M122" i="1" s="1"/>
  <c r="I176" i="1"/>
  <c r="I181" i="1"/>
  <c r="I19" i="1"/>
  <c r="D16" i="6" s="1"/>
  <c r="F16" i="6" s="1"/>
  <c r="I28" i="1"/>
  <c r="D25" i="6" s="1"/>
  <c r="F25" i="6" s="1"/>
  <c r="D55" i="1"/>
  <c r="I62" i="1"/>
  <c r="I64" i="1"/>
  <c r="D81" i="1"/>
  <c r="D87" i="1"/>
  <c r="D94" i="1"/>
  <c r="D98" i="1"/>
  <c r="H104" i="1"/>
  <c r="D105" i="1"/>
  <c r="I106" i="1"/>
  <c r="D79" i="6" s="1"/>
  <c r="F79" i="6" s="1"/>
  <c r="I108" i="1"/>
  <c r="D81" i="6" s="1"/>
  <c r="F81" i="6" s="1"/>
  <c r="I110" i="1"/>
  <c r="D83" i="6" s="1"/>
  <c r="F83" i="6" s="1"/>
  <c r="I114" i="1"/>
  <c r="I118" i="1"/>
  <c r="D85" i="6" s="1"/>
  <c r="F85" i="6" s="1"/>
  <c r="I159" i="1"/>
  <c r="I169" i="1"/>
  <c r="I21" i="1"/>
  <c r="D18" i="6" s="1"/>
  <c r="F18" i="6" s="1"/>
  <c r="I26" i="1"/>
  <c r="D23" i="6" s="1"/>
  <c r="F23" i="6" s="1"/>
  <c r="I29" i="1"/>
  <c r="D26" i="6" s="1"/>
  <c r="F26" i="6" s="1"/>
  <c r="I31" i="1"/>
  <c r="D28" i="6" s="1"/>
  <c r="F28" i="6" s="1"/>
  <c r="I38" i="1"/>
  <c r="D35" i="6" s="1"/>
  <c r="F35" i="6" s="1"/>
  <c r="I44" i="1"/>
  <c r="D41" i="6" s="1"/>
  <c r="F41" i="6" s="1"/>
  <c r="I46" i="1"/>
  <c r="D43" i="6" s="1"/>
  <c r="F43" i="6" s="1"/>
  <c r="I48" i="1"/>
  <c r="D45" i="6" s="1"/>
  <c r="F45" i="6" s="1"/>
  <c r="I52" i="1"/>
  <c r="D49" i="6" s="1"/>
  <c r="F49" i="6" s="1"/>
  <c r="O49" i="6" s="1"/>
  <c r="C54" i="1"/>
  <c r="H54" i="1" s="1"/>
  <c r="C58" i="1"/>
  <c r="H58" i="1" s="1"/>
  <c r="C59" i="1"/>
  <c r="H59" i="1" s="1"/>
  <c r="H86" i="1"/>
  <c r="H93" i="1"/>
  <c r="H124" i="1"/>
  <c r="K124" i="1" s="1"/>
  <c r="M124" i="1" s="1"/>
  <c r="I127" i="1"/>
  <c r="D94" i="6" s="1"/>
  <c r="I151" i="1"/>
  <c r="I157" i="1"/>
  <c r="I191" i="1"/>
  <c r="I27" i="1"/>
  <c r="D24" i="6" s="1"/>
  <c r="F24" i="6" s="1"/>
  <c r="I35" i="1"/>
  <c r="D32" i="6" s="1"/>
  <c r="F32" i="6" s="1"/>
  <c r="I39" i="1"/>
  <c r="D36" i="6" s="1"/>
  <c r="F36" i="6" s="1"/>
  <c r="D84" i="1"/>
  <c r="I89" i="1"/>
  <c r="D62" i="6" s="1"/>
  <c r="F62" i="6" s="1"/>
  <c r="D90" i="1"/>
  <c r="I96" i="1"/>
  <c r="D69" i="6" s="1"/>
  <c r="F69" i="6" s="1"/>
  <c r="D97" i="1"/>
  <c r="I163" i="1"/>
  <c r="F196" i="1"/>
  <c r="I142" i="1"/>
  <c r="D109" i="6" s="1"/>
  <c r="F109" i="6" s="1"/>
  <c r="D161" i="1"/>
  <c r="I164" i="1"/>
  <c r="H168" i="1"/>
  <c r="H183" i="1"/>
  <c r="K183" i="1" s="1"/>
  <c r="I150" i="1"/>
  <c r="I158" i="1"/>
  <c r="C160" i="1"/>
  <c r="H160" i="1" s="1"/>
  <c r="H166" i="1"/>
  <c r="I166" i="1" s="1"/>
  <c r="H167" i="1"/>
  <c r="I167" i="1" s="1"/>
  <c r="I170" i="1"/>
  <c r="I179" i="1"/>
  <c r="I185" i="1"/>
  <c r="D118" i="6" s="1"/>
  <c r="F118" i="6" s="1"/>
  <c r="I187" i="1"/>
  <c r="D120" i="6" s="1"/>
  <c r="F120" i="6" s="1"/>
  <c r="I189" i="1"/>
  <c r="D122" i="6" s="1"/>
  <c r="F122" i="6" s="1"/>
  <c r="I194" i="1"/>
  <c r="D129" i="1"/>
  <c r="D133" i="1"/>
  <c r="D139" i="1"/>
  <c r="H139" i="1" s="1"/>
  <c r="K139" i="1" s="1"/>
  <c r="M139" i="1" s="1"/>
  <c r="D140" i="1"/>
  <c r="C165" i="1"/>
  <c r="H165" i="1" s="1"/>
  <c r="I137" i="6" l="1"/>
  <c r="I136" i="6"/>
  <c r="I138" i="6"/>
  <c r="J138" i="6" s="1"/>
  <c r="K138" i="6" s="1"/>
  <c r="L138" i="6" s="1"/>
  <c r="I139" i="6"/>
  <c r="J139" i="6" s="1"/>
  <c r="K139" i="6" s="1"/>
  <c r="L139" i="6" s="1"/>
  <c r="O94" i="6"/>
  <c r="F94" i="6"/>
  <c r="H94" i="6" s="1"/>
  <c r="C89" i="2"/>
  <c r="I50" i="1"/>
  <c r="D47" i="6" s="1"/>
  <c r="F47" i="6" s="1"/>
  <c r="I14" i="1"/>
  <c r="D11" i="6" s="1"/>
  <c r="F11" i="6" s="1"/>
  <c r="H11" i="6" s="1"/>
  <c r="G197" i="1"/>
  <c r="D8" i="6"/>
  <c r="F8" i="6" s="1"/>
  <c r="M80" i="1"/>
  <c r="N218" i="1"/>
  <c r="O208" i="1"/>
  <c r="P208" i="1" s="1"/>
  <c r="Q208" i="1" s="1"/>
  <c r="S208" i="1" s="1"/>
  <c r="H49" i="6"/>
  <c r="O36" i="6"/>
  <c r="H36" i="6"/>
  <c r="H26" i="6"/>
  <c r="O26" i="6"/>
  <c r="O16" i="6"/>
  <c r="H16" i="6"/>
  <c r="O86" i="6"/>
  <c r="H86" i="6"/>
  <c r="O15" i="6"/>
  <c r="H15" i="6"/>
  <c r="M50" i="1"/>
  <c r="M40" i="1"/>
  <c r="M186" i="1"/>
  <c r="M146" i="1"/>
  <c r="M47" i="1"/>
  <c r="H40" i="6"/>
  <c r="O40" i="6"/>
  <c r="O23" i="6"/>
  <c r="H23" i="6"/>
  <c r="O9" i="6"/>
  <c r="H9" i="6"/>
  <c r="O22" i="6"/>
  <c r="H22" i="6"/>
  <c r="O21" i="6"/>
  <c r="H21" i="6"/>
  <c r="M182" i="1"/>
  <c r="M45" i="1"/>
  <c r="M136" i="1"/>
  <c r="R17" i="2"/>
  <c r="D63" i="5"/>
  <c r="D64" i="5" s="1"/>
  <c r="M141" i="1"/>
  <c r="O105" i="6"/>
  <c r="H105" i="6"/>
  <c r="O51" i="6"/>
  <c r="O122" i="6"/>
  <c r="H122" i="6"/>
  <c r="O104" i="6"/>
  <c r="H104" i="6"/>
  <c r="O109" i="6"/>
  <c r="H109" i="6"/>
  <c r="O84" i="6"/>
  <c r="H84" i="6"/>
  <c r="O50" i="6"/>
  <c r="O41" i="6"/>
  <c r="H41" i="6"/>
  <c r="O120" i="6"/>
  <c r="H120" i="6"/>
  <c r="O79" i="6"/>
  <c r="H79" i="6"/>
  <c r="M183" i="1"/>
  <c r="H32" i="6"/>
  <c r="O32" i="6"/>
  <c r="O85" i="6"/>
  <c r="H85" i="6"/>
  <c r="O62" i="6"/>
  <c r="H62" i="6"/>
  <c r="I20" i="1"/>
  <c r="D17" i="6" s="1"/>
  <c r="F17" i="6" s="1"/>
  <c r="M188" i="1"/>
  <c r="O69" i="6"/>
  <c r="H69" i="6"/>
  <c r="H24" i="6"/>
  <c r="O24" i="6"/>
  <c r="H35" i="6"/>
  <c r="O35" i="6"/>
  <c r="O18" i="6"/>
  <c r="H18" i="6"/>
  <c r="H28" i="6"/>
  <c r="O28" i="6"/>
  <c r="H25" i="6"/>
  <c r="O25" i="6"/>
  <c r="H34" i="6"/>
  <c r="O34" i="6"/>
  <c r="H29" i="6"/>
  <c r="O29" i="6"/>
  <c r="R7" i="2"/>
  <c r="B63" i="5"/>
  <c r="O33" i="6"/>
  <c r="H33" i="6"/>
  <c r="O10" i="6"/>
  <c r="H10" i="6"/>
  <c r="H101" i="6"/>
  <c r="O14" i="6"/>
  <c r="H14" i="6"/>
  <c r="M42" i="1"/>
  <c r="M148" i="1"/>
  <c r="M149" i="1"/>
  <c r="I128" i="6"/>
  <c r="J128" i="6" s="1"/>
  <c r="K128" i="6" s="1"/>
  <c r="L128" i="6" s="1"/>
  <c r="I127" i="6"/>
  <c r="J127" i="6" s="1"/>
  <c r="K127" i="6" s="1"/>
  <c r="L127" i="6" s="1"/>
  <c r="J137" i="6"/>
  <c r="K137" i="6" s="1"/>
  <c r="L137" i="6" s="1"/>
  <c r="I129" i="6"/>
  <c r="J129" i="6" s="1"/>
  <c r="K129" i="6" s="1"/>
  <c r="L129" i="6" s="1"/>
  <c r="J136" i="6"/>
  <c r="K136" i="6" s="1"/>
  <c r="L136" i="6" s="1"/>
  <c r="I130" i="6"/>
  <c r="J130" i="6" s="1"/>
  <c r="K130" i="6" s="1"/>
  <c r="L130" i="6" s="1"/>
  <c r="I126" i="6"/>
  <c r="J135" i="6"/>
  <c r="K135" i="6" s="1"/>
  <c r="L135" i="6" s="1"/>
  <c r="O112" i="6"/>
  <c r="H112" i="6"/>
  <c r="O82" i="6"/>
  <c r="H82" i="6"/>
  <c r="O43" i="6"/>
  <c r="H43" i="6"/>
  <c r="O118" i="6"/>
  <c r="H118" i="6"/>
  <c r="H81" i="6"/>
  <c r="O81" i="6"/>
  <c r="O80" i="6"/>
  <c r="H80" i="6"/>
  <c r="O45" i="6"/>
  <c r="H45" i="6"/>
  <c r="O83" i="6"/>
  <c r="H83" i="6"/>
  <c r="Q214" i="1"/>
  <c r="S214" i="1" s="1"/>
  <c r="Q210" i="1"/>
  <c r="S210" i="1" s="1"/>
  <c r="N57" i="2"/>
  <c r="P57" i="2" s="1"/>
  <c r="B99" i="2"/>
  <c r="R13" i="2"/>
  <c r="R14" i="2" s="1"/>
  <c r="M199" i="1"/>
  <c r="N54" i="2"/>
  <c r="B101" i="2"/>
  <c r="I83" i="1"/>
  <c r="D56" i="6" s="1"/>
  <c r="F56" i="6" s="1"/>
  <c r="I92" i="1"/>
  <c r="D65" i="6" s="1"/>
  <c r="F65" i="6" s="1"/>
  <c r="D89" i="2"/>
  <c r="I126" i="1"/>
  <c r="D93" i="6" s="1"/>
  <c r="F93" i="6" s="1"/>
  <c r="O93" i="6" s="1"/>
  <c r="I123" i="1"/>
  <c r="D90" i="6" s="1"/>
  <c r="F90" i="6" s="1"/>
  <c r="O90" i="6" s="1"/>
  <c r="I131" i="1"/>
  <c r="D98" i="6" s="1"/>
  <c r="F98" i="6" s="1"/>
  <c r="O98" i="6" s="1"/>
  <c r="I42" i="1"/>
  <c r="D39" i="6" s="1"/>
  <c r="F39" i="6" s="1"/>
  <c r="S206" i="1"/>
  <c r="Q207" i="1"/>
  <c r="I132" i="1"/>
  <c r="D99" i="6" s="1"/>
  <c r="I135" i="1"/>
  <c r="D102" i="6" s="1"/>
  <c r="F102" i="6" s="1"/>
  <c r="O102" i="6" s="1"/>
  <c r="I86" i="1"/>
  <c r="D59" i="6" s="1"/>
  <c r="F59" i="6" s="1"/>
  <c r="K86" i="1"/>
  <c r="M86" i="1" s="1"/>
  <c r="I104" i="1"/>
  <c r="D77" i="6" s="1"/>
  <c r="F77" i="6" s="1"/>
  <c r="K104" i="1"/>
  <c r="M104" i="1" s="1"/>
  <c r="I184" i="1"/>
  <c r="D117" i="6" s="1"/>
  <c r="F117" i="6" s="1"/>
  <c r="K184" i="1"/>
  <c r="I144" i="1"/>
  <c r="D110" i="6" s="1"/>
  <c r="F110" i="6" s="1"/>
  <c r="K144" i="1"/>
  <c r="I49" i="1"/>
  <c r="D46" i="6" s="1"/>
  <c r="F46" i="6" s="1"/>
  <c r="K49" i="1"/>
  <c r="I125" i="1"/>
  <c r="D92" i="6" s="1"/>
  <c r="F92" i="6" s="1"/>
  <c r="O92" i="6" s="1"/>
  <c r="K125" i="1"/>
  <c r="M125" i="1" s="1"/>
  <c r="I103" i="1"/>
  <c r="D76" i="6" s="1"/>
  <c r="F76" i="6" s="1"/>
  <c r="K103" i="1"/>
  <c r="M103" i="1" s="1"/>
  <c r="I15" i="1"/>
  <c r="D12" i="6" s="1"/>
  <c r="F12" i="6" s="1"/>
  <c r="K15" i="1"/>
  <c r="M15" i="1" s="1"/>
  <c r="I122" i="1"/>
  <c r="D89" i="6" s="1"/>
  <c r="F89" i="6" s="1"/>
  <c r="O89" i="6" s="1"/>
  <c r="I121" i="1"/>
  <c r="D88" i="6" s="1"/>
  <c r="F88" i="6" s="1"/>
  <c r="O88" i="6" s="1"/>
  <c r="K121" i="1"/>
  <c r="M121" i="1" s="1"/>
  <c r="I102" i="1"/>
  <c r="D75" i="6" s="1"/>
  <c r="F75" i="6" s="1"/>
  <c r="K102" i="1"/>
  <c r="M102" i="1" s="1"/>
  <c r="I93" i="1"/>
  <c r="D66" i="6" s="1"/>
  <c r="F66" i="6" s="1"/>
  <c r="K93" i="1"/>
  <c r="M93" i="1" s="1"/>
  <c r="I128" i="1"/>
  <c r="D95" i="6" s="1"/>
  <c r="K128" i="1"/>
  <c r="M128" i="1" s="1"/>
  <c r="I120" i="1"/>
  <c r="D87" i="6" s="1"/>
  <c r="F87" i="6" s="1"/>
  <c r="I172" i="1"/>
  <c r="I16" i="1"/>
  <c r="D13" i="6" s="1"/>
  <c r="F13" i="6" s="1"/>
  <c r="I160" i="1"/>
  <c r="I59" i="1"/>
  <c r="I58" i="1"/>
  <c r="I54" i="1"/>
  <c r="I139" i="1"/>
  <c r="D106" i="6" s="1"/>
  <c r="F106" i="6" s="1"/>
  <c r="I183" i="1"/>
  <c r="D116" i="6" s="1"/>
  <c r="F116" i="6" s="1"/>
  <c r="H196" i="1"/>
  <c r="H105" i="1"/>
  <c r="H98" i="1"/>
  <c r="K98" i="1" s="1"/>
  <c r="M98" i="1" s="1"/>
  <c r="D99" i="1"/>
  <c r="I22" i="1"/>
  <c r="D19" i="6" s="1"/>
  <c r="F19" i="6" s="1"/>
  <c r="H140" i="1"/>
  <c r="K140" i="1" s="1"/>
  <c r="M140" i="1" s="1"/>
  <c r="H97" i="1"/>
  <c r="H84" i="1"/>
  <c r="K84" i="1" s="1"/>
  <c r="M84" i="1" s="1"/>
  <c r="D85" i="1"/>
  <c r="I80" i="1"/>
  <c r="D53" i="6" s="1"/>
  <c r="H129" i="1"/>
  <c r="K129" i="1" s="1"/>
  <c r="M129" i="1" s="1"/>
  <c r="H94" i="1"/>
  <c r="D95" i="1"/>
  <c r="H87" i="1"/>
  <c r="D88" i="1"/>
  <c r="I168" i="1"/>
  <c r="H133" i="1"/>
  <c r="C161" i="1"/>
  <c r="H161" i="1" s="1"/>
  <c r="D162" i="1"/>
  <c r="H90" i="1"/>
  <c r="K90" i="1" s="1"/>
  <c r="M90" i="1" s="1"/>
  <c r="D91" i="1"/>
  <c r="H81" i="1"/>
  <c r="K81" i="1" s="1"/>
  <c r="M81" i="1" s="1"/>
  <c r="D82" i="1"/>
  <c r="C55" i="1"/>
  <c r="H55" i="1" s="1"/>
  <c r="D56" i="1"/>
  <c r="I165" i="1"/>
  <c r="I124" i="1"/>
  <c r="D91" i="6" s="1"/>
  <c r="F91" i="6" s="1"/>
  <c r="O91" i="6" s="1"/>
  <c r="I23" i="1"/>
  <c r="D20" i="6" s="1"/>
  <c r="F20" i="6" s="1"/>
  <c r="C96" i="2" l="1"/>
  <c r="D96" i="2" s="1"/>
  <c r="N130" i="6"/>
  <c r="D74" i="3"/>
  <c r="N129" i="6"/>
  <c r="D72" i="3"/>
  <c r="O11" i="6"/>
  <c r="O95" i="6"/>
  <c r="F95" i="6"/>
  <c r="H95" i="6" s="1"/>
  <c r="F99" i="6"/>
  <c r="O99" i="6"/>
  <c r="P218" i="1"/>
  <c r="O218" i="1"/>
  <c r="O8" i="6"/>
  <c r="J73" i="1"/>
  <c r="F53" i="6"/>
  <c r="U80" i="1" s="1"/>
  <c r="V80" i="1" s="1"/>
  <c r="O53" i="6"/>
  <c r="O19" i="6"/>
  <c r="H19" i="6"/>
  <c r="H13" i="6"/>
  <c r="O13" i="6"/>
  <c r="O76" i="6"/>
  <c r="H76" i="6"/>
  <c r="O20" i="6"/>
  <c r="H20" i="6"/>
  <c r="M144" i="1"/>
  <c r="H98" i="6"/>
  <c r="E89" i="2"/>
  <c r="H88" i="6"/>
  <c r="M49" i="1"/>
  <c r="M73" i="1" s="1"/>
  <c r="M184" i="1"/>
  <c r="H93" i="6"/>
  <c r="B103" i="2"/>
  <c r="C101" i="2" s="1"/>
  <c r="D70" i="3"/>
  <c r="N138" i="6"/>
  <c r="P138" i="6" s="1"/>
  <c r="Q138" i="6" s="1"/>
  <c r="D59" i="3"/>
  <c r="E59" i="3" s="1"/>
  <c r="N128" i="6"/>
  <c r="P128" i="6" s="1"/>
  <c r="O108" i="6"/>
  <c r="H108" i="6"/>
  <c r="O103" i="6"/>
  <c r="H103" i="6"/>
  <c r="H115" i="6"/>
  <c r="O115" i="6"/>
  <c r="O59" i="6"/>
  <c r="H59" i="6"/>
  <c r="D64" i="3"/>
  <c r="N135" i="6"/>
  <c r="P135" i="6" s="1"/>
  <c r="D66" i="3"/>
  <c r="N136" i="6"/>
  <c r="P136" i="6" s="1"/>
  <c r="Q136" i="6" s="1"/>
  <c r="O114" i="6"/>
  <c r="H114" i="6"/>
  <c r="O39" i="6"/>
  <c r="H39" i="6"/>
  <c r="D154" i="6"/>
  <c r="D155" i="6" s="1"/>
  <c r="B64" i="5"/>
  <c r="O121" i="6"/>
  <c r="H121" i="6"/>
  <c r="O44" i="6"/>
  <c r="H44" i="6"/>
  <c r="H119" i="6"/>
  <c r="O119" i="6"/>
  <c r="O47" i="6"/>
  <c r="H47" i="6"/>
  <c r="H89" i="6"/>
  <c r="H65" i="6"/>
  <c r="O65" i="6"/>
  <c r="J126" i="6"/>
  <c r="I131" i="6"/>
  <c r="D76" i="3"/>
  <c r="N139" i="6"/>
  <c r="P139" i="6" s="1"/>
  <c r="Q139" i="6" s="1"/>
  <c r="D68" i="3"/>
  <c r="N137" i="6"/>
  <c r="P137" i="6" s="1"/>
  <c r="O116" i="6"/>
  <c r="H116" i="6"/>
  <c r="O42" i="6"/>
  <c r="H42" i="6"/>
  <c r="H8" i="6"/>
  <c r="O75" i="6"/>
  <c r="H75" i="6"/>
  <c r="H102" i="6"/>
  <c r="H91" i="6"/>
  <c r="O106" i="6"/>
  <c r="H106" i="6"/>
  <c r="H87" i="6"/>
  <c r="O87" i="6"/>
  <c r="O66" i="6"/>
  <c r="H66" i="6"/>
  <c r="O12" i="6"/>
  <c r="H12" i="6"/>
  <c r="H92" i="6"/>
  <c r="O77" i="6"/>
  <c r="H77" i="6"/>
  <c r="H99" i="6"/>
  <c r="H90" i="6"/>
  <c r="O56" i="6"/>
  <c r="H56" i="6"/>
  <c r="D56" i="3"/>
  <c r="N127" i="6"/>
  <c r="P127" i="6" s="1"/>
  <c r="O113" i="6"/>
  <c r="H113" i="6"/>
  <c r="O17" i="6"/>
  <c r="H17" i="6"/>
  <c r="O111" i="6"/>
  <c r="H111" i="6"/>
  <c r="O37" i="6"/>
  <c r="H37" i="6"/>
  <c r="S207" i="1"/>
  <c r="S218" i="1" s="1"/>
  <c r="I94" i="1"/>
  <c r="D67" i="6" s="1"/>
  <c r="F67" i="6" s="1"/>
  <c r="K94" i="1"/>
  <c r="M94" i="1" s="1"/>
  <c r="I133" i="1"/>
  <c r="D100" i="6" s="1"/>
  <c r="K133" i="1"/>
  <c r="M133" i="1" s="1"/>
  <c r="I105" i="1"/>
  <c r="D78" i="6" s="1"/>
  <c r="F78" i="6" s="1"/>
  <c r="K105" i="1"/>
  <c r="M105" i="1" s="1"/>
  <c r="I87" i="1"/>
  <c r="D60" i="6" s="1"/>
  <c r="F60" i="6" s="1"/>
  <c r="K87" i="1"/>
  <c r="M87" i="1" s="1"/>
  <c r="I97" i="1"/>
  <c r="D70" i="6" s="1"/>
  <c r="K97" i="1"/>
  <c r="M97" i="1" s="1"/>
  <c r="I55" i="1"/>
  <c r="I161" i="1"/>
  <c r="I90" i="1"/>
  <c r="D63" i="6" s="1"/>
  <c r="F63" i="6" s="1"/>
  <c r="C162" i="1"/>
  <c r="H162" i="1" s="1"/>
  <c r="H88" i="1"/>
  <c r="K88" i="1" s="1"/>
  <c r="M88" i="1" s="1"/>
  <c r="H99" i="1"/>
  <c r="K99" i="1" s="1"/>
  <c r="M99" i="1" s="1"/>
  <c r="D100" i="1"/>
  <c r="C56" i="1"/>
  <c r="H56" i="1" s="1"/>
  <c r="D57" i="1"/>
  <c r="H82" i="1"/>
  <c r="K82" i="1" s="1"/>
  <c r="M82" i="1" s="1"/>
  <c r="H85" i="1"/>
  <c r="K85" i="1" s="1"/>
  <c r="M85" i="1" s="1"/>
  <c r="I129" i="1"/>
  <c r="D96" i="6" s="1"/>
  <c r="F96" i="6" s="1"/>
  <c r="O96" i="6" s="1"/>
  <c r="I140" i="1"/>
  <c r="D107" i="6" s="1"/>
  <c r="F107" i="6" s="1"/>
  <c r="I98" i="1"/>
  <c r="D71" i="6" s="1"/>
  <c r="F71" i="6" s="1"/>
  <c r="H91" i="1"/>
  <c r="H95" i="1"/>
  <c r="I81" i="1"/>
  <c r="D54" i="6" s="1"/>
  <c r="I84" i="1"/>
  <c r="D57" i="6" s="1"/>
  <c r="F57" i="6" s="1"/>
  <c r="C99" i="2" l="1"/>
  <c r="F100" i="6"/>
  <c r="O100" i="6"/>
  <c r="F70" i="6"/>
  <c r="O70" i="6"/>
  <c r="F54" i="6"/>
  <c r="H54" i="6" s="1"/>
  <c r="O54" i="6"/>
  <c r="H70" i="6"/>
  <c r="H67" i="6"/>
  <c r="O67" i="6"/>
  <c r="H96" i="6"/>
  <c r="O60" i="6"/>
  <c r="H60" i="6"/>
  <c r="H100" i="6"/>
  <c r="F52" i="6"/>
  <c r="H46" i="6"/>
  <c r="H52" i="6" s="1"/>
  <c r="O46" i="6"/>
  <c r="O52" i="6" s="1"/>
  <c r="O63" i="6"/>
  <c r="H63" i="6"/>
  <c r="D61" i="3"/>
  <c r="E61" i="3" s="1"/>
  <c r="E56" i="3"/>
  <c r="E74" i="3"/>
  <c r="D85" i="3"/>
  <c r="D75" i="3"/>
  <c r="E75" i="3" s="1"/>
  <c r="P130" i="6" s="1"/>
  <c r="Q130" i="6" s="1"/>
  <c r="R130" i="6" s="1"/>
  <c r="E76" i="3"/>
  <c r="D77" i="3"/>
  <c r="E77" i="3" s="1"/>
  <c r="D86" i="3"/>
  <c r="E64" i="3"/>
  <c r="D80" i="3"/>
  <c r="D65" i="3"/>
  <c r="E65" i="3" s="1"/>
  <c r="H53" i="6"/>
  <c r="O71" i="6"/>
  <c r="H71" i="6"/>
  <c r="O78" i="6"/>
  <c r="H78" i="6"/>
  <c r="E70" i="3"/>
  <c r="D83" i="3"/>
  <c r="D71" i="3"/>
  <c r="E71" i="3" s="1"/>
  <c r="H117" i="6"/>
  <c r="O117" i="6"/>
  <c r="H110" i="6"/>
  <c r="O110" i="6"/>
  <c r="O57" i="6"/>
  <c r="H57" i="6"/>
  <c r="H107" i="6"/>
  <c r="O107" i="6"/>
  <c r="E72" i="3"/>
  <c r="D73" i="3"/>
  <c r="E73" i="3" s="1"/>
  <c r="P129" i="6" s="1"/>
  <c r="Q129" i="6" s="1"/>
  <c r="R129" i="6" s="1"/>
  <c r="D84" i="3"/>
  <c r="E68" i="3"/>
  <c r="D82" i="3"/>
  <c r="D69" i="3"/>
  <c r="E69" i="3" s="1"/>
  <c r="J131" i="6"/>
  <c r="K126" i="6"/>
  <c r="E66" i="3"/>
  <c r="D81" i="3"/>
  <c r="D67" i="3"/>
  <c r="E67" i="3" s="1"/>
  <c r="Q128" i="6"/>
  <c r="R128" i="6" s="1"/>
  <c r="Q135" i="6"/>
  <c r="Q137" i="6"/>
  <c r="I91" i="1"/>
  <c r="D64" i="6" s="1"/>
  <c r="F64" i="6" s="1"/>
  <c r="K91" i="1"/>
  <c r="M91" i="1" s="1"/>
  <c r="I95" i="1"/>
  <c r="D68" i="6" s="1"/>
  <c r="F68" i="6" s="1"/>
  <c r="K95" i="1"/>
  <c r="M95" i="1" s="1"/>
  <c r="I85" i="1"/>
  <c r="D58" i="6" s="1"/>
  <c r="F58" i="6" s="1"/>
  <c r="I99" i="1"/>
  <c r="D72" i="6" s="1"/>
  <c r="F72" i="6" s="1"/>
  <c r="I56" i="1"/>
  <c r="I162" i="1"/>
  <c r="C57" i="1"/>
  <c r="H57" i="1" s="1"/>
  <c r="H100" i="1"/>
  <c r="K100" i="1" s="1"/>
  <c r="M100" i="1" s="1"/>
  <c r="D101" i="1"/>
  <c r="I82" i="1"/>
  <c r="D55" i="6" s="1"/>
  <c r="F55" i="6" s="1"/>
  <c r="I88" i="1"/>
  <c r="D61" i="6" s="1"/>
  <c r="F61" i="6" s="1"/>
  <c r="E86" i="3" l="1"/>
  <c r="D95" i="3"/>
  <c r="E95" i="3" s="1"/>
  <c r="O61" i="6"/>
  <c r="H61" i="6"/>
  <c r="O64" i="6"/>
  <c r="H64" i="6"/>
  <c r="E83" i="3"/>
  <c r="D92" i="3"/>
  <c r="E92" i="3" s="1"/>
  <c r="E85" i="3"/>
  <c r="D94" i="3"/>
  <c r="E94" i="3" s="1"/>
  <c r="O68" i="6"/>
  <c r="H68" i="6"/>
  <c r="E84" i="3"/>
  <c r="D93" i="3"/>
  <c r="E93" i="3" s="1"/>
  <c r="E81" i="3"/>
  <c r="D90" i="3"/>
  <c r="E90" i="3" s="1"/>
  <c r="O72" i="6"/>
  <c r="H72" i="6"/>
  <c r="O58" i="6"/>
  <c r="H58" i="6"/>
  <c r="E82" i="3"/>
  <c r="D91" i="3"/>
  <c r="E91" i="3" s="1"/>
  <c r="O55" i="6"/>
  <c r="H55" i="6"/>
  <c r="L126" i="6"/>
  <c r="K131" i="6"/>
  <c r="E80" i="3"/>
  <c r="D89" i="3"/>
  <c r="E89" i="3" s="1"/>
  <c r="I57" i="1"/>
  <c r="D52" i="6" s="1"/>
  <c r="H101" i="1"/>
  <c r="I100" i="1"/>
  <c r="D73" i="6" s="1"/>
  <c r="F73" i="6" s="1"/>
  <c r="O73" i="6" l="1"/>
  <c r="H73" i="6"/>
  <c r="D55" i="3"/>
  <c r="N126" i="6"/>
  <c r="P126" i="6" s="1"/>
  <c r="Q127" i="6"/>
  <c r="R127" i="6" s="1"/>
  <c r="I101" i="1"/>
  <c r="D74" i="6" s="1"/>
  <c r="F74" i="6" s="1"/>
  <c r="K101" i="1"/>
  <c r="M101" i="1" l="1"/>
  <c r="K196" i="1"/>
  <c r="O74" i="6"/>
  <c r="O123" i="6" s="1"/>
  <c r="O124" i="6" s="1"/>
  <c r="D60" i="3"/>
  <c r="E60" i="3" s="1"/>
  <c r="E55" i="3"/>
  <c r="Q126" i="6"/>
  <c r="P131" i="6"/>
  <c r="D123" i="6"/>
  <c r="D124" i="6" s="1"/>
  <c r="M196" i="1"/>
  <c r="M198" i="1" s="1"/>
  <c r="M200" i="1" s="1"/>
  <c r="Q131" i="6" l="1"/>
  <c r="R126" i="6"/>
  <c r="H74" i="6"/>
  <c r="H123" i="6" s="1"/>
  <c r="H124" i="6" s="1"/>
  <c r="D157" i="6" s="1"/>
  <c r="F123" i="6"/>
  <c r="N184" i="1"/>
  <c r="O184" i="1" s="1"/>
  <c r="P184" i="1" s="1"/>
  <c r="Q184" i="1" s="1"/>
  <c r="S184" i="1" s="1"/>
  <c r="N148" i="1"/>
  <c r="O148" i="1" s="1"/>
  <c r="P148" i="1" s="1"/>
  <c r="Q148" i="1" s="1"/>
  <c r="S148" i="1" s="1"/>
  <c r="N84" i="1"/>
  <c r="O84" i="1" s="1"/>
  <c r="P84" i="1" s="1"/>
  <c r="Q84" i="1" s="1"/>
  <c r="S84" i="1" s="1"/>
  <c r="N99" i="1"/>
  <c r="O99" i="1" s="1"/>
  <c r="P99" i="1" s="1"/>
  <c r="Q99" i="1" s="1"/>
  <c r="S99" i="1" s="1"/>
  <c r="N22" i="1"/>
  <c r="O22" i="1" s="1"/>
  <c r="P22" i="1" s="1"/>
  <c r="Q22" i="1" s="1"/>
  <c r="S22" i="1" s="1"/>
  <c r="N87" i="1"/>
  <c r="O87" i="1" s="1"/>
  <c r="P87" i="1" s="1"/>
  <c r="Q87" i="1" s="1"/>
  <c r="S87" i="1" s="1"/>
  <c r="N17" i="1"/>
  <c r="O17" i="1" s="1"/>
  <c r="P17" i="1" s="1"/>
  <c r="Q17" i="1" s="1"/>
  <c r="N12" i="1"/>
  <c r="O12" i="1" s="1"/>
  <c r="P12" i="1" s="1"/>
  <c r="Q12" i="1" s="1"/>
  <c r="S12" i="1" s="1"/>
  <c r="N27" i="1"/>
  <c r="O27" i="1" s="1"/>
  <c r="P27" i="1" s="1"/>
  <c r="Q27" i="1" s="1"/>
  <c r="S27" i="1" s="1"/>
  <c r="N154" i="1"/>
  <c r="O154" i="1" s="1"/>
  <c r="P154" i="1" s="1"/>
  <c r="Q154" i="1" s="1"/>
  <c r="S154" i="1" s="1"/>
  <c r="N45" i="1"/>
  <c r="O45" i="1" s="1"/>
  <c r="P45" i="1" s="1"/>
  <c r="Q45" i="1" s="1"/>
  <c r="S45" i="1" s="1"/>
  <c r="N140" i="1"/>
  <c r="O140" i="1" s="1"/>
  <c r="P140" i="1" s="1"/>
  <c r="Q140" i="1" s="1"/>
  <c r="S140" i="1" s="1"/>
  <c r="N65" i="1"/>
  <c r="O65" i="1" s="1"/>
  <c r="P65" i="1" s="1"/>
  <c r="Q65" i="1" s="1"/>
  <c r="N97" i="1"/>
  <c r="O97" i="1" s="1"/>
  <c r="P97" i="1" s="1"/>
  <c r="Q97" i="1" s="1"/>
  <c r="S97" i="1" s="1"/>
  <c r="N142" i="1"/>
  <c r="O142" i="1" s="1"/>
  <c r="P142" i="1" s="1"/>
  <c r="Q142" i="1" s="1"/>
  <c r="S142" i="1" s="1"/>
  <c r="N23" i="1"/>
  <c r="O23" i="1" s="1"/>
  <c r="P23" i="1" s="1"/>
  <c r="Q23" i="1" s="1"/>
  <c r="S23" i="1" s="1"/>
  <c r="N35" i="1"/>
  <c r="O35" i="1" s="1"/>
  <c r="P35" i="1" s="1"/>
  <c r="Q35" i="1" s="1"/>
  <c r="N21" i="1"/>
  <c r="O21" i="1" s="1"/>
  <c r="P21" i="1" s="1"/>
  <c r="Q21" i="1" s="1"/>
  <c r="N88" i="1"/>
  <c r="O88" i="1" s="1"/>
  <c r="P88" i="1" s="1"/>
  <c r="Q88" i="1" s="1"/>
  <c r="S88" i="1" s="1"/>
  <c r="N137" i="1"/>
  <c r="O137" i="1" s="1"/>
  <c r="P137" i="1" s="1"/>
  <c r="Q137" i="1" s="1"/>
  <c r="S137" i="1" s="1"/>
  <c r="N85" i="1"/>
  <c r="O85" i="1" s="1"/>
  <c r="P85" i="1" s="1"/>
  <c r="Q85" i="1" s="1"/>
  <c r="S85" i="1" s="1"/>
  <c r="N182" i="1"/>
  <c r="O182" i="1" s="1"/>
  <c r="P182" i="1" s="1"/>
  <c r="Q182" i="1" s="1"/>
  <c r="S182" i="1" s="1"/>
  <c r="N82" i="1"/>
  <c r="O82" i="1" s="1"/>
  <c r="P82" i="1" s="1"/>
  <c r="Q82" i="1" s="1"/>
  <c r="S82" i="1" s="1"/>
  <c r="N138" i="1"/>
  <c r="O138" i="1" s="1"/>
  <c r="P138" i="1" s="1"/>
  <c r="Q138" i="1" s="1"/>
  <c r="N46" i="1"/>
  <c r="O46" i="1" s="1"/>
  <c r="P46" i="1" s="1"/>
  <c r="Q46" i="1" s="1"/>
  <c r="S46" i="1" s="1"/>
  <c r="N29" i="1"/>
  <c r="O29" i="1" s="1"/>
  <c r="P29" i="1" s="1"/>
  <c r="Q29" i="1" s="1"/>
  <c r="S29" i="1" s="1"/>
  <c r="N109" i="1"/>
  <c r="O109" i="1" s="1"/>
  <c r="P109" i="1" s="1"/>
  <c r="Q109" i="1" s="1"/>
  <c r="S109" i="1" s="1"/>
  <c r="N90" i="1"/>
  <c r="O90" i="1" s="1"/>
  <c r="P90" i="1" s="1"/>
  <c r="Q90" i="1" s="1"/>
  <c r="S90" i="1" s="1"/>
  <c r="N102" i="1"/>
  <c r="O102" i="1" s="1"/>
  <c r="P102" i="1" s="1"/>
  <c r="Q102" i="1" s="1"/>
  <c r="S102" i="1" s="1"/>
  <c r="N63" i="1"/>
  <c r="O63" i="1" s="1"/>
  <c r="P63" i="1" s="1"/>
  <c r="Q63" i="1" s="1"/>
  <c r="S63" i="1" s="1"/>
  <c r="N122" i="1"/>
  <c r="O122" i="1" s="1"/>
  <c r="P122" i="1" s="1"/>
  <c r="Q122" i="1" s="1"/>
  <c r="S122" i="1" s="1"/>
  <c r="N19" i="1"/>
  <c r="O19" i="1" s="1"/>
  <c r="P19" i="1" s="1"/>
  <c r="Q19" i="1" s="1"/>
  <c r="N40" i="1"/>
  <c r="O40" i="1" s="1"/>
  <c r="P40" i="1" s="1"/>
  <c r="Q40" i="1" s="1"/>
  <c r="S40" i="1" s="1"/>
  <c r="N134" i="1"/>
  <c r="O134" i="1" s="1"/>
  <c r="P134" i="1" s="1"/>
  <c r="Q134" i="1" s="1"/>
  <c r="S134" i="1" s="1"/>
  <c r="N104" i="1"/>
  <c r="O104" i="1" s="1"/>
  <c r="P104" i="1" s="1"/>
  <c r="Q104" i="1" s="1"/>
  <c r="S104" i="1" s="1"/>
  <c r="N18" i="1"/>
  <c r="O18" i="1" s="1"/>
  <c r="P18" i="1" s="1"/>
  <c r="Q18" i="1" s="1"/>
  <c r="S18" i="1" s="1"/>
  <c r="N11" i="1"/>
  <c r="N28" i="1"/>
  <c r="O28" i="1" s="1"/>
  <c r="P28" i="1" s="1"/>
  <c r="Q28" i="1" s="1"/>
  <c r="N91" i="1"/>
  <c r="O91" i="1" s="1"/>
  <c r="P91" i="1" s="1"/>
  <c r="Q91" i="1" s="1"/>
  <c r="S91" i="1" s="1"/>
  <c r="N80" i="1"/>
  <c r="N96" i="1"/>
  <c r="O96" i="1" s="1"/>
  <c r="P96" i="1" s="1"/>
  <c r="Q96" i="1" s="1"/>
  <c r="N30" i="1"/>
  <c r="O30" i="1" s="1"/>
  <c r="P30" i="1" s="1"/>
  <c r="Q30" i="1" s="1"/>
  <c r="N187" i="1"/>
  <c r="O187" i="1" s="1"/>
  <c r="P187" i="1" s="1"/>
  <c r="Q187" i="1" s="1"/>
  <c r="S187" i="1" s="1"/>
  <c r="N149" i="1"/>
  <c r="O149" i="1" s="1"/>
  <c r="P149" i="1" s="1"/>
  <c r="Q149" i="1" s="1"/>
  <c r="S149" i="1" s="1"/>
  <c r="N124" i="1"/>
  <c r="O124" i="1" s="1"/>
  <c r="P124" i="1" s="1"/>
  <c r="Q124" i="1" s="1"/>
  <c r="S124" i="1" s="1"/>
  <c r="N186" i="1"/>
  <c r="O186" i="1" s="1"/>
  <c r="P186" i="1" s="1"/>
  <c r="Q186" i="1" s="1"/>
  <c r="S186" i="1" s="1"/>
  <c r="N125" i="1"/>
  <c r="O125" i="1" s="1"/>
  <c r="P125" i="1" s="1"/>
  <c r="Q125" i="1" s="1"/>
  <c r="S125" i="1" s="1"/>
  <c r="N185" i="1"/>
  <c r="O185" i="1" s="1"/>
  <c r="P185" i="1" s="1"/>
  <c r="Q185" i="1" s="1"/>
  <c r="S185" i="1" s="1"/>
  <c r="N139" i="1"/>
  <c r="O139" i="1" s="1"/>
  <c r="P139" i="1" s="1"/>
  <c r="Q139" i="1" s="1"/>
  <c r="S139" i="1" s="1"/>
  <c r="N103" i="1"/>
  <c r="O103" i="1" s="1"/>
  <c r="P103" i="1" s="1"/>
  <c r="Q103" i="1" s="1"/>
  <c r="S103" i="1" s="1"/>
  <c r="N110" i="1"/>
  <c r="O110" i="1" s="1"/>
  <c r="P110" i="1" s="1"/>
  <c r="Q110" i="1" s="1"/>
  <c r="S110" i="1" s="1"/>
  <c r="N38" i="1"/>
  <c r="O38" i="1" s="1"/>
  <c r="P38" i="1" s="1"/>
  <c r="Q38" i="1" s="1"/>
  <c r="S38" i="1" s="1"/>
  <c r="N13" i="1"/>
  <c r="O13" i="1" s="1"/>
  <c r="P13" i="1" s="1"/>
  <c r="Q13" i="1" s="1"/>
  <c r="N31" i="1"/>
  <c r="O31" i="1" s="1"/>
  <c r="P31" i="1" s="1"/>
  <c r="Q31" i="1" s="1"/>
  <c r="S31" i="1" s="1"/>
  <c r="N111" i="1"/>
  <c r="O111" i="1" s="1"/>
  <c r="P111" i="1" s="1"/>
  <c r="Q111" i="1" s="1"/>
  <c r="S111" i="1" s="1"/>
  <c r="N42" i="1"/>
  <c r="O42" i="1" s="1"/>
  <c r="P42" i="1" s="1"/>
  <c r="Q42" i="1" s="1"/>
  <c r="N89" i="1"/>
  <c r="O89" i="1" s="1"/>
  <c r="P89" i="1" s="1"/>
  <c r="Q89" i="1" s="1"/>
  <c r="N86" i="1"/>
  <c r="O86" i="1" s="1"/>
  <c r="P86" i="1" s="1"/>
  <c r="Q86" i="1" s="1"/>
  <c r="N183" i="1"/>
  <c r="O183" i="1" s="1"/>
  <c r="P183" i="1" s="1"/>
  <c r="Q183" i="1" s="1"/>
  <c r="S183" i="1" s="1"/>
  <c r="N44" i="1"/>
  <c r="O44" i="1" s="1"/>
  <c r="P44" i="1" s="1"/>
  <c r="Q44" i="1" s="1"/>
  <c r="N107" i="1"/>
  <c r="O107" i="1" s="1"/>
  <c r="P107" i="1" s="1"/>
  <c r="Q107" i="1" s="1"/>
  <c r="S107" i="1" s="1"/>
  <c r="N123" i="1"/>
  <c r="O123" i="1" s="1"/>
  <c r="P123" i="1" s="1"/>
  <c r="Q123" i="1" s="1"/>
  <c r="S123" i="1" s="1"/>
  <c r="N43" i="1"/>
  <c r="O43" i="1" s="1"/>
  <c r="P43" i="1" s="1"/>
  <c r="Q43" i="1" s="1"/>
  <c r="S43" i="1" s="1"/>
  <c r="N130" i="1"/>
  <c r="O130" i="1" s="1"/>
  <c r="P130" i="1" s="1"/>
  <c r="Q130" i="1" s="1"/>
  <c r="S130" i="1" s="1"/>
  <c r="N147" i="1"/>
  <c r="O147" i="1" s="1"/>
  <c r="P147" i="1" s="1"/>
  <c r="Q147" i="1" s="1"/>
  <c r="S147" i="1" s="1"/>
  <c r="N50" i="1"/>
  <c r="O50" i="1" s="1"/>
  <c r="P50" i="1" s="1"/>
  <c r="Q50" i="1" s="1"/>
  <c r="S50" i="1" s="1"/>
  <c r="N118" i="1"/>
  <c r="O118" i="1" s="1"/>
  <c r="P118" i="1" s="1"/>
  <c r="Q118" i="1" s="1"/>
  <c r="S118" i="1" s="1"/>
  <c r="N15" i="1"/>
  <c r="O15" i="1" s="1"/>
  <c r="P15" i="1" s="1"/>
  <c r="Q15" i="1" s="1"/>
  <c r="N39" i="1"/>
  <c r="O39" i="1" s="1"/>
  <c r="P39" i="1" s="1"/>
  <c r="Q39" i="1" s="1"/>
  <c r="S39" i="1" s="1"/>
  <c r="N93" i="1"/>
  <c r="O93" i="1" s="1"/>
  <c r="P93" i="1" s="1"/>
  <c r="Q93" i="1" s="1"/>
  <c r="N127" i="1"/>
  <c r="O127" i="1" s="1"/>
  <c r="P127" i="1" s="1"/>
  <c r="Q127" i="1" s="1"/>
  <c r="N48" i="1"/>
  <c r="O48" i="1" s="1"/>
  <c r="P48" i="1" s="1"/>
  <c r="Q48" i="1" s="1"/>
  <c r="S48" i="1" s="1"/>
  <c r="N47" i="1"/>
  <c r="O47" i="1" s="1"/>
  <c r="P47" i="1" s="1"/>
  <c r="Q47" i="1" s="1"/>
  <c r="S47" i="1" s="1"/>
  <c r="N129" i="1"/>
  <c r="O129" i="1" s="1"/>
  <c r="P129" i="1" s="1"/>
  <c r="Q129" i="1" s="1"/>
  <c r="S129" i="1" s="1"/>
  <c r="N128" i="1"/>
  <c r="O128" i="1" s="1"/>
  <c r="P128" i="1" s="1"/>
  <c r="Q128" i="1" s="1"/>
  <c r="S128" i="1" s="1"/>
  <c r="N83" i="1"/>
  <c r="O83" i="1" s="1"/>
  <c r="P83" i="1" s="1"/>
  <c r="Q83" i="1" s="1"/>
  <c r="N126" i="1"/>
  <c r="O126" i="1" s="1"/>
  <c r="P126" i="1" s="1"/>
  <c r="Q126" i="1" s="1"/>
  <c r="S126" i="1" s="1"/>
  <c r="N16" i="1"/>
  <c r="O16" i="1" s="1"/>
  <c r="P16" i="1" s="1"/>
  <c r="Q16" i="1" s="1"/>
  <c r="S16" i="1" s="1"/>
  <c r="N119" i="1"/>
  <c r="O119" i="1" s="1"/>
  <c r="P119" i="1" s="1"/>
  <c r="Q119" i="1" s="1"/>
  <c r="S119" i="1" s="1"/>
  <c r="N81" i="1"/>
  <c r="O81" i="1" s="1"/>
  <c r="P81" i="1" s="1"/>
  <c r="Q81" i="1" s="1"/>
  <c r="S81" i="1" s="1"/>
  <c r="N94" i="1"/>
  <c r="O94" i="1" s="1"/>
  <c r="P94" i="1" s="1"/>
  <c r="Q94" i="1" s="1"/>
  <c r="S94" i="1" s="1"/>
  <c r="N92" i="1"/>
  <c r="O92" i="1" s="1"/>
  <c r="P92" i="1" s="1"/>
  <c r="Q92" i="1" s="1"/>
  <c r="S92" i="1" s="1"/>
  <c r="N26" i="1"/>
  <c r="O26" i="1" s="1"/>
  <c r="P26" i="1" s="1"/>
  <c r="Q26" i="1" s="1"/>
  <c r="N105" i="1"/>
  <c r="O105" i="1" s="1"/>
  <c r="P105" i="1" s="1"/>
  <c r="Q105" i="1" s="1"/>
  <c r="S105" i="1" s="1"/>
  <c r="N98" i="1"/>
  <c r="O98" i="1" s="1"/>
  <c r="P98" i="1" s="1"/>
  <c r="Q98" i="1" s="1"/>
  <c r="S98" i="1" s="1"/>
  <c r="N14" i="1"/>
  <c r="O14" i="1" s="1"/>
  <c r="P14" i="1" s="1"/>
  <c r="Q14" i="1" s="1"/>
  <c r="S14" i="1" s="1"/>
  <c r="N121" i="1"/>
  <c r="O121" i="1" s="1"/>
  <c r="P121" i="1" s="1"/>
  <c r="Q121" i="1" s="1"/>
  <c r="S121" i="1" s="1"/>
  <c r="N32" i="1"/>
  <c r="O32" i="1" s="1"/>
  <c r="P32" i="1" s="1"/>
  <c r="Q32" i="1" s="1"/>
  <c r="S32" i="1" s="1"/>
  <c r="N34" i="1"/>
  <c r="O34" i="1" s="1"/>
  <c r="P34" i="1" s="1"/>
  <c r="Q34" i="1" s="1"/>
  <c r="S34" i="1" s="1"/>
  <c r="N36" i="1"/>
  <c r="O36" i="1" s="1"/>
  <c r="P36" i="1" s="1"/>
  <c r="Q36" i="1" s="1"/>
  <c r="S36" i="1" s="1"/>
  <c r="N133" i="1"/>
  <c r="O133" i="1" s="1"/>
  <c r="P133" i="1" s="1"/>
  <c r="Q133" i="1" s="1"/>
  <c r="S133" i="1" s="1"/>
  <c r="N141" i="1"/>
  <c r="O141" i="1" s="1"/>
  <c r="P141" i="1" s="1"/>
  <c r="Q141" i="1" s="1"/>
  <c r="S141" i="1" s="1"/>
  <c r="N146" i="1"/>
  <c r="O146" i="1" s="1"/>
  <c r="P146" i="1" s="1"/>
  <c r="Q146" i="1" s="1"/>
  <c r="N106" i="1"/>
  <c r="O106" i="1" s="1"/>
  <c r="P106" i="1" s="1"/>
  <c r="Q106" i="1" s="1"/>
  <c r="S106" i="1" s="1"/>
  <c r="N24" i="1"/>
  <c r="O24" i="1" s="1"/>
  <c r="P24" i="1" s="1"/>
  <c r="Q24" i="1" s="1"/>
  <c r="N20" i="1"/>
  <c r="O20" i="1" s="1"/>
  <c r="P20" i="1" s="1"/>
  <c r="Q20" i="1" s="1"/>
  <c r="S20" i="1" s="1"/>
  <c r="N144" i="1"/>
  <c r="O144" i="1" s="1"/>
  <c r="P144" i="1" s="1"/>
  <c r="Q144" i="1" s="1"/>
  <c r="S144" i="1" s="1"/>
  <c r="N120" i="1"/>
  <c r="O120" i="1" s="1"/>
  <c r="P120" i="1" s="1"/>
  <c r="Q120" i="1" s="1"/>
  <c r="N135" i="1"/>
  <c r="O135" i="1" s="1"/>
  <c r="P135" i="1" s="1"/>
  <c r="Q135" i="1" s="1"/>
  <c r="S135" i="1" s="1"/>
  <c r="N188" i="1"/>
  <c r="O188" i="1" s="1"/>
  <c r="P188" i="1" s="1"/>
  <c r="Q188" i="1" s="1"/>
  <c r="S188" i="1" s="1"/>
  <c r="N132" i="1"/>
  <c r="O132" i="1" s="1"/>
  <c r="P132" i="1" s="1"/>
  <c r="Q132" i="1" s="1"/>
  <c r="N37" i="1"/>
  <c r="O37" i="1" s="1"/>
  <c r="P37" i="1" s="1"/>
  <c r="Q37" i="1" s="1"/>
  <c r="S37" i="1" s="1"/>
  <c r="N131" i="1"/>
  <c r="O131" i="1" s="1"/>
  <c r="P131" i="1" s="1"/>
  <c r="Q131" i="1" s="1"/>
  <c r="S131" i="1" s="1"/>
  <c r="N136" i="1"/>
  <c r="O136" i="1" s="1"/>
  <c r="P136" i="1" s="1"/>
  <c r="Q136" i="1" s="1"/>
  <c r="S136" i="1" s="1"/>
  <c r="N25" i="1"/>
  <c r="O25" i="1" s="1"/>
  <c r="P25" i="1" s="1"/>
  <c r="Q25" i="1" s="1"/>
  <c r="S25" i="1" s="1"/>
  <c r="N33" i="1"/>
  <c r="O33" i="1" s="1"/>
  <c r="P33" i="1" s="1"/>
  <c r="Q33" i="1" s="1"/>
  <c r="N100" i="1"/>
  <c r="O100" i="1" s="1"/>
  <c r="P100" i="1" s="1"/>
  <c r="Q100" i="1" s="1"/>
  <c r="S100" i="1" s="1"/>
  <c r="N49" i="1"/>
  <c r="O49" i="1" s="1"/>
  <c r="P49" i="1" s="1"/>
  <c r="Q49" i="1" s="1"/>
  <c r="S49" i="1" s="1"/>
  <c r="N108" i="1"/>
  <c r="O108" i="1" s="1"/>
  <c r="P108" i="1" s="1"/>
  <c r="Q108" i="1" s="1"/>
  <c r="S108" i="1" s="1"/>
  <c r="N189" i="1"/>
  <c r="O189" i="1" s="1"/>
  <c r="P189" i="1" s="1"/>
  <c r="Q189" i="1" s="1"/>
  <c r="S189" i="1" s="1"/>
  <c r="N95" i="1"/>
  <c r="O95" i="1" s="1"/>
  <c r="P95" i="1" s="1"/>
  <c r="Q95" i="1" s="1"/>
  <c r="S95" i="1" s="1"/>
  <c r="N101" i="1"/>
  <c r="O101" i="1" s="1"/>
  <c r="P101" i="1" s="1"/>
  <c r="Q101" i="1" s="1"/>
  <c r="S101" i="1" s="1"/>
  <c r="I143" i="6" l="1"/>
  <c r="I141" i="6"/>
  <c r="I148" i="6"/>
  <c r="I140" i="6"/>
  <c r="J140" i="6" s="1"/>
  <c r="K140" i="6" s="1"/>
  <c r="L140" i="6" s="1"/>
  <c r="I147" i="6"/>
  <c r="I142" i="6"/>
  <c r="I144" i="6"/>
  <c r="I146" i="6"/>
  <c r="I145" i="6"/>
  <c r="O154" i="6"/>
  <c r="P154" i="6" s="1"/>
  <c r="R131" i="6"/>
  <c r="C69" i="5"/>
  <c r="C70" i="5" s="1"/>
  <c r="Q132" i="6"/>
  <c r="I50" i="6"/>
  <c r="J50" i="6" s="1"/>
  <c r="K50" i="6" s="1"/>
  <c r="L50" i="6" s="1"/>
  <c r="I51" i="6"/>
  <c r="J51" i="6" s="1"/>
  <c r="K51" i="6" s="1"/>
  <c r="L51" i="6" s="1"/>
  <c r="I49" i="6"/>
  <c r="J49" i="6" s="1"/>
  <c r="K49" i="6" s="1"/>
  <c r="L49" i="6" s="1"/>
  <c r="N49" i="6" s="1"/>
  <c r="P49" i="6" s="1"/>
  <c r="Q49" i="6" s="1"/>
  <c r="I48" i="6"/>
  <c r="J48" i="6" s="1"/>
  <c r="K48" i="6" s="1"/>
  <c r="L48" i="6" s="1"/>
  <c r="N48" i="6" s="1"/>
  <c r="P48" i="6" s="1"/>
  <c r="Q48" i="6" s="1"/>
  <c r="F124" i="6"/>
  <c r="D156" i="6"/>
  <c r="I98" i="6"/>
  <c r="J98" i="6" s="1"/>
  <c r="K98" i="6" s="1"/>
  <c r="I16" i="6"/>
  <c r="J16" i="6" s="1"/>
  <c r="K16" i="6" s="1"/>
  <c r="L16" i="6" s="1"/>
  <c r="I117" i="6"/>
  <c r="J117" i="6" s="1"/>
  <c r="K117" i="6" s="1"/>
  <c r="L117" i="6" s="1"/>
  <c r="N117" i="6" s="1"/>
  <c r="P117" i="6" s="1"/>
  <c r="I29" i="6"/>
  <c r="J29" i="6" s="1"/>
  <c r="K29" i="6" s="1"/>
  <c r="L29" i="6" s="1"/>
  <c r="N29" i="6" s="1"/>
  <c r="P29" i="6" s="1"/>
  <c r="I76" i="6"/>
  <c r="J76" i="6" s="1"/>
  <c r="K76" i="6" s="1"/>
  <c r="L76" i="6" s="1"/>
  <c r="N76" i="6" s="1"/>
  <c r="P76" i="6" s="1"/>
  <c r="I9" i="6"/>
  <c r="J9" i="6" s="1"/>
  <c r="K9" i="6" s="1"/>
  <c r="L9" i="6" s="1"/>
  <c r="N9" i="6" s="1"/>
  <c r="P9" i="6" s="1"/>
  <c r="I11" i="6"/>
  <c r="J11" i="6" s="1"/>
  <c r="K11" i="6" s="1"/>
  <c r="L11" i="6" s="1"/>
  <c r="N11" i="6" s="1"/>
  <c r="P11" i="6" s="1"/>
  <c r="I58" i="6"/>
  <c r="J58" i="6" s="1"/>
  <c r="K58" i="6" s="1"/>
  <c r="L58" i="6" s="1"/>
  <c r="N58" i="6" s="1"/>
  <c r="I85" i="6"/>
  <c r="J85" i="6" s="1"/>
  <c r="K85" i="6" s="1"/>
  <c r="L85" i="6" s="1"/>
  <c r="N85" i="6" s="1"/>
  <c r="P85" i="6" s="1"/>
  <c r="I122" i="6"/>
  <c r="J122" i="6" s="1"/>
  <c r="K122" i="6" s="1"/>
  <c r="L122" i="6" s="1"/>
  <c r="I84" i="6"/>
  <c r="J84" i="6" s="1"/>
  <c r="K84" i="6" s="1"/>
  <c r="L84" i="6" s="1"/>
  <c r="N84" i="6" s="1"/>
  <c r="P84" i="6" s="1"/>
  <c r="I23" i="6"/>
  <c r="J23" i="6" s="1"/>
  <c r="K23" i="6" s="1"/>
  <c r="L23" i="6" s="1"/>
  <c r="J146" i="6"/>
  <c r="K146" i="6" s="1"/>
  <c r="I101" i="6"/>
  <c r="J101" i="6" s="1"/>
  <c r="K101" i="6" s="1"/>
  <c r="I67" i="6"/>
  <c r="J67" i="6" s="1"/>
  <c r="K67" i="6" s="1"/>
  <c r="L67" i="6" s="1"/>
  <c r="N67" i="6" s="1"/>
  <c r="I57" i="6"/>
  <c r="J57" i="6" s="1"/>
  <c r="K57" i="6" s="1"/>
  <c r="L57" i="6" s="1"/>
  <c r="N57" i="6" s="1"/>
  <c r="I75" i="6"/>
  <c r="J75" i="6" s="1"/>
  <c r="K75" i="6" s="1"/>
  <c r="L75" i="6" s="1"/>
  <c r="N75" i="6" s="1"/>
  <c r="P75" i="6" s="1"/>
  <c r="I42" i="6"/>
  <c r="J42" i="6" s="1"/>
  <c r="K42" i="6" s="1"/>
  <c r="L42" i="6" s="1"/>
  <c r="N42" i="6" s="1"/>
  <c r="P42" i="6" s="1"/>
  <c r="J141" i="6"/>
  <c r="K141" i="6" s="1"/>
  <c r="I34" i="6"/>
  <c r="J34" i="6" s="1"/>
  <c r="K34" i="6" s="1"/>
  <c r="L34" i="6" s="1"/>
  <c r="I53" i="6"/>
  <c r="I61" i="6"/>
  <c r="J61" i="6" s="1"/>
  <c r="K61" i="6" s="1"/>
  <c r="L61" i="6" s="1"/>
  <c r="N61" i="6" s="1"/>
  <c r="I113" i="6"/>
  <c r="J113" i="6" s="1"/>
  <c r="K113" i="6" s="1"/>
  <c r="L113" i="6" s="1"/>
  <c r="N113" i="6" s="1"/>
  <c r="P113" i="6" s="1"/>
  <c r="I65" i="6"/>
  <c r="J65" i="6" s="1"/>
  <c r="K65" i="6" s="1"/>
  <c r="L65" i="6" s="1"/>
  <c r="N65" i="6" s="1"/>
  <c r="I71" i="6"/>
  <c r="J71" i="6" s="1"/>
  <c r="K71" i="6" s="1"/>
  <c r="L71" i="6" s="1"/>
  <c r="N71" i="6" s="1"/>
  <c r="I102" i="6"/>
  <c r="J102" i="6" s="1"/>
  <c r="K102" i="6" s="1"/>
  <c r="J147" i="6"/>
  <c r="K147" i="6" s="1"/>
  <c r="L147" i="6" s="1"/>
  <c r="I119" i="6"/>
  <c r="J119" i="6" s="1"/>
  <c r="K119" i="6" s="1"/>
  <c r="L119" i="6" s="1"/>
  <c r="N119" i="6" s="1"/>
  <c r="P119" i="6" s="1"/>
  <c r="I118" i="6"/>
  <c r="J118" i="6" s="1"/>
  <c r="K118" i="6" s="1"/>
  <c r="L118" i="6" s="1"/>
  <c r="N118" i="6" s="1"/>
  <c r="P118" i="6" s="1"/>
  <c r="I41" i="6"/>
  <c r="J41" i="6" s="1"/>
  <c r="K41" i="6" s="1"/>
  <c r="L41" i="6" s="1"/>
  <c r="I35" i="6"/>
  <c r="J35" i="6" s="1"/>
  <c r="K35" i="6" s="1"/>
  <c r="L35" i="6" s="1"/>
  <c r="N35" i="6" s="1"/>
  <c r="P35" i="6" s="1"/>
  <c r="I32" i="6"/>
  <c r="J32" i="6" s="1"/>
  <c r="K32" i="6" s="1"/>
  <c r="L32" i="6" s="1"/>
  <c r="J144" i="6"/>
  <c r="K144" i="6" s="1"/>
  <c r="I114" i="6"/>
  <c r="J114" i="6" s="1"/>
  <c r="K114" i="6" s="1"/>
  <c r="L114" i="6" s="1"/>
  <c r="N114" i="6" s="1"/>
  <c r="P114" i="6" s="1"/>
  <c r="I108" i="6"/>
  <c r="J108" i="6" s="1"/>
  <c r="K108" i="6" s="1"/>
  <c r="L108" i="6" s="1"/>
  <c r="N108" i="6" s="1"/>
  <c r="P108" i="6" s="1"/>
  <c r="I107" i="6"/>
  <c r="J107" i="6" s="1"/>
  <c r="K107" i="6" s="1"/>
  <c r="L107" i="6" s="1"/>
  <c r="N107" i="6" s="1"/>
  <c r="P107" i="6" s="1"/>
  <c r="I99" i="6"/>
  <c r="J99" i="6" s="1"/>
  <c r="K99" i="6" s="1"/>
  <c r="L99" i="6" s="1"/>
  <c r="I88" i="6"/>
  <c r="J88" i="6" s="1"/>
  <c r="K88" i="6" s="1"/>
  <c r="L88" i="6" s="1"/>
  <c r="I79" i="6"/>
  <c r="J79" i="6" s="1"/>
  <c r="K79" i="6" s="1"/>
  <c r="L79" i="6" s="1"/>
  <c r="N79" i="6" s="1"/>
  <c r="P79" i="6" s="1"/>
  <c r="I62" i="6"/>
  <c r="J62" i="6" s="1"/>
  <c r="K62" i="6" s="1"/>
  <c r="L62" i="6" s="1"/>
  <c r="I55" i="6"/>
  <c r="J55" i="6" s="1"/>
  <c r="K55" i="6" s="1"/>
  <c r="L55" i="6" s="1"/>
  <c r="N55" i="6" s="1"/>
  <c r="I10" i="6"/>
  <c r="J10" i="6" s="1"/>
  <c r="K10" i="6" s="1"/>
  <c r="L10" i="6" s="1"/>
  <c r="I12" i="6"/>
  <c r="J12" i="6" s="1"/>
  <c r="K12" i="6" s="1"/>
  <c r="L12" i="6" s="1"/>
  <c r="I56" i="6"/>
  <c r="J56" i="6" s="1"/>
  <c r="K56" i="6" s="1"/>
  <c r="L56" i="6" s="1"/>
  <c r="I80" i="6"/>
  <c r="J80" i="6" s="1"/>
  <c r="K80" i="6" s="1"/>
  <c r="L80" i="6" s="1"/>
  <c r="N80" i="6" s="1"/>
  <c r="P80" i="6" s="1"/>
  <c r="I92" i="6"/>
  <c r="J92" i="6" s="1"/>
  <c r="K92" i="6" s="1"/>
  <c r="I30" i="6"/>
  <c r="J30" i="6" s="1"/>
  <c r="K30" i="6" s="1"/>
  <c r="L30" i="6" s="1"/>
  <c r="I46" i="6"/>
  <c r="J46" i="6" s="1"/>
  <c r="K46" i="6" s="1"/>
  <c r="L46" i="6" s="1"/>
  <c r="N46" i="6" s="1"/>
  <c r="P46" i="6" s="1"/>
  <c r="I120" i="6"/>
  <c r="J120" i="6" s="1"/>
  <c r="K120" i="6" s="1"/>
  <c r="L120" i="6" s="1"/>
  <c r="N120" i="6" s="1"/>
  <c r="P120" i="6" s="1"/>
  <c r="J148" i="6"/>
  <c r="K148" i="6" s="1"/>
  <c r="I40" i="6"/>
  <c r="J40" i="6" s="1"/>
  <c r="K40" i="6" s="1"/>
  <c r="L40" i="6" s="1"/>
  <c r="N40" i="6" s="1"/>
  <c r="P40" i="6" s="1"/>
  <c r="I78" i="6"/>
  <c r="J78" i="6" s="1"/>
  <c r="K78" i="6" s="1"/>
  <c r="L78" i="6" s="1"/>
  <c r="N78" i="6" s="1"/>
  <c r="P78" i="6" s="1"/>
  <c r="I22" i="6"/>
  <c r="J22" i="6" s="1"/>
  <c r="K22" i="6" s="1"/>
  <c r="L22" i="6" s="1"/>
  <c r="N22" i="6" s="1"/>
  <c r="P22" i="6" s="1"/>
  <c r="I13" i="6"/>
  <c r="J13" i="6" s="1"/>
  <c r="K13" i="6" s="1"/>
  <c r="L13" i="6" s="1"/>
  <c r="N13" i="6" s="1"/>
  <c r="P13" i="6" s="1"/>
  <c r="I82" i="6"/>
  <c r="J82" i="6" s="1"/>
  <c r="K82" i="6" s="1"/>
  <c r="L82" i="6" s="1"/>
  <c r="N82" i="6" s="1"/>
  <c r="P82" i="6" s="1"/>
  <c r="I94" i="6"/>
  <c r="J94" i="6" s="1"/>
  <c r="K94" i="6" s="1"/>
  <c r="L94" i="6" s="1"/>
  <c r="I26" i="6"/>
  <c r="J26" i="6" s="1"/>
  <c r="K26" i="6" s="1"/>
  <c r="L26" i="6" s="1"/>
  <c r="N26" i="6" s="1"/>
  <c r="P26" i="6" s="1"/>
  <c r="Q26" i="6" s="1"/>
  <c r="R26" i="6" s="1"/>
  <c r="I116" i="6"/>
  <c r="J116" i="6" s="1"/>
  <c r="K116" i="6" s="1"/>
  <c r="L116" i="6" s="1"/>
  <c r="N116" i="6" s="1"/>
  <c r="P116" i="6" s="1"/>
  <c r="I115" i="6"/>
  <c r="J115" i="6" s="1"/>
  <c r="K115" i="6" s="1"/>
  <c r="L115" i="6" s="1"/>
  <c r="N115" i="6" s="1"/>
  <c r="P115" i="6" s="1"/>
  <c r="I47" i="6"/>
  <c r="J47" i="6" s="1"/>
  <c r="K47" i="6" s="1"/>
  <c r="L47" i="6" s="1"/>
  <c r="N47" i="6" s="1"/>
  <c r="P47" i="6" s="1"/>
  <c r="I39" i="6"/>
  <c r="J39" i="6" s="1"/>
  <c r="K39" i="6" s="1"/>
  <c r="L39" i="6" s="1"/>
  <c r="I31" i="6"/>
  <c r="J31" i="6" s="1"/>
  <c r="K31" i="6" s="1"/>
  <c r="L31" i="6" s="1"/>
  <c r="N31" i="6" s="1"/>
  <c r="P31" i="6" s="1"/>
  <c r="I28" i="6"/>
  <c r="J28" i="6" s="1"/>
  <c r="K28" i="6" s="1"/>
  <c r="L28" i="6" s="1"/>
  <c r="N28" i="6" s="1"/>
  <c r="P28" i="6" s="1"/>
  <c r="I112" i="6"/>
  <c r="J112" i="6" s="1"/>
  <c r="K112" i="6" s="1"/>
  <c r="L112" i="6" s="1"/>
  <c r="N112" i="6" s="1"/>
  <c r="P112" i="6" s="1"/>
  <c r="I97" i="6"/>
  <c r="J97" i="6" s="1"/>
  <c r="K97" i="6" s="1"/>
  <c r="I105" i="6"/>
  <c r="J105" i="6" s="1"/>
  <c r="K105" i="6" s="1"/>
  <c r="L105" i="6" s="1"/>
  <c r="N105" i="6" s="1"/>
  <c r="P105" i="6" s="1"/>
  <c r="I91" i="6"/>
  <c r="J91" i="6" s="1"/>
  <c r="K91" i="6" s="1"/>
  <c r="I74" i="6"/>
  <c r="J74" i="6" s="1"/>
  <c r="K74" i="6" s="1"/>
  <c r="L74" i="6" s="1"/>
  <c r="N74" i="6" s="1"/>
  <c r="I77" i="6"/>
  <c r="J77" i="6" s="1"/>
  <c r="K77" i="6" s="1"/>
  <c r="L77" i="6" s="1"/>
  <c r="N77" i="6" s="1"/>
  <c r="P77" i="6" s="1"/>
  <c r="I60" i="6"/>
  <c r="J60" i="6" s="1"/>
  <c r="K60" i="6" s="1"/>
  <c r="L60" i="6" s="1"/>
  <c r="N60" i="6" s="1"/>
  <c r="I14" i="6"/>
  <c r="J14" i="6" s="1"/>
  <c r="K14" i="6" s="1"/>
  <c r="L14" i="6" s="1"/>
  <c r="I15" i="6"/>
  <c r="J15" i="6" s="1"/>
  <c r="K15" i="6" s="1"/>
  <c r="L15" i="6" s="1"/>
  <c r="N15" i="6" s="1"/>
  <c r="P15" i="6" s="1"/>
  <c r="I59" i="6"/>
  <c r="J59" i="6" s="1"/>
  <c r="K59" i="6" s="1"/>
  <c r="L59" i="6" s="1"/>
  <c r="I89" i="6"/>
  <c r="J89" i="6" s="1"/>
  <c r="K89" i="6" s="1"/>
  <c r="L89" i="6" s="1"/>
  <c r="I96" i="6"/>
  <c r="J96" i="6" s="1"/>
  <c r="K96" i="6" s="1"/>
  <c r="J145" i="6"/>
  <c r="K145" i="6" s="1"/>
  <c r="L145" i="6" s="1"/>
  <c r="I36" i="6"/>
  <c r="J36" i="6" s="1"/>
  <c r="K36" i="6" s="1"/>
  <c r="L36" i="6" s="1"/>
  <c r="N36" i="6" s="1"/>
  <c r="P36" i="6" s="1"/>
  <c r="J142" i="6"/>
  <c r="K142" i="6" s="1"/>
  <c r="L142" i="6" s="1"/>
  <c r="I68" i="6"/>
  <c r="J68" i="6" s="1"/>
  <c r="K68" i="6" s="1"/>
  <c r="L68" i="6" s="1"/>
  <c r="N68" i="6" s="1"/>
  <c r="I21" i="6"/>
  <c r="J21" i="6" s="1"/>
  <c r="K21" i="6" s="1"/>
  <c r="L21" i="6" s="1"/>
  <c r="I104" i="6"/>
  <c r="J104" i="6" s="1"/>
  <c r="K104" i="6" s="1"/>
  <c r="L104" i="6" s="1"/>
  <c r="N104" i="6" s="1"/>
  <c r="P104" i="6" s="1"/>
  <c r="I33" i="6"/>
  <c r="J33" i="6" s="1"/>
  <c r="K33" i="6" s="1"/>
  <c r="L33" i="6" s="1"/>
  <c r="N33" i="6" s="1"/>
  <c r="P33" i="6" s="1"/>
  <c r="I86" i="6"/>
  <c r="J86" i="6" s="1"/>
  <c r="K86" i="6" s="1"/>
  <c r="L86" i="6" s="1"/>
  <c r="I106" i="6"/>
  <c r="J106" i="6" s="1"/>
  <c r="K106" i="6" s="1"/>
  <c r="L106" i="6" s="1"/>
  <c r="N106" i="6" s="1"/>
  <c r="P106" i="6" s="1"/>
  <c r="I54" i="6"/>
  <c r="J54" i="6" s="1"/>
  <c r="K54" i="6" s="1"/>
  <c r="L54" i="6" s="1"/>
  <c r="N54" i="6" s="1"/>
  <c r="I19" i="6"/>
  <c r="J19" i="6" s="1"/>
  <c r="K19" i="6" s="1"/>
  <c r="L19" i="6" s="1"/>
  <c r="N19" i="6" s="1"/>
  <c r="P19" i="6" s="1"/>
  <c r="I69" i="6"/>
  <c r="J69" i="6" s="1"/>
  <c r="K69" i="6" s="1"/>
  <c r="L69" i="6" s="1"/>
  <c r="I110" i="6"/>
  <c r="J110" i="6" s="1"/>
  <c r="K110" i="6" s="1"/>
  <c r="L110" i="6" s="1"/>
  <c r="N110" i="6" s="1"/>
  <c r="P110" i="6" s="1"/>
  <c r="I44" i="6"/>
  <c r="J44" i="6" s="1"/>
  <c r="K44" i="6" s="1"/>
  <c r="L44" i="6" s="1"/>
  <c r="I45" i="6"/>
  <c r="J45" i="6" s="1"/>
  <c r="K45" i="6" s="1"/>
  <c r="L45" i="6" s="1"/>
  <c r="I37" i="6"/>
  <c r="J37" i="6" s="1"/>
  <c r="K37" i="6" s="1"/>
  <c r="L37" i="6" s="1"/>
  <c r="N37" i="6" s="1"/>
  <c r="P37" i="6" s="1"/>
  <c r="I27" i="6"/>
  <c r="J27" i="6" s="1"/>
  <c r="K27" i="6" s="1"/>
  <c r="L27" i="6" s="1"/>
  <c r="I24" i="6"/>
  <c r="J24" i="6" s="1"/>
  <c r="K24" i="6" s="1"/>
  <c r="L24" i="6" s="1"/>
  <c r="N24" i="6" s="1"/>
  <c r="P24" i="6" s="1"/>
  <c r="I95" i="6"/>
  <c r="J95" i="6" s="1"/>
  <c r="K95" i="6" s="1"/>
  <c r="L95" i="6" s="1"/>
  <c r="I103" i="6"/>
  <c r="J103" i="6" s="1"/>
  <c r="K103" i="6" s="1"/>
  <c r="L103" i="6" s="1"/>
  <c r="N103" i="6" s="1"/>
  <c r="P103" i="6" s="1"/>
  <c r="I87" i="6"/>
  <c r="J87" i="6" s="1"/>
  <c r="K87" i="6" s="1"/>
  <c r="L87" i="6" s="1"/>
  <c r="N87" i="6" s="1"/>
  <c r="P87" i="6" s="1"/>
  <c r="I70" i="6"/>
  <c r="J70" i="6" s="1"/>
  <c r="K70" i="6" s="1"/>
  <c r="L70" i="6" s="1"/>
  <c r="N70" i="6" s="1"/>
  <c r="I83" i="6"/>
  <c r="J83" i="6" s="1"/>
  <c r="K83" i="6" s="1"/>
  <c r="L83" i="6" s="1"/>
  <c r="N83" i="6" s="1"/>
  <c r="P83" i="6" s="1"/>
  <c r="I73" i="6"/>
  <c r="J73" i="6" s="1"/>
  <c r="K73" i="6" s="1"/>
  <c r="L73" i="6" s="1"/>
  <c r="N73" i="6" s="1"/>
  <c r="I64" i="6"/>
  <c r="J64" i="6" s="1"/>
  <c r="K64" i="6" s="1"/>
  <c r="L64" i="6" s="1"/>
  <c r="N64" i="6" s="1"/>
  <c r="I20" i="6"/>
  <c r="J20" i="6" s="1"/>
  <c r="K20" i="6" s="1"/>
  <c r="L20" i="6" s="1"/>
  <c r="N20" i="6" s="1"/>
  <c r="P20" i="6" s="1"/>
  <c r="I63" i="6"/>
  <c r="J63" i="6" s="1"/>
  <c r="K63" i="6" s="1"/>
  <c r="L63" i="6" s="1"/>
  <c r="N63" i="6" s="1"/>
  <c r="I17" i="6"/>
  <c r="J17" i="6" s="1"/>
  <c r="K17" i="6" s="1"/>
  <c r="L17" i="6" s="1"/>
  <c r="N17" i="6" s="1"/>
  <c r="P17" i="6" s="1"/>
  <c r="I66" i="6"/>
  <c r="J66" i="6" s="1"/>
  <c r="K66" i="6" s="1"/>
  <c r="L66" i="6" s="1"/>
  <c r="I90" i="6"/>
  <c r="J90" i="6" s="1"/>
  <c r="K90" i="6" s="1"/>
  <c r="I100" i="6"/>
  <c r="J100" i="6" s="1"/>
  <c r="K100" i="6" s="1"/>
  <c r="L100" i="6" s="1"/>
  <c r="I109" i="6"/>
  <c r="J109" i="6" s="1"/>
  <c r="K109" i="6" s="1"/>
  <c r="L109" i="6" s="1"/>
  <c r="I25" i="6"/>
  <c r="J25" i="6" s="1"/>
  <c r="K25" i="6" s="1"/>
  <c r="L25" i="6" s="1"/>
  <c r="I38" i="6"/>
  <c r="J38" i="6" s="1"/>
  <c r="K38" i="6" s="1"/>
  <c r="L38" i="6" s="1"/>
  <c r="N38" i="6" s="1"/>
  <c r="P38" i="6" s="1"/>
  <c r="Q38" i="6" s="1"/>
  <c r="R38" i="6" s="1"/>
  <c r="I121" i="6"/>
  <c r="J121" i="6" s="1"/>
  <c r="K121" i="6" s="1"/>
  <c r="L121" i="6" s="1"/>
  <c r="J143" i="6"/>
  <c r="K143" i="6" s="1"/>
  <c r="I43" i="6"/>
  <c r="J43" i="6" s="1"/>
  <c r="K43" i="6" s="1"/>
  <c r="L43" i="6" s="1"/>
  <c r="N43" i="6" s="1"/>
  <c r="P43" i="6" s="1"/>
  <c r="I93" i="6"/>
  <c r="J93" i="6" s="1"/>
  <c r="K93" i="6" s="1"/>
  <c r="I81" i="6"/>
  <c r="J81" i="6" s="1"/>
  <c r="K81" i="6" s="1"/>
  <c r="L81" i="6" s="1"/>
  <c r="N81" i="6" s="1"/>
  <c r="P81" i="6" s="1"/>
  <c r="I18" i="6"/>
  <c r="J18" i="6" s="1"/>
  <c r="K18" i="6" s="1"/>
  <c r="L18" i="6" s="1"/>
  <c r="I8" i="6"/>
  <c r="I72" i="6"/>
  <c r="J72" i="6" s="1"/>
  <c r="K72" i="6" s="1"/>
  <c r="L72" i="6" s="1"/>
  <c r="N72" i="6" s="1"/>
  <c r="I111" i="6"/>
  <c r="J111" i="6" s="1"/>
  <c r="K111" i="6" s="1"/>
  <c r="L111" i="6" s="1"/>
  <c r="N111" i="6" s="1"/>
  <c r="P111" i="6" s="1"/>
  <c r="S24" i="1"/>
  <c r="S127" i="1"/>
  <c r="S17" i="1"/>
  <c r="S93" i="1"/>
  <c r="S28" i="1"/>
  <c r="S19" i="1"/>
  <c r="S15" i="1"/>
  <c r="S26" i="1"/>
  <c r="S42" i="1"/>
  <c r="S132" i="1"/>
  <c r="S13" i="1"/>
  <c r="O11" i="1"/>
  <c r="N73" i="1"/>
  <c r="S65" i="1"/>
  <c r="S83" i="1"/>
  <c r="S33" i="1"/>
  <c r="S120" i="1"/>
  <c r="S86" i="1"/>
  <c r="S30" i="1"/>
  <c r="S21" i="1"/>
  <c r="O80" i="1"/>
  <c r="N196" i="1"/>
  <c r="S138" i="1"/>
  <c r="S146" i="1"/>
  <c r="S44" i="1"/>
  <c r="S89" i="1"/>
  <c r="S96" i="1"/>
  <c r="S35" i="1"/>
  <c r="L144" i="6" l="1"/>
  <c r="N144" i="6" s="1"/>
  <c r="P144" i="6" s="1"/>
  <c r="L148" i="6"/>
  <c r="N148" i="6" s="1"/>
  <c r="P148" i="6" s="1"/>
  <c r="L143" i="6"/>
  <c r="N143" i="6" s="1"/>
  <c r="P143" i="6" s="1"/>
  <c r="L141" i="6"/>
  <c r="N141" i="6" s="1"/>
  <c r="P141" i="6" s="1"/>
  <c r="L146" i="6"/>
  <c r="N146" i="6" s="1"/>
  <c r="P146" i="6" s="1"/>
  <c r="L90" i="6"/>
  <c r="N90" i="6" s="1"/>
  <c r="P90" i="6" s="1"/>
  <c r="L97" i="6"/>
  <c r="N97" i="6" s="1"/>
  <c r="P97" i="6" s="1"/>
  <c r="L92" i="6"/>
  <c r="N92" i="6" s="1"/>
  <c r="P92" i="6" s="1"/>
  <c r="L102" i="6"/>
  <c r="N102" i="6" s="1"/>
  <c r="P102" i="6" s="1"/>
  <c r="L101" i="6"/>
  <c r="N101" i="6" s="1"/>
  <c r="P101" i="6" s="1"/>
  <c r="L93" i="6"/>
  <c r="N93" i="6" s="1"/>
  <c r="P93" i="6" s="1"/>
  <c r="L96" i="6"/>
  <c r="N96" i="6" s="1"/>
  <c r="P96" i="6" s="1"/>
  <c r="L91" i="6"/>
  <c r="N91" i="6" s="1"/>
  <c r="P91" i="6" s="1"/>
  <c r="L98" i="6"/>
  <c r="N98" i="6" s="1"/>
  <c r="P98" i="6" s="1"/>
  <c r="N100" i="6"/>
  <c r="P100" i="6" s="1"/>
  <c r="N95" i="6"/>
  <c r="P95" i="6" s="1"/>
  <c r="N88" i="6"/>
  <c r="P88" i="6" s="1"/>
  <c r="N89" i="6"/>
  <c r="P89" i="6" s="1"/>
  <c r="N198" i="1"/>
  <c r="N121" i="6"/>
  <c r="P121" i="6" s="1"/>
  <c r="N122" i="6"/>
  <c r="P122" i="6" s="1"/>
  <c r="J8" i="6"/>
  <c r="I52" i="6"/>
  <c r="N86" i="6"/>
  <c r="P86" i="6" s="1"/>
  <c r="D144" i="3"/>
  <c r="D147" i="3"/>
  <c r="E147" i="3" s="1"/>
  <c r="D21" i="3"/>
  <c r="E21" i="3" s="1"/>
  <c r="N140" i="6"/>
  <c r="P140" i="6" s="1"/>
  <c r="D51" i="3"/>
  <c r="E51" i="3" s="1"/>
  <c r="N51" i="6"/>
  <c r="P51" i="6" s="1"/>
  <c r="D13" i="3"/>
  <c r="E13" i="3" s="1"/>
  <c r="N12" i="6"/>
  <c r="P12" i="6" s="1"/>
  <c r="D40" i="3"/>
  <c r="E40" i="3" s="1"/>
  <c r="N32" i="6"/>
  <c r="P32" i="6" s="1"/>
  <c r="D52" i="3"/>
  <c r="E52" i="3" s="1"/>
  <c r="N50" i="6"/>
  <c r="P50" i="6" s="1"/>
  <c r="D17" i="3"/>
  <c r="E17" i="3" s="1"/>
  <c r="N16" i="6"/>
  <c r="P16" i="6" s="1"/>
  <c r="D50" i="3"/>
  <c r="E50" i="3" s="1"/>
  <c r="N45" i="6"/>
  <c r="P45" i="6" s="1"/>
  <c r="D124" i="3"/>
  <c r="N69" i="6"/>
  <c r="D28" i="3"/>
  <c r="E28" i="3" s="1"/>
  <c r="N21" i="6"/>
  <c r="P21" i="6" s="1"/>
  <c r="D30" i="3"/>
  <c r="E30" i="3" s="1"/>
  <c r="N145" i="6"/>
  <c r="P145" i="6" s="1"/>
  <c r="D118" i="3"/>
  <c r="E118" i="3" s="1"/>
  <c r="N59" i="6"/>
  <c r="D25" i="3"/>
  <c r="E25" i="3" s="1"/>
  <c r="N10" i="6"/>
  <c r="P10" i="6" s="1"/>
  <c r="D32" i="3"/>
  <c r="E32" i="3" s="1"/>
  <c r="N147" i="6"/>
  <c r="P147" i="6" s="1"/>
  <c r="J53" i="6"/>
  <c r="K53" i="6" s="1"/>
  <c r="I123" i="6"/>
  <c r="D19" i="3"/>
  <c r="E19" i="3" s="1"/>
  <c r="N18" i="6"/>
  <c r="P18" i="6" s="1"/>
  <c r="D122" i="3"/>
  <c r="E122" i="3" s="1"/>
  <c r="N66" i="6"/>
  <c r="D98" i="3"/>
  <c r="E98" i="3" s="1"/>
  <c r="N109" i="6"/>
  <c r="P109" i="6" s="1"/>
  <c r="D44" i="3"/>
  <c r="E44" i="3" s="1"/>
  <c r="N30" i="6"/>
  <c r="P30" i="6" s="1"/>
  <c r="D8" i="3"/>
  <c r="E8" i="3" s="1"/>
  <c r="N41" i="6"/>
  <c r="P41" i="6" s="1"/>
  <c r="D42" i="3"/>
  <c r="E42" i="3" s="1"/>
  <c r="N34" i="6"/>
  <c r="P34" i="6" s="1"/>
  <c r="D34" i="3"/>
  <c r="E34" i="3" s="1"/>
  <c r="N25" i="6"/>
  <c r="P25" i="6" s="1"/>
  <c r="D36" i="3"/>
  <c r="E36" i="3" s="1"/>
  <c r="N27" i="6"/>
  <c r="P27" i="6" s="1"/>
  <c r="D49" i="3"/>
  <c r="E49" i="3" s="1"/>
  <c r="N44" i="6"/>
  <c r="P44" i="6" s="1"/>
  <c r="D23" i="3"/>
  <c r="E23" i="3" s="1"/>
  <c r="N142" i="6"/>
  <c r="P142" i="6" s="1"/>
  <c r="D15" i="3"/>
  <c r="E15" i="3" s="1"/>
  <c r="N14" i="6"/>
  <c r="P14" i="6" s="1"/>
  <c r="D48" i="3"/>
  <c r="E48" i="3" s="1"/>
  <c r="N39" i="6"/>
  <c r="P39" i="6" s="1"/>
  <c r="N94" i="6"/>
  <c r="P94" i="6" s="1"/>
  <c r="D153" i="3"/>
  <c r="E153" i="3" s="1"/>
  <c r="D154" i="3"/>
  <c r="E154" i="3" s="1"/>
  <c r="D116" i="3"/>
  <c r="E116" i="3" s="1"/>
  <c r="N56" i="6"/>
  <c r="D120" i="3"/>
  <c r="E120" i="3" s="1"/>
  <c r="N62" i="6"/>
  <c r="D156" i="3"/>
  <c r="E156" i="3" s="1"/>
  <c r="D157" i="3"/>
  <c r="E157" i="3" s="1"/>
  <c r="N99" i="6"/>
  <c r="P99" i="6" s="1"/>
  <c r="D38" i="3"/>
  <c r="E38" i="3" s="1"/>
  <c r="N23" i="6"/>
  <c r="P23" i="6" s="1"/>
  <c r="D20" i="3"/>
  <c r="P80" i="1"/>
  <c r="O196" i="1"/>
  <c r="P11" i="1"/>
  <c r="O73" i="1"/>
  <c r="E124" i="3" l="1"/>
  <c r="D163" i="3"/>
  <c r="E163" i="3" s="1"/>
  <c r="E144" i="3"/>
  <c r="D129" i="3"/>
  <c r="E129" i="3" s="1"/>
  <c r="D117" i="3"/>
  <c r="E117" i="3" s="1"/>
  <c r="P56" i="6" s="1"/>
  <c r="D33" i="3"/>
  <c r="E33" i="3" s="1"/>
  <c r="D14" i="3"/>
  <c r="E14" i="3" s="1"/>
  <c r="D125" i="3"/>
  <c r="E125" i="3" s="1"/>
  <c r="D150" i="3"/>
  <c r="E150" i="3" s="1"/>
  <c r="D146" i="3"/>
  <c r="E146" i="3" s="1"/>
  <c r="D161" i="3"/>
  <c r="E161" i="3" s="1"/>
  <c r="D99" i="3"/>
  <c r="E99" i="3" s="1"/>
  <c r="D18" i="3"/>
  <c r="E18" i="3" s="1"/>
  <c r="D41" i="3"/>
  <c r="E41" i="3" s="1"/>
  <c r="D162" i="3"/>
  <c r="E162" i="3" s="1"/>
  <c r="D123" i="3"/>
  <c r="E123" i="3" s="1"/>
  <c r="P66" i="6" s="1"/>
  <c r="D130" i="3"/>
  <c r="E130" i="3" s="1"/>
  <c r="D31" i="3"/>
  <c r="E31" i="3" s="1"/>
  <c r="D132" i="3"/>
  <c r="E132" i="3" s="1"/>
  <c r="D160" i="3"/>
  <c r="E160" i="3" s="1"/>
  <c r="D133" i="3"/>
  <c r="E133" i="3" s="1"/>
  <c r="D26" i="3"/>
  <c r="E26" i="3" s="1"/>
  <c r="D29" i="3"/>
  <c r="E29" i="3" s="1"/>
  <c r="D119" i="3"/>
  <c r="E119" i="3" s="1"/>
  <c r="P61" i="6" s="1"/>
  <c r="D145" i="3"/>
  <c r="E145" i="3" s="1"/>
  <c r="D37" i="3"/>
  <c r="E37" i="3" s="1"/>
  <c r="D43" i="3"/>
  <c r="E43" i="3" s="1"/>
  <c r="D16" i="3"/>
  <c r="E16" i="3" s="1"/>
  <c r="D121" i="3"/>
  <c r="E121" i="3" s="1"/>
  <c r="P64" i="6" s="1"/>
  <c r="L53" i="6"/>
  <c r="K123" i="6"/>
  <c r="D39" i="3"/>
  <c r="E39" i="3" s="1"/>
  <c r="D35" i="3"/>
  <c r="E35" i="3" s="1"/>
  <c r="D45" i="3"/>
  <c r="E45" i="3" s="1"/>
  <c r="D131" i="3"/>
  <c r="E131" i="3" s="1"/>
  <c r="I124" i="6"/>
  <c r="K8" i="6"/>
  <c r="J52" i="6"/>
  <c r="Q112" i="6"/>
  <c r="R112" i="6" s="1"/>
  <c r="Q147" i="6"/>
  <c r="Q86" i="6"/>
  <c r="R86" i="6" s="1"/>
  <c r="Q87" i="6"/>
  <c r="R87" i="6" s="1"/>
  <c r="Q19" i="6"/>
  <c r="R19" i="6" s="1"/>
  <c r="Q17" i="6"/>
  <c r="R17" i="6" s="1"/>
  <c r="E20" i="3"/>
  <c r="Q42" i="6"/>
  <c r="R42" i="6" s="1"/>
  <c r="Q33" i="6"/>
  <c r="R33" i="6" s="1"/>
  <c r="Q15" i="6"/>
  <c r="R15" i="6" s="1"/>
  <c r="Q50" i="6"/>
  <c r="R50" i="6" s="1"/>
  <c r="Q31" i="6"/>
  <c r="R31" i="6" s="1"/>
  <c r="Q41" i="6"/>
  <c r="R41" i="6" s="1"/>
  <c r="Q24" i="6"/>
  <c r="R24" i="6" s="1"/>
  <c r="Q145" i="6"/>
  <c r="D22" i="3"/>
  <c r="E22" i="3" s="1"/>
  <c r="P73" i="1"/>
  <c r="Q11" i="1"/>
  <c r="O198" i="1"/>
  <c r="P196" i="1"/>
  <c r="Q80" i="1"/>
  <c r="D137" i="3" l="1"/>
  <c r="E137" i="3" s="1"/>
  <c r="P58" i="6"/>
  <c r="Q58" i="6" s="1"/>
  <c r="R58" i="6" s="1"/>
  <c r="P60" i="6"/>
  <c r="P74" i="6"/>
  <c r="Q74" i="6" s="1"/>
  <c r="R74" i="6" s="1"/>
  <c r="P70" i="6"/>
  <c r="P57" i="6"/>
  <c r="Q57" i="6" s="1"/>
  <c r="R57" i="6" s="1"/>
  <c r="P72" i="6"/>
  <c r="Q72" i="6" s="1"/>
  <c r="R72" i="6" s="1"/>
  <c r="D151" i="3"/>
  <c r="E151" i="3" s="1"/>
  <c r="P69" i="6"/>
  <c r="Q69" i="6" s="1"/>
  <c r="R69" i="6" s="1"/>
  <c r="P71" i="6"/>
  <c r="Q71" i="6" s="1"/>
  <c r="R71" i="6" s="1"/>
  <c r="P73" i="6"/>
  <c r="D138" i="3"/>
  <c r="E138" i="3" s="1"/>
  <c r="D100" i="3"/>
  <c r="E100" i="3" s="1"/>
  <c r="P67" i="6"/>
  <c r="Q67" i="6" s="1"/>
  <c r="R67" i="6" s="1"/>
  <c r="P68" i="6"/>
  <c r="P59" i="6"/>
  <c r="Q59" i="6" s="1"/>
  <c r="R59" i="6" s="1"/>
  <c r="D141" i="3"/>
  <c r="E141" i="3" s="1"/>
  <c r="P65" i="6"/>
  <c r="D140" i="3"/>
  <c r="E140" i="3" s="1"/>
  <c r="P63" i="6"/>
  <c r="P62" i="6"/>
  <c r="Q62" i="6" s="1"/>
  <c r="R62" i="6" s="1"/>
  <c r="D139" i="3"/>
  <c r="E139" i="3" s="1"/>
  <c r="P198" i="1"/>
  <c r="L8" i="6"/>
  <c r="K52" i="6"/>
  <c r="K124" i="6" s="1"/>
  <c r="D114" i="3"/>
  <c r="E114" i="3" s="1"/>
  <c r="N53" i="6"/>
  <c r="Q51" i="6"/>
  <c r="R51" i="6" s="1"/>
  <c r="Q97" i="6"/>
  <c r="R97" i="6" s="1"/>
  <c r="Q98" i="6"/>
  <c r="R98" i="6" s="1"/>
  <c r="Q11" i="6"/>
  <c r="R11" i="6" s="1"/>
  <c r="Q39" i="6"/>
  <c r="R39" i="6" s="1"/>
  <c r="Q104" i="6"/>
  <c r="R104" i="6" s="1"/>
  <c r="Q75" i="6"/>
  <c r="R75" i="6" s="1"/>
  <c r="Q117" i="6"/>
  <c r="R117" i="6" s="1"/>
  <c r="Q77" i="6"/>
  <c r="R77" i="6" s="1"/>
  <c r="Q118" i="6"/>
  <c r="R118" i="6" s="1"/>
  <c r="Q120" i="6"/>
  <c r="R120" i="6" s="1"/>
  <c r="Q119" i="6"/>
  <c r="R119" i="6" s="1"/>
  <c r="Q64" i="6"/>
  <c r="R64" i="6" s="1"/>
  <c r="Q92" i="6"/>
  <c r="R92" i="6" s="1"/>
  <c r="Q93" i="6"/>
  <c r="R93" i="6" s="1"/>
  <c r="Q111" i="6"/>
  <c r="R111" i="6" s="1"/>
  <c r="Q115" i="6"/>
  <c r="R115" i="6" s="1"/>
  <c r="Q46" i="6"/>
  <c r="R46" i="6" s="1"/>
  <c r="Q37" i="6"/>
  <c r="R37" i="6" s="1"/>
  <c r="Q36" i="6"/>
  <c r="R36" i="6" s="1"/>
  <c r="Q47" i="6"/>
  <c r="R47" i="6" s="1"/>
  <c r="Q40" i="6"/>
  <c r="R40" i="6" s="1"/>
  <c r="Q122" i="6"/>
  <c r="R122" i="6" s="1"/>
  <c r="Q103" i="6"/>
  <c r="R103" i="6" s="1"/>
  <c r="Q110" i="6"/>
  <c r="R110" i="6" s="1"/>
  <c r="Q107" i="6"/>
  <c r="R107" i="6" s="1"/>
  <c r="Q108" i="6"/>
  <c r="R108" i="6" s="1"/>
  <c r="Q78" i="6"/>
  <c r="R78" i="6" s="1"/>
  <c r="Q43" i="6"/>
  <c r="R43" i="6" s="1"/>
  <c r="Q45" i="6"/>
  <c r="R45" i="6" s="1"/>
  <c r="Q34" i="6"/>
  <c r="R34" i="6" s="1"/>
  <c r="Q44" i="6"/>
  <c r="R44" i="6" s="1"/>
  <c r="Q27" i="6"/>
  <c r="R27" i="6" s="1"/>
  <c r="Q21" i="6"/>
  <c r="R21" i="6" s="1"/>
  <c r="Q13" i="6"/>
  <c r="R13" i="6" s="1"/>
  <c r="Q113" i="6"/>
  <c r="R113" i="6" s="1"/>
  <c r="D24" i="3"/>
  <c r="E24" i="3" s="1"/>
  <c r="S80" i="1"/>
  <c r="S196" i="1" s="1"/>
  <c r="S11" i="1"/>
  <c r="S73" i="1" s="1"/>
  <c r="D101" i="3" l="1"/>
  <c r="E101" i="3" s="1"/>
  <c r="D11" i="3"/>
  <c r="E11" i="3" s="1"/>
  <c r="N8" i="6"/>
  <c r="P8" i="6" s="1"/>
  <c r="Q60" i="6"/>
  <c r="R60" i="6" s="1"/>
  <c r="Q66" i="6"/>
  <c r="R66" i="6" s="1"/>
  <c r="Q121" i="6"/>
  <c r="R121" i="6" s="1"/>
  <c r="Q22" i="6"/>
  <c r="R22" i="6" s="1"/>
  <c r="Q76" i="6"/>
  <c r="R76" i="6" s="1"/>
  <c r="Q20" i="6"/>
  <c r="R20" i="6" s="1"/>
  <c r="Q29" i="6"/>
  <c r="R29" i="6" s="1"/>
  <c r="Q56" i="6"/>
  <c r="R56" i="6" s="1"/>
  <c r="Q61" i="6"/>
  <c r="R61" i="6" s="1"/>
  <c r="Q65" i="6"/>
  <c r="R65" i="6" s="1"/>
  <c r="Q73" i="6"/>
  <c r="R73" i="6" s="1"/>
  <c r="Q105" i="6"/>
  <c r="R105" i="6" s="1"/>
  <c r="Q106" i="6"/>
  <c r="R106" i="6" s="1"/>
  <c r="Q96" i="6"/>
  <c r="R96" i="6" s="1"/>
  <c r="Q148" i="6"/>
  <c r="Q63" i="6"/>
  <c r="R63" i="6" s="1"/>
  <c r="Q70" i="6"/>
  <c r="R70" i="6" s="1"/>
  <c r="Q114" i="6"/>
  <c r="R114" i="6" s="1"/>
  <c r="Q68" i="6"/>
  <c r="R68" i="6" s="1"/>
  <c r="Q144" i="6"/>
  <c r="Q146" i="6"/>
  <c r="Q91" i="6"/>
  <c r="R91" i="6" s="1"/>
  <c r="Q95" i="6"/>
  <c r="R95" i="6" s="1"/>
  <c r="Q100" i="6"/>
  <c r="R100" i="6" s="1"/>
  <c r="Q140" i="6"/>
  <c r="Q80" i="6"/>
  <c r="R80" i="6" s="1"/>
  <c r="Q81" i="6"/>
  <c r="R81" i="6" s="1"/>
  <c r="Q25" i="6"/>
  <c r="R25" i="6" s="1"/>
  <c r="Q32" i="6"/>
  <c r="R32" i="6" s="1"/>
  <c r="Q23" i="6"/>
  <c r="R23" i="6" s="1"/>
  <c r="Q30" i="6"/>
  <c r="R30" i="6" s="1"/>
  <c r="Q12" i="6"/>
  <c r="R12" i="6" s="1"/>
  <c r="Q10" i="6"/>
  <c r="R10" i="6" s="1"/>
  <c r="Q35" i="6"/>
  <c r="R35" i="6" s="1"/>
  <c r="Q16" i="6"/>
  <c r="R16" i="6" s="1"/>
  <c r="Q18" i="6"/>
  <c r="R18" i="6" s="1"/>
  <c r="Q28" i="6"/>
  <c r="R28" i="6" s="1"/>
  <c r="Q14" i="6"/>
  <c r="R14" i="6" s="1"/>
  <c r="Q99" i="6"/>
  <c r="R99" i="6" s="1"/>
  <c r="Q94" i="6"/>
  <c r="R94" i="6" s="1"/>
  <c r="Q88" i="6"/>
  <c r="R88" i="6" s="1"/>
  <c r="Q90" i="6"/>
  <c r="R90" i="6" s="1"/>
  <c r="Q141" i="6"/>
  <c r="D128" i="3"/>
  <c r="E128" i="3" s="1"/>
  <c r="D115" i="3"/>
  <c r="E115" i="3" s="1"/>
  <c r="P53" i="6" s="1"/>
  <c r="S198" i="1"/>
  <c r="D102" i="3" l="1"/>
  <c r="E102" i="3" s="1"/>
  <c r="D12" i="3"/>
  <c r="E12" i="3" s="1"/>
  <c r="P54" i="6"/>
  <c r="P55" i="6"/>
  <c r="Q89" i="6"/>
  <c r="R89" i="6" s="1"/>
  <c r="Q109" i="6"/>
  <c r="R109" i="6" s="1"/>
  <c r="Q102" i="6"/>
  <c r="R102" i="6" s="1"/>
  <c r="Q82" i="6"/>
  <c r="R82" i="6" s="1"/>
  <c r="Q83" i="6"/>
  <c r="R83" i="6" s="1"/>
  <c r="Q84" i="6"/>
  <c r="R84" i="6" s="1"/>
  <c r="Q142" i="6"/>
  <c r="Q101" i="6"/>
  <c r="R101" i="6" s="1"/>
  <c r="D136" i="3"/>
  <c r="D103" i="3" l="1"/>
  <c r="E103" i="3" s="1"/>
  <c r="Q143" i="6"/>
  <c r="Q54" i="6"/>
  <c r="R54" i="6" s="1"/>
  <c r="Q116" i="6"/>
  <c r="R116" i="6" s="1"/>
  <c r="Q55" i="6"/>
  <c r="R55" i="6" s="1"/>
  <c r="Q85" i="6"/>
  <c r="R85" i="6" s="1"/>
  <c r="P52" i="6"/>
  <c r="E136" i="3"/>
  <c r="Q8" i="6"/>
  <c r="R8" i="6" s="1"/>
  <c r="P123" i="6" l="1"/>
  <c r="P124" i="6" s="1"/>
  <c r="Q53" i="6"/>
  <c r="R53" i="6" s="1"/>
  <c r="Q9" i="6"/>
  <c r="R9" i="6" s="1"/>
  <c r="Q52" i="6" l="1"/>
  <c r="Q79" i="6"/>
  <c r="O151" i="6" l="1"/>
  <c r="P151" i="6" s="1"/>
  <c r="R52" i="6"/>
  <c r="Q123" i="6"/>
  <c r="R79" i="6"/>
  <c r="O152" i="6" l="1"/>
  <c r="P152" i="6" s="1"/>
  <c r="R123" i="6"/>
  <c r="R124" i="6" s="1"/>
  <c r="Q124" i="6"/>
  <c r="Q125" i="6" l="1"/>
  <c r="B69" i="5"/>
  <c r="B70" i="5" s="1"/>
</calcChain>
</file>

<file path=xl/comments1.xml><?xml version="1.0" encoding="utf-8"?>
<comments xmlns="http://schemas.openxmlformats.org/spreadsheetml/2006/main">
  <authors>
    <author>WCNX</author>
    <author>Heather Garland</author>
    <author>Lindsay Waldram</author>
    <author>Mike Young</author>
    <author>heatherg</author>
  </authors>
  <commentList>
    <comment ref="M7" authorId="0" shapeId="0">
      <text>
        <r>
          <rPr>
            <b/>
            <sz val="8"/>
            <color indexed="81"/>
            <rFont val="Tahoma"/>
            <family val="2"/>
          </rPr>
          <t>WCNX:</t>
        </r>
        <r>
          <rPr>
            <sz val="8"/>
            <color indexed="81"/>
            <rFont val="Tahoma"/>
            <family val="2"/>
          </rPr>
          <t xml:space="preserve">
Linked to Rate sheet.</t>
        </r>
      </text>
    </comment>
    <comment ref="C86" authorId="1" shapeId="0">
      <text>
        <r>
          <rPr>
            <b/>
            <sz val="9"/>
            <color indexed="81"/>
            <rFont val="Tahoma"/>
            <family val="2"/>
          </rPr>
          <t>Heather Garland:</t>
        </r>
        <r>
          <rPr>
            <sz val="9"/>
            <color indexed="81"/>
            <rFont val="Tahoma"/>
            <family val="2"/>
          </rPr>
          <t xml:space="preserve">
Monthly minimum rate service code.</t>
        </r>
      </text>
    </comment>
    <comment ref="C87" authorId="1" shapeId="0">
      <text>
        <r>
          <rPr>
            <b/>
            <sz val="9"/>
            <color indexed="81"/>
            <rFont val="Tahoma"/>
            <family val="2"/>
          </rPr>
          <t>Heather Garland:</t>
        </r>
        <r>
          <rPr>
            <sz val="9"/>
            <color indexed="81"/>
            <rFont val="Tahoma"/>
            <family val="2"/>
          </rPr>
          <t xml:space="preserve">
Monthly Minimum Rate Svc. Code.
</t>
        </r>
      </text>
    </comment>
    <comment ref="C94" authorId="2" shapeId="0">
      <text>
        <r>
          <rPr>
            <b/>
            <sz val="9"/>
            <color indexed="81"/>
            <rFont val="Tahoma"/>
            <family val="2"/>
          </rPr>
          <t>Lindsay Waldram:</t>
        </r>
        <r>
          <rPr>
            <sz val="9"/>
            <color indexed="81"/>
            <rFont val="Tahoma"/>
            <family val="2"/>
          </rPr>
          <t xml:space="preserve">
Monthly minimum rate</t>
        </r>
      </text>
    </comment>
    <comment ref="C95" authorId="1" shapeId="0">
      <text>
        <r>
          <rPr>
            <b/>
            <sz val="9"/>
            <color indexed="81"/>
            <rFont val="Tahoma"/>
            <family val="2"/>
          </rPr>
          <t>Heather Garland:</t>
        </r>
        <r>
          <rPr>
            <sz val="9"/>
            <color indexed="81"/>
            <rFont val="Tahoma"/>
            <family val="2"/>
          </rPr>
          <t xml:space="preserve">
Monthly minimum rate service code.</t>
        </r>
      </text>
    </comment>
    <comment ref="C99" authorId="2" shapeId="0">
      <text>
        <r>
          <rPr>
            <b/>
            <sz val="9"/>
            <color indexed="81"/>
            <rFont val="Tahoma"/>
            <family val="2"/>
          </rPr>
          <t>Lindsay Waldram:</t>
        </r>
        <r>
          <rPr>
            <sz val="9"/>
            <color indexed="81"/>
            <rFont val="Tahoma"/>
            <family val="2"/>
          </rPr>
          <t xml:space="preserve">
Monthly minimum rate</t>
        </r>
      </text>
    </comment>
    <comment ref="C100" authorId="1" shapeId="0">
      <text>
        <r>
          <rPr>
            <b/>
            <sz val="9"/>
            <color indexed="81"/>
            <rFont val="Tahoma"/>
            <family val="2"/>
          </rPr>
          <t>Heather Garland:</t>
        </r>
        <r>
          <rPr>
            <sz val="9"/>
            <color indexed="81"/>
            <rFont val="Tahoma"/>
            <family val="2"/>
          </rPr>
          <t xml:space="preserve">
Monthly minimum.
</t>
        </r>
      </text>
    </comment>
    <comment ref="M106" authorId="3" shapeId="0">
      <text>
        <r>
          <rPr>
            <b/>
            <sz val="9"/>
            <color indexed="81"/>
            <rFont val="Tahoma"/>
            <family val="2"/>
          </rPr>
          <t>Mike Young:</t>
        </r>
        <r>
          <rPr>
            <sz val="9"/>
            <color indexed="81"/>
            <rFont val="Tahoma"/>
            <family val="2"/>
          </rPr>
          <t xml:space="preserve">
Rates for these lines of service not spelled out in tariff. Used same rate as company</t>
        </r>
      </text>
    </comment>
    <comment ref="M107" authorId="3" shapeId="0">
      <text>
        <r>
          <rPr>
            <b/>
            <sz val="9"/>
            <color indexed="81"/>
            <rFont val="Tahoma"/>
            <family val="2"/>
          </rPr>
          <t>Mike Young:</t>
        </r>
        <r>
          <rPr>
            <sz val="9"/>
            <color indexed="81"/>
            <rFont val="Tahoma"/>
            <family val="2"/>
          </rPr>
          <t xml:space="preserve">
Rates for these lines of service not spelled out in tariff. Used same rate as company</t>
        </r>
      </text>
    </comment>
    <comment ref="C121" authorId="3" shapeId="0">
      <text>
        <r>
          <rPr>
            <b/>
            <sz val="9"/>
            <color indexed="81"/>
            <rFont val="Tahoma"/>
            <family val="2"/>
          </rPr>
          <t>Mike Young:</t>
        </r>
        <r>
          <rPr>
            <sz val="9"/>
            <color indexed="81"/>
            <rFont val="Tahoma"/>
            <family val="2"/>
          </rPr>
          <t xml:space="preserve">
no specified rate in tariff; company calculates.</t>
        </r>
      </text>
    </comment>
    <comment ref="M121" authorId="3" shapeId="0">
      <text>
        <r>
          <rPr>
            <b/>
            <sz val="9"/>
            <color indexed="81"/>
            <rFont val="Tahoma"/>
            <family val="2"/>
          </rPr>
          <t>Mike Young:</t>
        </r>
        <r>
          <rPr>
            <sz val="9"/>
            <color indexed="81"/>
            <rFont val="Tahoma"/>
            <family val="2"/>
          </rPr>
          <t xml:space="preserve">
per company worksheet; not specific in tariff</t>
        </r>
      </text>
    </comment>
    <comment ref="Q125" authorId="4" shapeId="0">
      <text>
        <r>
          <rPr>
            <b/>
            <sz val="9"/>
            <color indexed="81"/>
            <rFont val="Tahoma"/>
            <family val="2"/>
          </rPr>
          <t>heatherg:</t>
        </r>
        <r>
          <rPr>
            <sz val="9"/>
            <color indexed="81"/>
            <rFont val="Tahoma"/>
            <family val="2"/>
          </rPr>
          <t xml:space="preserve">
Immaterial difference due to rounding.  DF calculation is an estimate as true tons and can weights will vary from year to year, therefore this is acceptable.</t>
        </r>
      </text>
    </comment>
  </commentList>
</comments>
</file>

<file path=xl/comments2.xml><?xml version="1.0" encoding="utf-8"?>
<comments xmlns="http://schemas.openxmlformats.org/spreadsheetml/2006/main">
  <authors>
    <author>WCNX</author>
  </authors>
  <commentList>
    <comment ref="H210" authorId="0" shapeId="0">
      <text>
        <r>
          <rPr>
            <b/>
            <sz val="8"/>
            <color indexed="81"/>
            <rFont val="Tahoma"/>
            <family val="2"/>
          </rPr>
          <t>WCNX:</t>
        </r>
        <r>
          <rPr>
            <sz val="8"/>
            <color indexed="81"/>
            <rFont val="Tahoma"/>
            <family val="2"/>
          </rPr>
          <t xml:space="preserve">
No Customer Count, used .00001 to calc increase.  No affect on tonnage or overall revenue increase.</t>
        </r>
      </text>
    </comment>
  </commentList>
</comments>
</file>

<file path=xl/comments3.xml><?xml version="1.0" encoding="utf-8"?>
<comments xmlns="http://schemas.openxmlformats.org/spreadsheetml/2006/main">
  <authors>
    <author>Donivan Taylor</author>
  </authors>
  <commentList>
    <comment ref="J29" authorId="0" shapeId="0">
      <text>
        <r>
          <rPr>
            <b/>
            <sz val="8"/>
            <color indexed="81"/>
            <rFont val="Tahoma"/>
            <family val="2"/>
          </rPr>
          <t>Donivan Taylor:</t>
        </r>
        <r>
          <rPr>
            <sz val="8"/>
            <color indexed="81"/>
            <rFont val="Tahoma"/>
            <family val="2"/>
          </rPr>
          <t xml:space="preserve">
Adjusted for entry error. See comment below in reconcilations section.
</t>
        </r>
      </text>
    </comment>
    <comment ref="J79" authorId="0" shapeId="0">
      <text>
        <r>
          <rPr>
            <b/>
            <sz val="8"/>
            <color indexed="81"/>
            <rFont val="Tahoma"/>
            <family val="2"/>
          </rPr>
          <t>Donivan Taylor:</t>
        </r>
        <r>
          <rPr>
            <sz val="8"/>
            <color indexed="81"/>
            <rFont val="Tahoma"/>
            <family val="2"/>
          </rPr>
          <t xml:space="preserve">
Adjusted for entry error. See comment below in reconcilations section.
</t>
        </r>
      </text>
    </comment>
    <comment ref="J100" authorId="0" shapeId="0">
      <text>
        <r>
          <rPr>
            <b/>
            <sz val="8"/>
            <color indexed="81"/>
            <rFont val="Tahoma"/>
            <family val="2"/>
          </rPr>
          <t>Donivan Taylor:</t>
        </r>
        <r>
          <rPr>
            <sz val="8"/>
            <color indexed="81"/>
            <rFont val="Tahoma"/>
            <family val="2"/>
          </rPr>
          <t xml:space="preserve">
Adjusted for entry error. See comment below in reconcilations section.
</t>
        </r>
      </text>
    </comment>
    <comment ref="J108" authorId="0" shapeId="0">
      <text>
        <r>
          <rPr>
            <b/>
            <sz val="8"/>
            <color indexed="81"/>
            <rFont val="Tahoma"/>
            <family val="2"/>
          </rPr>
          <t>Donivan Taylor:</t>
        </r>
        <r>
          <rPr>
            <sz val="8"/>
            <color indexed="81"/>
            <rFont val="Tahoma"/>
            <family val="2"/>
          </rPr>
          <t xml:space="preserve">
Booked Allocation Entry backwords
</t>
        </r>
      </text>
    </comment>
  </commentList>
</comments>
</file>

<file path=xl/sharedStrings.xml><?xml version="1.0" encoding="utf-8"?>
<sst xmlns="http://schemas.openxmlformats.org/spreadsheetml/2006/main" count="922" uniqueCount="677">
  <si>
    <t>July 1, 2010 - June 30, 2010</t>
  </si>
  <si>
    <t>Service Code</t>
  </si>
  <si>
    <t>Service Code Description</t>
  </si>
  <si>
    <t>Tariff Rate Effective 3/1/2010</t>
  </si>
  <si>
    <t>Tariff Rate Effective 3/1/2011</t>
  </si>
  <si>
    <t xml:space="preserve">Rate per Pickup </t>
  </si>
  <si>
    <t>Revenue 7/1/2010 - 2/28/2011</t>
  </si>
  <si>
    <t>Revenue 3/1/2011 - 6/30/2011</t>
  </si>
  <si>
    <t>Calculated Annual Units</t>
  </si>
  <si>
    <t>Calculated Monthly Units</t>
  </si>
  <si>
    <t>RESIDENTIAL SERVICES</t>
  </si>
  <si>
    <t>RESIDENTIAL GARBAGE</t>
  </si>
  <si>
    <t>RL020.0G1W001</t>
  </si>
  <si>
    <t>20 GL 1X WK 1</t>
  </si>
  <si>
    <t>RL020.0G1W001NOREC</t>
  </si>
  <si>
    <t>20 GL 1X WK NO RECY 1</t>
  </si>
  <si>
    <t>RL032.0G1M001NOREC</t>
  </si>
  <si>
    <t>32 GL 1X MO NO RECY 1</t>
  </si>
  <si>
    <t>RL032.0G1M001WREC</t>
  </si>
  <si>
    <t>32 GL 1X MO W/RECY 1</t>
  </si>
  <si>
    <t>RL032.0G1W001NOREC</t>
  </si>
  <si>
    <t>32 GL 1X WK NO RECY 1</t>
  </si>
  <si>
    <t>RL032.0G1W001WREC</t>
  </si>
  <si>
    <t>32 GL 1X WK W/RECY 1</t>
  </si>
  <si>
    <t>RL032.0G1W002NOREC</t>
  </si>
  <si>
    <t>32 GL 1X WK NO RECY 2</t>
  </si>
  <si>
    <t>RL032.0G1W002WREC</t>
  </si>
  <si>
    <t>32 GL 1X WK W/RECY 2</t>
  </si>
  <si>
    <t>RL032.0G1W003NOREC</t>
  </si>
  <si>
    <t>32 GL 1X WK NO RECY 3</t>
  </si>
  <si>
    <t>RL032.0G1W003WREC</t>
  </si>
  <si>
    <t>32 GL 1X WK W/RECY 3</t>
  </si>
  <si>
    <t>RL032.0G1W004NOREC</t>
  </si>
  <si>
    <t>32 GL 1X WK NO RECY 4</t>
  </si>
  <si>
    <t>RL032.0G1W004WREC</t>
  </si>
  <si>
    <t>32 GL 1X WK W/RECY 4</t>
  </si>
  <si>
    <t>SL032.0G1W001WREC</t>
  </si>
  <si>
    <t>SL035.0G1W001WREC</t>
  </si>
  <si>
    <t>35 GL 1X WK W/ RECY 1</t>
  </si>
  <si>
    <t>SL035.0G1W002WREC</t>
  </si>
  <si>
    <t>35 GL 1X WK W/RECY 2</t>
  </si>
  <si>
    <t>SL065.0G1M001NOREC</t>
  </si>
  <si>
    <t>65 GL 1X MO NO RECY 1</t>
  </si>
  <si>
    <t>SL065.0G1M001WREC</t>
  </si>
  <si>
    <t>65 GL 1X MO W/RECY 1</t>
  </si>
  <si>
    <t>SL065.0G1W001NOREC</t>
  </si>
  <si>
    <t>65 GL 1X WK NO RECY 1</t>
  </si>
  <si>
    <t>SL065.0G1W001WREC</t>
  </si>
  <si>
    <t>65 GL 1X WK W/RECY 1</t>
  </si>
  <si>
    <t>SL065.0GEO001</t>
  </si>
  <si>
    <t>65 GL EOW 1</t>
  </si>
  <si>
    <t>SL065.0GEO001NOREC</t>
  </si>
  <si>
    <t>65 GL EOW NO RECY 1</t>
  </si>
  <si>
    <t>SL065.0GEO001WREC</t>
  </si>
  <si>
    <t>65 GL EOW W/RECY 1</t>
  </si>
  <si>
    <t>SL095.0G1M001NOREC</t>
  </si>
  <si>
    <t>95 GL 1X MO NO RECY 1</t>
  </si>
  <si>
    <t>SL095.0G1M001WREC</t>
  </si>
  <si>
    <t>95 GL 1X MO W/RECY 1</t>
  </si>
  <si>
    <t>SL095.0G1W001NOREC</t>
  </si>
  <si>
    <t>95 GL 1X WK NO RECY 1</t>
  </si>
  <si>
    <t>SL095.0G1W001WREC</t>
  </si>
  <si>
    <t>95 GL 1X WK W/RECY 1</t>
  </si>
  <si>
    <t>SL095.0GEO001</t>
  </si>
  <si>
    <t>95 GL EOW 1</t>
  </si>
  <si>
    <t>SL095.0GEO001NOREC</t>
  </si>
  <si>
    <t>95 GL EOW NO RECY 1</t>
  </si>
  <si>
    <t>SL095.0GEO001WREC</t>
  </si>
  <si>
    <t>95 GL EOW W/RECY 1</t>
  </si>
  <si>
    <t>BULKY-RES</t>
  </si>
  <si>
    <t>BULKY ITEM PICK UP - RES</t>
  </si>
  <si>
    <t>EP96GWC-RES</t>
  </si>
  <si>
    <t>EXTRA PICK UP 96 GW - RES</t>
  </si>
  <si>
    <t>EXTRA-RES</t>
  </si>
  <si>
    <t>EXTRA CAN, BAG, BOX - RES</t>
  </si>
  <si>
    <t>EXTRAYDG-RES</t>
  </si>
  <si>
    <t>EXTRA YARDAGE - RES</t>
  </si>
  <si>
    <t>OS-RES</t>
  </si>
  <si>
    <t>OVERSIZE CAN - RES</t>
  </si>
  <si>
    <t>OW-RES</t>
  </si>
  <si>
    <t>OVERFILL / OVERWEIGHT CAN</t>
  </si>
  <si>
    <t>SPCL32-RES</t>
  </si>
  <si>
    <t>SPECIAL 32 GL - RES</t>
  </si>
  <si>
    <t>SPCL65-RES</t>
  </si>
  <si>
    <t>SPECIAL 65 GL - RES</t>
  </si>
  <si>
    <t>SPCL95-RES</t>
  </si>
  <si>
    <t>SPECIAL 95 GL - RES</t>
  </si>
  <si>
    <t>SP65-RES</t>
  </si>
  <si>
    <t>SPECIAL PICK UP 65 GL - RES</t>
  </si>
  <si>
    <t>SP95-RES</t>
  </si>
  <si>
    <t>SPECIAL PICK UP 95 GL - R</t>
  </si>
  <si>
    <t>SPECIAL-RES</t>
  </si>
  <si>
    <t>SPECIAL SERVICE - RES</t>
  </si>
  <si>
    <t>SPREC-RES</t>
  </si>
  <si>
    <t>SPECIAL PICK UP RECYCLE - RES</t>
  </si>
  <si>
    <t>WI1-RES</t>
  </si>
  <si>
    <t>WALK IN 6-25' - RES</t>
  </si>
  <si>
    <t>WI2-RES</t>
  </si>
  <si>
    <t>WALK IN 26-50' - RES</t>
  </si>
  <si>
    <t>WI3-RES</t>
  </si>
  <si>
    <t>WALK IN 51-75' - RES</t>
  </si>
  <si>
    <t>WI4-RES</t>
  </si>
  <si>
    <t>WALK IN 76-100' - RES</t>
  </si>
  <si>
    <t>WI5-RES</t>
  </si>
  <si>
    <t>WALK IN 101-125' - RES</t>
  </si>
  <si>
    <t>WI9-RES</t>
  </si>
  <si>
    <t>WALK IN 201-225' - RES</t>
  </si>
  <si>
    <t>DRIVEIN2-RES</t>
  </si>
  <si>
    <t>DRIVE IN 2 - RES</t>
  </si>
  <si>
    <t>DRIVEIN-RES</t>
  </si>
  <si>
    <t>DRIVE IN SERVICE - RES</t>
  </si>
  <si>
    <t>ACCESS-RES</t>
  </si>
  <si>
    <t>ACCESS FEE - RES</t>
  </si>
  <si>
    <t>APPLIANCER</t>
  </si>
  <si>
    <t>APPLIANCE REMOVAL - RES</t>
  </si>
  <si>
    <t>PDBAG-RES</t>
  </si>
  <si>
    <t>PREPAID BAG - RES</t>
  </si>
  <si>
    <t>LCKR</t>
  </si>
  <si>
    <t>LOCK CHARGE - RES</t>
  </si>
  <si>
    <t>OC-RES</t>
  </si>
  <si>
    <t>ON CALL SERVICE - RES</t>
  </si>
  <si>
    <t>REDEL-RES</t>
  </si>
  <si>
    <t>REDELIVER FEE - RES</t>
  </si>
  <si>
    <t>REINSTATE-RES</t>
  </si>
  <si>
    <t>REINSTATE FEE - RES</t>
  </si>
  <si>
    <t>RTRNCART65-RES</t>
  </si>
  <si>
    <t>RETURN TRIP 65 GL - RES</t>
  </si>
  <si>
    <t>RTRNCART95-RES</t>
  </si>
  <si>
    <t>RETURN TRIP 95 GL - RES</t>
  </si>
  <si>
    <t>RTRNTRIP-RES</t>
  </si>
  <si>
    <t>RETURN TRIP FEE - RES</t>
  </si>
  <si>
    <t>TIME-RES</t>
  </si>
  <si>
    <t>TIME FEE 1 - RES</t>
  </si>
  <si>
    <t>UNRETURN-RES</t>
  </si>
  <si>
    <t>CONTAINER UNRETURNED FEE</t>
  </si>
  <si>
    <t>TOTAL RESIDENTIAL GARBAGE</t>
  </si>
  <si>
    <t xml:space="preserve">COMMERCIAL SERVICES </t>
  </si>
  <si>
    <t>COMMERCIAL GARBAGE</t>
  </si>
  <si>
    <t>FL001.0Y1W001</t>
  </si>
  <si>
    <t>1 YD 1X WK 1</t>
  </si>
  <si>
    <t>FL001.0Y2W001</t>
  </si>
  <si>
    <t>1 YD 2X WK 1</t>
  </si>
  <si>
    <t>FL001.0Y3W001</t>
  </si>
  <si>
    <t>1 YD 3X WK 1</t>
  </si>
  <si>
    <t>FL001.5Y1W001</t>
  </si>
  <si>
    <t>1.5 YD 1X WK 1</t>
  </si>
  <si>
    <t>FL001.5Y2W001</t>
  </si>
  <si>
    <t>1.5 YD 2X WK 1</t>
  </si>
  <si>
    <t>FL001.5Y3W001</t>
  </si>
  <si>
    <t>1.5 YD 3X WK 1</t>
  </si>
  <si>
    <t>FL002.0Y1W001</t>
  </si>
  <si>
    <t>2 YD 1X WK 1</t>
  </si>
  <si>
    <t>FL002.0Y2W001</t>
  </si>
  <si>
    <t>2 YD 2X WK 1</t>
  </si>
  <si>
    <t>FL002.0Y3W001</t>
  </si>
  <si>
    <t>2 YD 3X WK 1</t>
  </si>
  <si>
    <t>FL003.0Y1W001</t>
  </si>
  <si>
    <t>3 YD 1X WK 1</t>
  </si>
  <si>
    <t>FL003.0Y2W001</t>
  </si>
  <si>
    <t>3 YD 2X WK 1</t>
  </si>
  <si>
    <t>FL003.0Y3W001</t>
  </si>
  <si>
    <t>3 YD 3X WK 1</t>
  </si>
  <si>
    <t>FL003.0Y5W001</t>
  </si>
  <si>
    <t>3 YD 5X WK 1</t>
  </si>
  <si>
    <t>FL004.0Y1W001</t>
  </si>
  <si>
    <t>4 YD 1X WK 1</t>
  </si>
  <si>
    <t>FL004.0Y2W001</t>
  </si>
  <si>
    <t>4 YD 2X WK 1</t>
  </si>
  <si>
    <t>FL004.0Y3W001</t>
  </si>
  <si>
    <t>4 YD 3X WK 1</t>
  </si>
  <si>
    <t>FL006.0Y1W001</t>
  </si>
  <si>
    <t>6 YD 1X WK 1</t>
  </si>
  <si>
    <t>FL006.0Y1W002</t>
  </si>
  <si>
    <t>6 YD 1X WK 2</t>
  </si>
  <si>
    <t>FL006.0Y2W001</t>
  </si>
  <si>
    <t>6 YD 2X WK 1</t>
  </si>
  <si>
    <t>FL006.0Y3W001</t>
  </si>
  <si>
    <t>6 YD 3X WK 1</t>
  </si>
  <si>
    <t>FL006.0Y4W001</t>
  </si>
  <si>
    <t>6 YD 4X WK 1</t>
  </si>
  <si>
    <t>FL006.0Y5W001</t>
  </si>
  <si>
    <t>6 YD 5X WK 1</t>
  </si>
  <si>
    <t>FL002.0Y1W001CMP</t>
  </si>
  <si>
    <t>2 YD 1X WK COMP 1</t>
  </si>
  <si>
    <t>FL003.0Y2W001CMP</t>
  </si>
  <si>
    <t>3 YD 2X WK COMP 1</t>
  </si>
  <si>
    <t>FL004.0Y1W001CMP</t>
  </si>
  <si>
    <t>4 YD 1X WK COMP 1</t>
  </si>
  <si>
    <t>FL004.0Y2W001CMP</t>
  </si>
  <si>
    <t>4 YD 2X WK COMP 1</t>
  </si>
  <si>
    <t>FL001.0YXX001TEMPC</t>
  </si>
  <si>
    <t>1 YD TEMP</t>
  </si>
  <si>
    <t>FL001.5YXX001TEMPC</t>
  </si>
  <si>
    <t>1.5 YD TEMP</t>
  </si>
  <si>
    <t>FL002.0YXX001TEMPC</t>
  </si>
  <si>
    <t>2 YD TEMP</t>
  </si>
  <si>
    <t>FL003.0YXX001TEMPC</t>
  </si>
  <si>
    <t>3 YD TEMP</t>
  </si>
  <si>
    <t>FL004.0YXX001TEMPC</t>
  </si>
  <si>
    <t>4 YD TEMP 1</t>
  </si>
  <si>
    <t>FL006.0YXX001TEMPC</t>
  </si>
  <si>
    <t>6 YD TEMP 1</t>
  </si>
  <si>
    <t>RENT1.5TEMP-COMM</t>
  </si>
  <si>
    <t>RENT 1.5 YD TEMP - COMM</t>
  </si>
  <si>
    <t>RENT1TEMP-COMM</t>
  </si>
  <si>
    <t>RENT 1 YD TEMP - COMM</t>
  </si>
  <si>
    <t>RENT2TEMP-COMM</t>
  </si>
  <si>
    <t>RENT 2 YD TEMP - COMM</t>
  </si>
  <si>
    <t>RENT3TEMP-COMM</t>
  </si>
  <si>
    <t>RENT 3 YD TEMP - COMM</t>
  </si>
  <si>
    <t>RENT4TEMP-COMM</t>
  </si>
  <si>
    <t>RENT 4 YD TEMP - COMM</t>
  </si>
  <si>
    <t>RENT6TEMP-COMM</t>
  </si>
  <si>
    <t>RENT 6 YD TEMP - COMM</t>
  </si>
  <si>
    <t>RL020.0G1W001COMM</t>
  </si>
  <si>
    <t>20 GL 1X WK COMM 1</t>
  </si>
  <si>
    <t>RL032.0G1W001NORECC</t>
  </si>
  <si>
    <t>32 GL 1X WK NO RECY COMM</t>
  </si>
  <si>
    <t>RL032.0G1W001WRECC</t>
  </si>
  <si>
    <t>32 GL 1X WK W/RECY COMM 1</t>
  </si>
  <si>
    <t>RL032.0G1W002NORECC</t>
  </si>
  <si>
    <t>RL032.0G1W002WRECC</t>
  </si>
  <si>
    <t>32 GL 1X WK W/RECY COMM 2</t>
  </si>
  <si>
    <t>RL032.0G1W003NORECC</t>
  </si>
  <si>
    <t>RL032.0G1W003WRECC</t>
  </si>
  <si>
    <t>32 GL 1X WK W/RECY COMM 3</t>
  </si>
  <si>
    <t>RL032.0G1W004WRECC</t>
  </si>
  <si>
    <t>32 GL 1X WK W/RECY COMM 4</t>
  </si>
  <si>
    <t>RL032.0G1W005WRECC</t>
  </si>
  <si>
    <t>32 GL 1X WK W/RECY COMM 5</t>
  </si>
  <si>
    <t>SL065.0G1W001NORECC</t>
  </si>
  <si>
    <t>65 GL 1X WK NO RECY COMM</t>
  </si>
  <si>
    <t>SL065.0G1W001WRECC</t>
  </si>
  <si>
    <t>65 GL 1X WK W/RECY COMM 1</t>
  </si>
  <si>
    <t>SL065.0G1W002NORECC</t>
  </si>
  <si>
    <t>65 GL 1X WK NO REC COMM 2</t>
  </si>
  <si>
    <t>SL065.0GEO001NORECC</t>
  </si>
  <si>
    <t>65 GL EOW NO RECY COMM 1</t>
  </si>
  <si>
    <t>SL065.0GEO001WRECC</t>
  </si>
  <si>
    <t>65 GL EOW W/RECY COMM 1</t>
  </si>
  <si>
    <t>SL095.0G1W001NORECC</t>
  </si>
  <si>
    <t>95 GL 1X WK NO RECY COMM</t>
  </si>
  <si>
    <t>SL095.0G1W001WRECC</t>
  </si>
  <si>
    <t>95 GL 1X WK W/RECY COMM 1</t>
  </si>
  <si>
    <t>SL095.0GEO001NORECC</t>
  </si>
  <si>
    <t>95 GL EOW NO RECY COMM 1</t>
  </si>
  <si>
    <t>SL095.0GEO001WRECC</t>
  </si>
  <si>
    <t>95 GL EOW W/RECY COMM 1</t>
  </si>
  <si>
    <t>CANCOUNT65-COMM</t>
  </si>
  <si>
    <t>CAN COUNT 65 GL - COMM</t>
  </si>
  <si>
    <t>CANCOUNT95-COMM</t>
  </si>
  <si>
    <t>CAN COUNT 95 GL - COMM</t>
  </si>
  <si>
    <t>CANCOUNT-COMM</t>
  </si>
  <si>
    <t>CAN COUNT - COMM</t>
  </si>
  <si>
    <t>DIST4CAN-COMM</t>
  </si>
  <si>
    <t>DISTRIBUTED 4 CANS - COMM</t>
  </si>
  <si>
    <t>DIST5CAN-COMM</t>
  </si>
  <si>
    <t>DISTRIBUTED 5 CANS - COMM</t>
  </si>
  <si>
    <t>ADD32GLCOMM</t>
  </si>
  <si>
    <t>ADDITIONAL 32 GL COMM</t>
  </si>
  <si>
    <t>BULKY-COMM</t>
  </si>
  <si>
    <t>BULKY ITEM PICK UP - COMM</t>
  </si>
  <si>
    <t>EP96GW-COMM</t>
  </si>
  <si>
    <t>EXTRA PICK UP 96 GW -COMM</t>
  </si>
  <si>
    <t>EXTRA-COMM</t>
  </si>
  <si>
    <t>EXTRA CAN, BAG, BOX - COM</t>
  </si>
  <si>
    <t>EXTRAGWC-COMM</t>
  </si>
  <si>
    <t>EXTRA GREENWASTE FEE - CO</t>
  </si>
  <si>
    <t>EXTRAYDG-COM</t>
  </si>
  <si>
    <t>EXTRA YARDAGE - COMM</t>
  </si>
  <si>
    <t>OC-COMM</t>
  </si>
  <si>
    <t>ON CALL SERVICE - COMM</t>
  </si>
  <si>
    <t>OFOWCONT-COMM</t>
  </si>
  <si>
    <t>OS-COMM</t>
  </si>
  <si>
    <t>OVERSIZE CAN - COMM</t>
  </si>
  <si>
    <t>ACCESS-COMM</t>
  </si>
  <si>
    <t>ACCESS FEE - COMM</t>
  </si>
  <si>
    <t>ACCESS-MF</t>
  </si>
  <si>
    <t>ACCESS FEE - MF</t>
  </si>
  <si>
    <t>APPLIANCEC</t>
  </si>
  <si>
    <t>APPLIANCE REMOVAL - COMM</t>
  </si>
  <si>
    <t>CLEAN-COMM</t>
  </si>
  <si>
    <t>CONTAINER CLEANING FEE - COMM</t>
  </si>
  <si>
    <t>DISP-COMM</t>
  </si>
  <si>
    <t>DISPOSAL FEE - COMM</t>
  </si>
  <si>
    <t>DRIVEIN1-COMM</t>
  </si>
  <si>
    <t>DRIVE IN 125-250' - COMM</t>
  </si>
  <si>
    <t>DRIVEIN-COMM</t>
  </si>
  <si>
    <t>DRIVE IN SERVICE - COMM</t>
  </si>
  <si>
    <t>EQUIP-COMM</t>
  </si>
  <si>
    <t>EQUIPMENT CHARGE - COMM</t>
  </si>
  <si>
    <t>ROLL-COMM</t>
  </si>
  <si>
    <t>ROLL OUT CHARGE - COMM</t>
  </si>
  <si>
    <t>WI1-COMM</t>
  </si>
  <si>
    <t>WALK IN 6-25' - COMM</t>
  </si>
  <si>
    <t>WI2-COMM</t>
  </si>
  <si>
    <t>WALK IN 26-50' - COMM</t>
  </si>
  <si>
    <t>WI4-COMM</t>
  </si>
  <si>
    <t>WALK IN 76-100' - COMM</t>
  </si>
  <si>
    <t>WI5-COMM</t>
  </si>
  <si>
    <t>WALK IN 101-125' - COMM</t>
  </si>
  <si>
    <t>CLEAN1.5-COMM</t>
  </si>
  <si>
    <t>CLEANING FEE 1.5 YD - COM</t>
  </si>
  <si>
    <t>CLEAN1-COMM</t>
  </si>
  <si>
    <t>CLEANING FEE 1 YD - COMM</t>
  </si>
  <si>
    <t>CLEAN2-COMM</t>
  </si>
  <si>
    <t>CLEANING FEE 2 YD - COMM</t>
  </si>
  <si>
    <t>CLEAN3-COMM</t>
  </si>
  <si>
    <t>CLEANING FEE 3 YD - COMM</t>
  </si>
  <si>
    <t>CLEAN4-COMM</t>
  </si>
  <si>
    <t>CLEANING FEE 4 YD - COMM</t>
  </si>
  <si>
    <t>CLEAN6-COMM</t>
  </si>
  <si>
    <t>CLEANING FEE 6 YD - COMM</t>
  </si>
  <si>
    <t>CONTAINER CLEANING FEE -</t>
  </si>
  <si>
    <t>DEL1.5TEMP-COMM</t>
  </si>
  <si>
    <t>DELIVERY FEE 1.5 YD TEMP</t>
  </si>
  <si>
    <t>DEL1TEMP-COMM</t>
  </si>
  <si>
    <t>DELIVERY FEE 1 YD TEMP -</t>
  </si>
  <si>
    <t>DEL2TEMP-COMM</t>
  </si>
  <si>
    <t>DELIVERY FEE 2 YD TEMP -</t>
  </si>
  <si>
    <t>DEL3TEMP-COMM</t>
  </si>
  <si>
    <t>DELIVERY FEE 3 YD TEMP - COMM</t>
  </si>
  <si>
    <t>DEL4TEMP-COMM</t>
  </si>
  <si>
    <t>DELIVERY FEE 4 YD TEMP - COMM</t>
  </si>
  <si>
    <t>DEL6TEMP-COMM</t>
  </si>
  <si>
    <t>DELIVERY FEE 6 YD TEMP -</t>
  </si>
  <si>
    <t>DEL-COMM</t>
  </si>
  <si>
    <t>DELIVERY FEE - COMM</t>
  </si>
  <si>
    <t>REINSTATE-COMM</t>
  </si>
  <si>
    <t>REINSTATE FEE - COMM</t>
  </si>
  <si>
    <t>RTRNCAN-COMM</t>
  </si>
  <si>
    <t>RETURN TRIP FEE CAN - COM</t>
  </si>
  <si>
    <t>RTRNCART65-COMM</t>
  </si>
  <si>
    <t>RETURN TRIP 65 GL - COMM</t>
  </si>
  <si>
    <t>RTRNCART95-COMM</t>
  </si>
  <si>
    <t>RETURN TRIP 95 GL - COMM</t>
  </si>
  <si>
    <t>RTRNTRIP-COMM</t>
  </si>
  <si>
    <t>RETURN TRIP FEE - COMM</t>
  </si>
  <si>
    <t>SP1.5-COMM</t>
  </si>
  <si>
    <t>SPECIAL PICK UP 1.5 YD -</t>
  </si>
  <si>
    <t>SP1-COMM</t>
  </si>
  <si>
    <t>SPECIAL PICK UP 1 YD - CO</t>
  </si>
  <si>
    <t>SP2-COMM</t>
  </si>
  <si>
    <t>SPECIAL PICK UP 2 YD - CO</t>
  </si>
  <si>
    <t>SP3-COMM</t>
  </si>
  <si>
    <t>SPECIAL PICK UP 3 YD - CO</t>
  </si>
  <si>
    <t>SP4-COMM</t>
  </si>
  <si>
    <t>SPECIAL PICK UP 4 YD - CO</t>
  </si>
  <si>
    <t>SP6-COMM</t>
  </si>
  <si>
    <t>SPECIAL PICK UP 6 YD - CO</t>
  </si>
  <si>
    <t>SPCL65-COMM</t>
  </si>
  <si>
    <t>SPECIAL 65 GL - COMM</t>
  </si>
  <si>
    <t>SPCL95-COMM</t>
  </si>
  <si>
    <t>SPECIAL 95 GL - COMM</t>
  </si>
  <si>
    <t>SPCLREC-COMM</t>
  </si>
  <si>
    <t>SPECIAL RECYCLE - COMM</t>
  </si>
  <si>
    <t>TIME-COMM</t>
  </si>
  <si>
    <t>TIME FEE 1 - COMM</t>
  </si>
  <si>
    <t>UNRETURN-COMM</t>
  </si>
  <si>
    <t>GWCOMM</t>
  </si>
  <si>
    <t>GREENWASTE SERVICE - COMM</t>
  </si>
  <si>
    <t>LCKC</t>
  </si>
  <si>
    <t>LOCK CHARGE - COMM</t>
  </si>
  <si>
    <t>REDEL-COMM</t>
  </si>
  <si>
    <t>REDELIVER FEE LVL 1 - COM</t>
  </si>
  <si>
    <t>TOTAL COMMERCIAL GARBAGE</t>
  </si>
  <si>
    <t>Total</t>
  </si>
  <si>
    <t>2180 - Regulated</t>
  </si>
  <si>
    <t>Dump Fee Expense</t>
  </si>
  <si>
    <t>Rate per Ton</t>
  </si>
  <si>
    <t>Total Tons</t>
  </si>
  <si>
    <t>Pass Thru</t>
  </si>
  <si>
    <t>Total Pass Thru Tons</t>
  </si>
  <si>
    <t>Route Garbage</t>
  </si>
  <si>
    <t>Route Tons</t>
  </si>
  <si>
    <t>Non-Regulated 2181</t>
  </si>
  <si>
    <t>Rate p/Ton - City Contr</t>
  </si>
  <si>
    <t>Rate p/Ton - Base Contr</t>
  </si>
  <si>
    <t>Rate per Ton-Fluff</t>
  </si>
  <si>
    <t>Pass Thru Expense</t>
  </si>
  <si>
    <t>Pass Thru-City Contr</t>
  </si>
  <si>
    <t>Pass Thru Tons-City Contr</t>
  </si>
  <si>
    <t xml:space="preserve">Pass Thru-Base </t>
  </si>
  <si>
    <t>Pass Thru Tons-Base</t>
  </si>
  <si>
    <t>Pass Thru-Fluff</t>
  </si>
  <si>
    <t>Pass Thru Tons-Fluff</t>
  </si>
  <si>
    <t>Total Pass Thru Expense</t>
  </si>
  <si>
    <t>Routes-City Cont</t>
  </si>
  <si>
    <t>Route Tons-City Contr</t>
  </si>
  <si>
    <t>Routes-Base Contr</t>
  </si>
  <si>
    <t>Route Tons-Base Contr</t>
  </si>
  <si>
    <t>Check</t>
  </si>
  <si>
    <t>Lakewood Transfer Station Tons:</t>
  </si>
  <si>
    <t>Tons:</t>
  </si>
  <si>
    <t>Regulated</t>
  </si>
  <si>
    <t>Non-Reg</t>
  </si>
  <si>
    <t>Base</t>
  </si>
  <si>
    <t>2010-2011</t>
  </si>
  <si>
    <t>Tons</t>
  </si>
  <si>
    <t>July</t>
  </si>
  <si>
    <t>August</t>
  </si>
  <si>
    <t>September</t>
  </si>
  <si>
    <t>October</t>
  </si>
  <si>
    <t>November</t>
  </si>
  <si>
    <t>December</t>
  </si>
  <si>
    <t>January</t>
  </si>
  <si>
    <t>February</t>
  </si>
  <si>
    <t>March</t>
  </si>
  <si>
    <t>April</t>
  </si>
  <si>
    <t>May</t>
  </si>
  <si>
    <t>June</t>
  </si>
  <si>
    <t>Rt Hours</t>
  </si>
  <si>
    <t>TFS Haul</t>
  </si>
  <si>
    <t>Hours</t>
  </si>
  <si>
    <t>Packer Tons</t>
  </si>
  <si>
    <t>RO Tons</t>
  </si>
  <si>
    <t>Monthly Frequency</t>
  </si>
  <si>
    <t>Annual PU's</t>
  </si>
  <si>
    <t>Meek's Weights</t>
  </si>
  <si>
    <t>Calculated Annual Lbs</t>
  </si>
  <si>
    <t>Adjusted Annual Lbs</t>
  </si>
  <si>
    <t>Convert to Lbs</t>
  </si>
  <si>
    <t>Rate per Ton Effect. 3/1/2013</t>
  </si>
  <si>
    <t>TOTAL</t>
  </si>
  <si>
    <t>Actual Lbs</t>
  </si>
  <si>
    <t>Rate per Ton Effect. 3/1/2014</t>
  </si>
  <si>
    <t>Increase per Ton</t>
  </si>
  <si>
    <t>B&amp;O Tax</t>
  </si>
  <si>
    <t>WUTC Fee</t>
  </si>
  <si>
    <t>Factor</t>
  </si>
  <si>
    <t>RO Increase</t>
  </si>
  <si>
    <t>Grossed-Up For Taxes</t>
  </si>
  <si>
    <t>Resi/Comm Increase</t>
  </si>
  <si>
    <t>3/1/2014 Increase</t>
  </si>
  <si>
    <t>Gross-Up</t>
  </si>
  <si>
    <t>Rate Increase (per P/U)</t>
  </si>
  <si>
    <t>dba Pierce County Refuse</t>
  </si>
  <si>
    <t>Harold LeMay Enterprises, Inc., G-98</t>
  </si>
  <si>
    <t>Increase</t>
  </si>
  <si>
    <t>Prepaid Bag</t>
  </si>
  <si>
    <t>1 yard</t>
  </si>
  <si>
    <t>1.5 yard</t>
  </si>
  <si>
    <t>2 yard</t>
  </si>
  <si>
    <t>4 yard</t>
  </si>
  <si>
    <t>6 yard</t>
  </si>
  <si>
    <t xml:space="preserve"> </t>
  </si>
  <si>
    <t>Rate</t>
  </si>
  <si>
    <t>Current</t>
  </si>
  <si>
    <t>Proposed</t>
  </si>
  <si>
    <t xml:space="preserve">New </t>
  </si>
  <si>
    <t>Item 55, Pg 16</t>
  </si>
  <si>
    <t>Over size</t>
  </si>
  <si>
    <t>WG-R</t>
  </si>
  <si>
    <t>Item 100, pg 21</t>
  </si>
  <si>
    <t xml:space="preserve">Mini can </t>
  </si>
  <si>
    <t>Mini can</t>
  </si>
  <si>
    <t>WG-NR</t>
  </si>
  <si>
    <t>One can</t>
  </si>
  <si>
    <t>Two cans</t>
  </si>
  <si>
    <t>Three cans</t>
  </si>
  <si>
    <t>Four cans</t>
  </si>
  <si>
    <t>Five cans</t>
  </si>
  <si>
    <t>Six cans</t>
  </si>
  <si>
    <t>35 Gal</t>
  </si>
  <si>
    <t>EOWG-R</t>
  </si>
  <si>
    <t>EOWG-NR</t>
  </si>
  <si>
    <t>MG-R</t>
  </si>
  <si>
    <t>MG-NR</t>
  </si>
  <si>
    <t>65 Gal</t>
  </si>
  <si>
    <t>95 Gal</t>
  </si>
  <si>
    <t>Item 100, pg 22</t>
  </si>
  <si>
    <t>Extra Units</t>
  </si>
  <si>
    <t>Each</t>
  </si>
  <si>
    <t>On Call</t>
  </si>
  <si>
    <t>WG</t>
  </si>
  <si>
    <t>First PU</t>
  </si>
  <si>
    <t>Each Add'l</t>
  </si>
  <si>
    <t>3 yard</t>
  </si>
  <si>
    <t>8 yard</t>
  </si>
  <si>
    <t>Special Pickups</t>
  </si>
  <si>
    <t>Temporary Service</t>
  </si>
  <si>
    <t>Item 150, pg 26</t>
  </si>
  <si>
    <t>Bulky</t>
  </si>
  <si>
    <t>Loose material</t>
  </si>
  <si>
    <t>Additional</t>
  </si>
  <si>
    <t>Minimum</t>
  </si>
  <si>
    <t>Item 207, pg 30</t>
  </si>
  <si>
    <t>Garbage</t>
  </si>
  <si>
    <t>Lbs</t>
  </si>
  <si>
    <t>Item 230, pg 32</t>
  </si>
  <si>
    <t>Ton</t>
  </si>
  <si>
    <t>Joint Base Lewis-McChord</t>
  </si>
  <si>
    <t>Item 240, pg 33</t>
  </si>
  <si>
    <t>Item 245, pg 34</t>
  </si>
  <si>
    <t>32 gal, first five grouped</t>
  </si>
  <si>
    <t>32 gal, over five grouped</t>
  </si>
  <si>
    <t>32 gal, single not grouped</t>
  </si>
  <si>
    <t>Minimum monthly charge</t>
  </si>
  <si>
    <t>32 gal</t>
  </si>
  <si>
    <t>First Can</t>
  </si>
  <si>
    <t>65 gal</t>
  </si>
  <si>
    <t>65 gal minimum</t>
  </si>
  <si>
    <t>95 gal</t>
  </si>
  <si>
    <t>95 gal minimum</t>
  </si>
  <si>
    <t>Item 255, pg 35  2.75:1 compaction</t>
  </si>
  <si>
    <t xml:space="preserve">Note: For a  disposal increase a compactor is calculated using the increase for </t>
  </si>
  <si>
    <t>the container size times the compaction ratio.</t>
  </si>
  <si>
    <t>Rates</t>
  </si>
  <si>
    <t>Compaction Rate</t>
  </si>
  <si>
    <t>Revenue Check</t>
  </si>
  <si>
    <t>EQR (Base Residential Housing)</t>
  </si>
  <si>
    <t>65-Gal Wkly</t>
  </si>
  <si>
    <t>95-Gal Wkly</t>
  </si>
  <si>
    <t>Multi-Family, 1-yard Wkly</t>
  </si>
  <si>
    <t>Multi-Family, 1.5-yard Wkly</t>
  </si>
  <si>
    <t>Multi-Family, 2-yard Wkly</t>
  </si>
  <si>
    <t>Multi-Family, 3-yard Wkly</t>
  </si>
  <si>
    <t>Multi-Family, 4-yard Wkly</t>
  </si>
  <si>
    <t>Multi-Family, 6-yard Wkly</t>
  </si>
  <si>
    <t>Multi-Family, 8-yard Wkly</t>
  </si>
  <si>
    <t>(1)</t>
  </si>
  <si>
    <t>EQR Disposal Schedule</t>
  </si>
  <si>
    <t>January 1, 2013  - December 31, 2013</t>
  </si>
  <si>
    <t>Tonnage</t>
  </si>
  <si>
    <t>Price per Ton</t>
  </si>
  <si>
    <t>Expense</t>
  </si>
  <si>
    <t>Increase per Lb</t>
  </si>
  <si>
    <t>Increase w/Gross Up</t>
  </si>
  <si>
    <t>Note:  EQR is the residential housing portion of JBLM.  In the last general filing EQR's tonnage was not separated from all other Base tonnage shown on the PCR Disposal tab, therefore we used the most recent 12 months of EQR tonnage to do their DF calculation.</t>
  </si>
  <si>
    <t>Note (1):  Customer counts based on the December 2013 EQR billing.</t>
  </si>
  <si>
    <t>Packer</t>
  </si>
  <si>
    <t xml:space="preserve">RO </t>
  </si>
  <si>
    <t>Monthly Factor</t>
  </si>
  <si>
    <t>Pickups:</t>
  </si>
  <si>
    <t>1 unit</t>
  </si>
  <si>
    <t>2 units</t>
  </si>
  <si>
    <t>3 units</t>
  </si>
  <si>
    <t>4 units</t>
  </si>
  <si>
    <t>5 units</t>
  </si>
  <si>
    <t>6 units</t>
  </si>
  <si>
    <t>7 unit</t>
  </si>
  <si>
    <t>5 Times per Week</t>
  </si>
  <si>
    <t>4 Times per Week</t>
  </si>
  <si>
    <t>3 Times per Week</t>
  </si>
  <si>
    <t>2 Times per Week</t>
  </si>
  <si>
    <t>Weekly Pickup (WG)</t>
  </si>
  <si>
    <t>Every Other Week (EOWG)</t>
  </si>
  <si>
    <t>Monthly (MG)</t>
  </si>
  <si>
    <t>Meeks Weights</t>
  </si>
  <si>
    <t>Res'l</t>
  </si>
  <si>
    <t>Pounds per Pickup</t>
  </si>
  <si>
    <t>20 gal minican</t>
  </si>
  <si>
    <t>1 can</t>
  </si>
  <si>
    <t>2 cans</t>
  </si>
  <si>
    <t>3 cans</t>
  </si>
  <si>
    <t>Lbs. per ton</t>
  </si>
  <si>
    <t>4 cans</t>
  </si>
  <si>
    <t>Yds. Per ton</t>
  </si>
  <si>
    <t>n/a</t>
  </si>
  <si>
    <t>5 cans</t>
  </si>
  <si>
    <t>6 cans</t>
  </si>
  <si>
    <t>35 gallon Can</t>
  </si>
  <si>
    <t>provided by wcon</t>
  </si>
  <si>
    <t>Supercan 60</t>
  </si>
  <si>
    <t>Supercan 90</t>
  </si>
  <si>
    <t>Once a month</t>
  </si>
  <si>
    <t>Extras</t>
  </si>
  <si>
    <t>Com'l</t>
  </si>
  <si>
    <t>Cans</t>
  </si>
  <si>
    <t>1 yd container</t>
  </si>
  <si>
    <t>1.5 yd container</t>
  </si>
  <si>
    <t>2 yd container</t>
  </si>
  <si>
    <t>3 yd container</t>
  </si>
  <si>
    <t>4 yd container</t>
  </si>
  <si>
    <t>6 yd container</t>
  </si>
  <si>
    <t>8 yd container</t>
  </si>
  <si>
    <t>1 yd packer/compactor</t>
  </si>
  <si>
    <t>*</t>
  </si>
  <si>
    <t>1.5 yd packer/compactor</t>
  </si>
  <si>
    <t>2 yd packer/compactor</t>
  </si>
  <si>
    <t>3 yd packer/compactor</t>
  </si>
  <si>
    <t>4 yd packer/compactor</t>
  </si>
  <si>
    <t>5 yd packer/compactor</t>
  </si>
  <si>
    <t>6 yd packer/compactor</t>
  </si>
  <si>
    <t>8 yd packer/compactor</t>
  </si>
  <si>
    <t>Yards</t>
  </si>
  <si>
    <t>* not on meeks - calculated by staff</t>
  </si>
  <si>
    <t>Per Pound</t>
  </si>
  <si>
    <t>Gross Up Factors</t>
  </si>
  <si>
    <t xml:space="preserve">Current Rate </t>
  </si>
  <si>
    <t>B&amp;O tax</t>
  </si>
  <si>
    <t>New Rate per ton</t>
  </si>
  <si>
    <t>WUTC fees</t>
  </si>
  <si>
    <t>Bad Debts</t>
  </si>
  <si>
    <t>Transfer Station</t>
  </si>
  <si>
    <t>Increase per ton</t>
  </si>
  <si>
    <t>Grossed Up Increase per ton</t>
  </si>
  <si>
    <t>Tons Collected</t>
  </si>
  <si>
    <t>Disposal Fee Revenue Increase</t>
  </si>
  <si>
    <t>Company Proposed Rates</t>
  </si>
  <si>
    <t>Res'l &amp; Com'l</t>
  </si>
  <si>
    <t>Revenue Inc from Co Proposed Rates</t>
  </si>
  <si>
    <t>Collected Revenue Excess/(Deficiency)</t>
  </si>
  <si>
    <t>Staff Revised Rates</t>
  </si>
  <si>
    <t>Revenue from Revised Rates</t>
  </si>
  <si>
    <t>Tariff Page</t>
  </si>
  <si>
    <t>Scheduled Service</t>
  </si>
  <si>
    <t>Monthly Customers</t>
  </si>
  <si>
    <t>Calculated Annual Pounds</t>
  </si>
  <si>
    <t>Adjusted Annual Pounds</t>
  </si>
  <si>
    <t>Gross Up</t>
  </si>
  <si>
    <t>Tariff Rate Increase</t>
  </si>
  <si>
    <t>Company Current Tariff</t>
  </si>
  <si>
    <t>Company Proposed Tariff</t>
  </si>
  <si>
    <t>Company Current Revenue</t>
  </si>
  <si>
    <t>Company Proposed Revenue</t>
  </si>
  <si>
    <t>Company Increased Revenue</t>
  </si>
  <si>
    <t>Commercial</t>
  </si>
  <si>
    <t>Totals</t>
  </si>
  <si>
    <t>No Current Customers</t>
  </si>
  <si>
    <t>Adjustment Factor Calculation</t>
  </si>
  <si>
    <t>Total Tonnage</t>
  </si>
  <si>
    <t>Total Pounds</t>
  </si>
  <si>
    <t>Total Pick Ups</t>
  </si>
  <si>
    <t>Adjustment factor</t>
  </si>
  <si>
    <t>EQR</t>
  </si>
  <si>
    <t>Pierce County</t>
  </si>
  <si>
    <t>Total Commercial</t>
  </si>
  <si>
    <t>Total Residential</t>
  </si>
  <si>
    <t>Total EQR</t>
  </si>
  <si>
    <t>24-A</t>
  </si>
  <si>
    <t>24-B</t>
  </si>
  <si>
    <t>24-C</t>
  </si>
  <si>
    <t>Residential</t>
  </si>
  <si>
    <t>35 GL 1X WK NO RECY 1</t>
  </si>
  <si>
    <t>35 GL 1X EOW W/ RECY 1</t>
  </si>
  <si>
    <t>35 GL 1X EOW NO RECY 1</t>
  </si>
  <si>
    <t>35 GL 1X MO W/ RECY 1</t>
  </si>
  <si>
    <t>35 GL 1X MO NO RECY 1</t>
  </si>
  <si>
    <t>32 GL 1X WK NO RECY 5</t>
  </si>
  <si>
    <t>32 GL 1X WK W/RECY 5</t>
  </si>
  <si>
    <t>32 GL 1X WK NO RECY 6</t>
  </si>
  <si>
    <t>32 GL 1X WK W/RECY 6</t>
  </si>
  <si>
    <t>Price Per Ton</t>
  </si>
  <si>
    <t>Item 105, pg 24-A (EQR)</t>
  </si>
  <si>
    <t>Item 105, pg 24-B (EQR)</t>
  </si>
  <si>
    <t>Item 105, pg 24-C (EQR)</t>
  </si>
  <si>
    <t>Container Each Addn'l Pick-Up</t>
  </si>
  <si>
    <t>Drop Box</t>
  </si>
  <si>
    <t>NOTE:  This is the same Price Out that was used in TG-140068 &amp; TG-150025, which was taken from TG-111688 with the exception of the EQR Data.  No changes have been made.</t>
  </si>
  <si>
    <t>NOTE:  This is the same schedule that was used in TG-140068/TG-150025, which was taken from TG-111688 with the exception of the EQR Data.  No changes have been made.</t>
  </si>
  <si>
    <t>Rate Effective 3/1/2015</t>
  </si>
  <si>
    <t>Rate Effective 3/1/2016</t>
  </si>
  <si>
    <t>Note:  This schedule was taken from TG-140068/TG-150025.  No changes were made.</t>
  </si>
  <si>
    <t>Annual</t>
  </si>
  <si>
    <t>Oversize can</t>
  </si>
  <si>
    <t>2-can</t>
  </si>
  <si>
    <t>3-can</t>
  </si>
  <si>
    <t>4-can</t>
  </si>
  <si>
    <t>5-can</t>
  </si>
  <si>
    <t>Tariff</t>
  </si>
  <si>
    <t>Dump Fee Calc References</t>
  </si>
  <si>
    <t>Dump Fee Calculation</t>
  </si>
  <si>
    <t>Customer counts and disposal taken directly from TG-150025.</t>
  </si>
  <si>
    <t>Regulated Revenue Price Out by Service Level and Line of Business</t>
  </si>
  <si>
    <t>PCR Disposal Schedule</t>
  </si>
  <si>
    <t>Effective 3/1/2018</t>
  </si>
  <si>
    <t>Appliances with Freon</t>
  </si>
  <si>
    <t>Propsed Rates Effective 3/1/2018</t>
  </si>
  <si>
    <t xml:space="preserve">Multi-Family, 1-yard </t>
  </si>
  <si>
    <t>Multi-Family, 1.5-yard</t>
  </si>
  <si>
    <t>Multi-Family, 2-yard</t>
  </si>
  <si>
    <t>Multi-Family, 3-yard</t>
  </si>
  <si>
    <t>Multi-Family, 8-yard</t>
  </si>
  <si>
    <t>$ Increase</t>
  </si>
  <si>
    <t>% Increase</t>
  </si>
  <si>
    <t>32 Gal Special Pickups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</si>
</sst>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000_);_(* \(#,##0.0000\);_(* &quot;-&quot;??_);_(@_)"/>
    <numFmt numFmtId="168" formatCode="_(* #,##0.00000_);_(* \(#,##0.00000\);_(* &quot;-&quot;??_);_(@_)"/>
    <numFmt numFmtId="169" formatCode="_(* #,##0.0_);_(* \(#,##0.0\);_(* &quot;-&quot;??_);_(@_)"/>
    <numFmt numFmtId="170" formatCode="_(&quot;$&quot;* #,##0.000_);_(&quot;$&quot;* \(#,##0.000\);_(&quot;$&quot;* &quot;-&quot;??_);_(@_)"/>
    <numFmt numFmtId="171" formatCode="_(* #,##0.000000_);_(* \(#,##0.000000\);_(* &quot;-&quot;??_);_(@_)"/>
    <numFmt numFmtId="172" formatCode="_(&quot;$&quot;* #,##0.000000_);_(&quot;$&quot;* \(#,##0.000000\);_(&quot;$&quot;* &quot;-&quot;??_);_(@_)"/>
    <numFmt numFmtId="173" formatCode="0.0000%"/>
    <numFmt numFmtId="174" formatCode="0.000000"/>
    <numFmt numFmtId="175" formatCode="_(* #,##0.0000000_);_(* \(#,##0.0000000\);_(* &quot;-&quot;??_);_(@_)"/>
  </numFmts>
  <fonts count="70">
    <font>
      <sz val="11"/>
      <color theme="1"/>
      <name val="Calibri"/>
      <family val="2"/>
      <scheme val="minor"/>
    </font>
    <font>
      <sz val="11"/>
      <color theme="1"/>
      <name val="Calibri"/>
      <family val="2"/>
      <scheme val="minor"/>
    </font>
    <font>
      <sz val="11"/>
      <color indexed="8"/>
      <name val="Arial"/>
      <family val="2"/>
    </font>
    <font>
      <sz val="10"/>
      <name val="Arial"/>
      <family val="2"/>
    </font>
    <font>
      <sz val="11"/>
      <color indexed="8"/>
      <name val="Calibri"/>
      <family val="2"/>
    </font>
    <font>
      <b/>
      <sz val="8"/>
      <color indexed="81"/>
      <name val="Tahoma"/>
      <family val="2"/>
    </font>
    <font>
      <sz val="8"/>
      <color indexed="81"/>
      <name val="Tahoma"/>
      <family val="2"/>
    </font>
    <font>
      <sz val="11"/>
      <color indexed="9"/>
      <name val="Calibri"/>
      <family val="2"/>
    </font>
    <font>
      <sz val="11"/>
      <color indexed="20"/>
      <name val="Calibri"/>
      <family val="2"/>
    </font>
    <font>
      <b/>
      <sz val="11"/>
      <color indexed="52"/>
      <name val="Calibri"/>
      <family val="2"/>
    </font>
    <font>
      <sz val="10"/>
      <color indexed="8"/>
      <name val="Arial"/>
      <family val="2"/>
    </font>
    <font>
      <sz val="12"/>
      <name val="Courier"/>
      <family val="3"/>
    </font>
    <font>
      <sz val="9"/>
      <color indexed="8"/>
      <name val="Arial"/>
      <family val="2"/>
    </font>
    <font>
      <sz val="10"/>
      <name val="Times New Roman"/>
      <family val="1"/>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b/>
      <sz val="11"/>
      <color indexed="51"/>
      <name val="Calibri"/>
      <family val="2"/>
    </font>
    <font>
      <b/>
      <sz val="11"/>
      <color indexed="10"/>
      <name val="Calibri"/>
      <family val="2"/>
    </font>
    <font>
      <b/>
      <sz val="11"/>
      <color indexed="9"/>
      <name val="Calibri"/>
      <family val="2"/>
    </font>
    <font>
      <i/>
      <sz val="11"/>
      <color indexed="23"/>
      <name val="Calibri"/>
      <family val="2"/>
    </font>
    <font>
      <b/>
      <sz val="15"/>
      <color indexed="61"/>
      <name val="Calibri"/>
      <family val="2"/>
    </font>
    <font>
      <b/>
      <sz val="13"/>
      <color indexed="61"/>
      <name val="Calibri"/>
      <family val="2"/>
    </font>
    <font>
      <b/>
      <sz val="11"/>
      <color indexed="61"/>
      <name val="Calibri"/>
      <family val="2"/>
    </font>
    <font>
      <u/>
      <sz val="11"/>
      <color theme="10"/>
      <name val="Calibri"/>
      <family val="2"/>
    </font>
    <font>
      <sz val="11"/>
      <color indexed="61"/>
      <name val="Calibri"/>
      <family val="2"/>
    </font>
    <font>
      <sz val="11"/>
      <color indexed="62"/>
      <name val="Calibri"/>
      <family val="2"/>
    </font>
    <font>
      <sz val="11"/>
      <color indexed="51"/>
      <name val="Calibri"/>
      <family val="2"/>
    </font>
    <font>
      <sz val="11"/>
      <color indexed="10"/>
      <name val="Calibri"/>
      <family val="2"/>
    </font>
    <font>
      <sz val="11"/>
      <color indexed="59"/>
      <name val="Calibri"/>
      <family val="2"/>
    </font>
    <font>
      <sz val="11"/>
      <color indexed="19"/>
      <name val="Calibri"/>
      <family val="2"/>
    </font>
    <font>
      <b/>
      <sz val="11"/>
      <color indexed="63"/>
      <name val="Calibri"/>
      <family val="2"/>
    </font>
    <font>
      <sz val="8"/>
      <color indexed="56"/>
      <name val="Arial"/>
      <family val="2"/>
    </font>
    <font>
      <b/>
      <sz val="18"/>
      <color indexed="61"/>
      <name val="Cambria"/>
      <family val="2"/>
    </font>
    <font>
      <b/>
      <sz val="18"/>
      <color indexed="62"/>
      <name val="Cambria"/>
      <family val="2"/>
    </font>
    <font>
      <sz val="12"/>
      <name val="Arial"/>
      <family val="2"/>
    </font>
    <font>
      <b/>
      <sz val="11"/>
      <color theme="1"/>
      <name val="Calibri"/>
      <family val="2"/>
      <scheme val="minor"/>
    </font>
    <font>
      <sz val="11"/>
      <color rgb="FFFF0000"/>
      <name val="Calibri"/>
      <family val="2"/>
      <scheme val="minor"/>
    </font>
    <font>
      <sz val="8"/>
      <name val="Arial"/>
      <family val="2"/>
    </font>
    <font>
      <b/>
      <sz val="15"/>
      <color indexed="56"/>
      <name val="Calibri"/>
      <family val="2"/>
    </font>
    <font>
      <b/>
      <sz val="13"/>
      <color indexed="56"/>
      <name val="Calibri"/>
      <family val="2"/>
    </font>
    <font>
      <b/>
      <sz val="11"/>
      <color indexed="56"/>
      <name val="Calibri"/>
      <family val="2"/>
    </font>
    <font>
      <sz val="12"/>
      <name val="Arial MT"/>
    </font>
    <font>
      <b/>
      <u/>
      <sz val="11"/>
      <name val="Arial"/>
      <family val="2"/>
    </font>
    <font>
      <sz val="11"/>
      <name val="Calibri"/>
      <family val="2"/>
      <scheme val="minor"/>
    </font>
    <font>
      <b/>
      <sz val="11"/>
      <name val="Calibri"/>
      <family val="2"/>
      <scheme val="minor"/>
    </font>
    <font>
      <sz val="11"/>
      <color theme="3" tint="0.39997558519241921"/>
      <name val="Calibri"/>
      <family val="2"/>
      <scheme val="minor"/>
    </font>
    <font>
      <b/>
      <sz val="9"/>
      <color indexed="81"/>
      <name val="Tahoma"/>
      <family val="2"/>
    </font>
    <font>
      <sz val="9"/>
      <color indexed="81"/>
      <name val="Tahoma"/>
      <family val="2"/>
    </font>
    <font>
      <b/>
      <sz val="11"/>
      <color rgb="FFFF0000"/>
      <name val="Calibri"/>
      <family val="2"/>
      <scheme val="minor"/>
    </font>
    <font>
      <b/>
      <i/>
      <sz val="11"/>
      <color theme="1"/>
      <name val="Calibri"/>
      <family val="2"/>
      <scheme val="minor"/>
    </font>
    <font>
      <b/>
      <sz val="11"/>
      <color indexed="8"/>
      <name val="Calibri"/>
      <family val="2"/>
      <scheme val="minor"/>
    </font>
    <font>
      <sz val="11"/>
      <color indexed="8"/>
      <name val="Calibri"/>
      <family val="2"/>
      <scheme val="minor"/>
    </font>
    <font>
      <sz val="11"/>
      <color indexed="10"/>
      <name val="Calibri"/>
      <family val="2"/>
      <scheme val="minor"/>
    </font>
    <font>
      <b/>
      <u/>
      <sz val="11"/>
      <color indexed="8"/>
      <name val="Calibri"/>
      <family val="2"/>
      <scheme val="minor"/>
    </font>
    <font>
      <b/>
      <sz val="11"/>
      <color indexed="50"/>
      <name val="Calibri"/>
      <family val="2"/>
      <scheme val="minor"/>
    </font>
    <font>
      <b/>
      <sz val="11"/>
      <color rgb="FF0070C0"/>
      <name val="Calibri"/>
      <family val="2"/>
      <scheme val="minor"/>
    </font>
    <font>
      <b/>
      <sz val="11"/>
      <color rgb="FF0000FF"/>
      <name val="Calibri"/>
      <family val="2"/>
      <scheme val="minor"/>
    </font>
  </fonts>
  <fills count="48">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indexed="41"/>
        <bgColor indexed="64"/>
      </patternFill>
    </fill>
    <fill>
      <patternFill patternType="solid">
        <fgColor indexed="47"/>
      </patternFill>
    </fill>
    <fill>
      <patternFill patternType="solid">
        <fgColor indexed="27"/>
      </patternFill>
    </fill>
    <fill>
      <patternFill patternType="solid">
        <fgColor indexed="48"/>
      </patternFill>
    </fill>
    <fill>
      <patternFill patternType="solid">
        <fgColor indexed="51"/>
      </patternFill>
    </fill>
    <fill>
      <patternFill patternType="solid">
        <fgColor indexed="56"/>
      </patternFill>
    </fill>
    <fill>
      <patternFill patternType="solid">
        <fgColor indexed="54"/>
      </patternFill>
    </fill>
    <fill>
      <patternFill patternType="solid">
        <fgColor indexed="52"/>
      </patternFill>
    </fill>
    <fill>
      <patternFill patternType="solid">
        <fgColor indexed="46"/>
      </patternFill>
    </fill>
    <fill>
      <patternFill patternType="solid">
        <fgColor indexed="63"/>
      </patternFill>
    </fill>
    <fill>
      <patternFill patternType="solid">
        <fgColor indexed="55"/>
      </patternFill>
    </fill>
    <fill>
      <patternFill patternType="solid">
        <fgColor indexed="45"/>
        <bgColor indexed="64"/>
      </patternFill>
    </fill>
    <fill>
      <patternFill patternType="mediumGray">
        <fgColor indexed="22"/>
      </patternFill>
    </fill>
    <fill>
      <patternFill patternType="solid">
        <fgColor indexed="43"/>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indexed="31"/>
      </patternFill>
    </fill>
    <fill>
      <patternFill patternType="solid">
        <fgColor indexed="30"/>
      </patternFill>
    </fill>
    <fill>
      <patternFill patternType="solid">
        <fgColor indexed="11"/>
      </patternFill>
    </fill>
    <fill>
      <patternFill patternType="solid">
        <fgColor indexed="36"/>
      </patternFill>
    </fill>
    <fill>
      <patternFill patternType="solid">
        <fgColor indexed="62"/>
      </patternFill>
    </fill>
    <fill>
      <patternFill patternType="solid">
        <fgColor theme="0" tint="-0.34998626667073579"/>
        <bgColor indexed="64"/>
      </patternFill>
    </fill>
    <fill>
      <patternFill patternType="solid">
        <fgColor theme="6" tint="0.39997558519241921"/>
        <bgColor indexed="64"/>
      </patternFill>
    </fill>
    <fill>
      <patternFill patternType="solid">
        <fgColor rgb="FF92D050"/>
        <bgColor indexed="64"/>
      </patternFill>
    </fill>
    <fill>
      <patternFill patternType="solid">
        <fgColor rgb="FF00B05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47">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2"/>
      </left>
      <right style="double">
        <color indexed="62"/>
      </right>
      <top style="double">
        <color indexed="62"/>
      </top>
      <bottom style="double">
        <color indexed="62"/>
      </bottom>
      <diagonal/>
    </border>
    <border>
      <left style="double">
        <color indexed="8"/>
      </left>
      <right style="double">
        <color indexed="8"/>
      </right>
      <top style="double">
        <color indexed="8"/>
      </top>
      <bottom style="double">
        <color indexed="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6"/>
      </bottom>
      <diagonal/>
    </border>
    <border>
      <left/>
      <right/>
      <top/>
      <bottom style="thick">
        <color indexed="27"/>
      </bottom>
      <diagonal/>
    </border>
    <border>
      <left/>
      <right/>
      <top/>
      <bottom style="medium">
        <color indexed="48"/>
      </bottom>
      <diagonal/>
    </border>
    <border>
      <left/>
      <right/>
      <top/>
      <bottom style="medium">
        <color indexed="27"/>
      </bottom>
      <diagonal/>
    </border>
    <border>
      <left/>
      <right/>
      <top/>
      <bottom style="double">
        <color indexed="51"/>
      </bottom>
      <diagonal/>
    </border>
    <border>
      <left/>
      <right/>
      <top/>
      <bottom style="double">
        <color indexed="10"/>
      </bottom>
      <diagonal/>
    </border>
    <border>
      <left style="thin">
        <color indexed="62"/>
      </left>
      <right style="thin">
        <color indexed="62"/>
      </right>
      <top style="thin">
        <color indexed="62"/>
      </top>
      <bottom style="thin">
        <color indexed="6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indexed="56"/>
      </top>
      <bottom style="double">
        <color indexed="56"/>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s>
  <cellStyleXfs count="415">
    <xf numFmtId="0" fontId="0" fillId="0" borderId="0"/>
    <xf numFmtId="43" fontId="3"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0" borderId="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41" fontId="3" fillId="0" borderId="0"/>
    <xf numFmtId="0" fontId="8" fillId="12" borderId="0" applyNumberFormat="0" applyBorder="0" applyAlignment="0" applyProtection="0"/>
    <xf numFmtId="3" fontId="3" fillId="0" borderId="0"/>
    <xf numFmtId="0" fontId="9" fillId="13"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10" fillId="0" borderId="0"/>
    <xf numFmtId="0" fontId="11" fillId="0" borderId="0"/>
    <xf numFmtId="0" fontId="11" fillId="0" borderId="0"/>
    <xf numFmtId="0" fontId="12" fillId="14" borderId="3" applyAlignment="0">
      <alignment horizontal="right"/>
      <protection locked="0"/>
    </xf>
    <xf numFmtId="44" fontId="13"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15" borderId="0">
      <alignment horizontal="right"/>
      <protection locked="0"/>
    </xf>
    <xf numFmtId="2" fontId="14" fillId="15" borderId="0">
      <alignment horizontal="right"/>
      <protection locked="0"/>
    </xf>
    <xf numFmtId="0" fontId="15" fillId="1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21" fillId="17" borderId="0">
      <protection locked="0"/>
    </xf>
    <xf numFmtId="4" fontId="21" fillId="17" borderId="0">
      <protection locked="0"/>
    </xf>
    <xf numFmtId="0" fontId="22" fillId="0" borderId="7" applyNumberFormat="0" applyFill="0" applyAlignment="0" applyProtection="0"/>
    <xf numFmtId="0" fontId="23" fillId="6" borderId="0" applyNumberFormat="0" applyBorder="0" applyAlignment="0" applyProtection="0"/>
    <xf numFmtId="43" fontId="3"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4" fillId="18" borderId="8" applyNumberFormat="0" applyFont="0" applyAlignment="0" applyProtection="0"/>
    <xf numFmtId="164" fontId="25" fillId="0" borderId="0" applyNumberFormat="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164" fontId="3" fillId="0" borderId="0" applyFont="0" applyFill="0" applyBorder="0" applyAlignment="0" applyProtection="0"/>
    <xf numFmtId="10" fontId="3" fillId="0" borderId="0" applyFont="0" applyFill="0" applyBorder="0" applyAlignment="0" applyProtection="0"/>
    <xf numFmtId="0" fontId="3" fillId="0" borderId="0"/>
    <xf numFmtId="0" fontId="26" fillId="0" borderId="0" applyNumberFormat="0" applyFont="0" applyFill="0" applyBorder="0" applyAlignment="0" applyProtection="0">
      <alignment horizontal="left"/>
    </xf>
    <xf numFmtId="0" fontId="27" fillId="0" borderId="9">
      <alignment horizontal="center"/>
    </xf>
    <xf numFmtId="0" fontId="10" fillId="0" borderId="0">
      <alignment vertical="top"/>
    </xf>
    <xf numFmtId="0" fontId="10" fillId="0" borderId="0" applyNumberFormat="0" applyBorder="0" applyAlignment="0"/>
    <xf numFmtId="0" fontId="28" fillId="0" borderId="10" applyNumberFormat="0" applyFill="0" applyAlignment="0" applyProtection="0"/>
    <xf numFmtId="0" fontId="4" fillId="20"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18"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21" borderId="0" applyNumberFormat="0" applyBorder="0" applyAlignment="0" applyProtection="0"/>
    <xf numFmtId="0" fontId="4" fillId="18" borderId="0" applyNumberFormat="0" applyBorder="0" applyAlignment="0" applyProtection="0"/>
    <xf numFmtId="0" fontId="7" fillId="22" borderId="0" applyNumberFormat="0" applyBorder="0" applyAlignment="0" applyProtection="0"/>
    <xf numFmtId="0" fontId="7" fillId="7" borderId="0" applyNumberFormat="0" applyBorder="0" applyAlignment="0" applyProtection="0"/>
    <xf numFmtId="0" fontId="7" fillId="21" borderId="0" applyNumberFormat="0" applyBorder="0" applyAlignment="0" applyProtection="0"/>
    <xf numFmtId="0" fontId="7" fillId="11" borderId="0" applyNumberFormat="0" applyBorder="0" applyAlignment="0" applyProtection="0"/>
    <xf numFmtId="0" fontId="7" fillId="23" borderId="0" applyNumberFormat="0" applyBorder="0" applyAlignment="0" applyProtection="0"/>
    <xf numFmtId="0" fontId="7" fillId="12" borderId="0" applyNumberFormat="0" applyBorder="0" applyAlignment="0" applyProtection="0"/>
    <xf numFmtId="0" fontId="7" fillId="22" borderId="0" applyNumberFormat="0" applyBorder="0" applyAlignment="0" applyProtection="0"/>
    <xf numFmtId="0" fontId="7" fillId="7" borderId="0" applyNumberFormat="0" applyBorder="0" applyAlignment="0" applyProtection="0"/>
    <xf numFmtId="0" fontId="7" fillId="21" borderId="0" applyNumberFormat="0" applyBorder="0" applyAlignment="0" applyProtection="0"/>
    <xf numFmtId="0" fontId="7" fillId="8" borderId="0" applyNumberFormat="0" applyBorder="0" applyAlignment="0" applyProtection="0"/>
    <xf numFmtId="0" fontId="7" fillId="20" borderId="0" applyNumberFormat="0" applyBorder="0" applyAlignment="0" applyProtection="0"/>
    <xf numFmtId="0" fontId="7" fillId="8" borderId="0" applyNumberFormat="0" applyBorder="0" applyAlignment="0" applyProtection="0"/>
    <xf numFmtId="0" fontId="7" fillId="22" borderId="0" applyNumberFormat="0" applyBorder="0" applyAlignment="0" applyProtection="0"/>
    <xf numFmtId="0" fontId="7" fillId="7" borderId="0" applyNumberFormat="0" applyBorder="0" applyAlignment="0" applyProtection="0"/>
    <xf numFmtId="0" fontId="7" fillId="24" borderId="0" applyNumberFormat="0" applyBorder="0" applyAlignment="0" applyProtection="0"/>
    <xf numFmtId="0" fontId="7" fillId="11" borderId="0" applyNumberFormat="0" applyBorder="0" applyAlignment="0" applyProtection="0"/>
    <xf numFmtId="0" fontId="7" fillId="24" borderId="0" applyNumberFormat="0" applyBorder="0" applyAlignment="0" applyProtection="0"/>
    <xf numFmtId="0" fontId="7" fillId="10" borderId="0" applyNumberFormat="0" applyBorder="0" applyAlignment="0" applyProtection="0"/>
    <xf numFmtId="0" fontId="7" fillId="23" borderId="0" applyNumberFormat="0" applyBorder="0" applyAlignment="0" applyProtection="0"/>
    <xf numFmtId="0" fontId="7" fillId="11"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2" borderId="0" applyNumberFormat="0" applyBorder="0" applyAlignment="0" applyProtection="0"/>
    <xf numFmtId="0" fontId="7" fillId="10" borderId="0" applyNumberFormat="0" applyBorder="0" applyAlignment="0" applyProtection="0"/>
    <xf numFmtId="0" fontId="7" fillId="7" borderId="0" applyNumberFormat="0" applyBorder="0" applyAlignment="0" applyProtection="0"/>
    <xf numFmtId="0" fontId="7" fillId="26" borderId="0" applyNumberFormat="0" applyBorder="0" applyAlignment="0" applyProtection="0"/>
    <xf numFmtId="0" fontId="7" fillId="11" borderId="0" applyNumberFormat="0" applyBorder="0" applyAlignment="0" applyProtection="0"/>
    <xf numFmtId="0" fontId="7" fillId="9" borderId="0" applyNumberFormat="0" applyBorder="0" applyAlignment="0" applyProtection="0"/>
    <xf numFmtId="41" fontId="3" fillId="0" borderId="0"/>
    <xf numFmtId="41" fontId="3" fillId="0" borderId="0"/>
    <xf numFmtId="41" fontId="3" fillId="0" borderId="0"/>
    <xf numFmtId="0" fontId="8" fillId="27" borderId="0" applyNumberFormat="0" applyBorder="0" applyAlignment="0" applyProtection="0"/>
    <xf numFmtId="3" fontId="3" fillId="0" borderId="0"/>
    <xf numFmtId="3" fontId="3" fillId="0" borderId="0"/>
    <xf numFmtId="3" fontId="3" fillId="0" borderId="0"/>
    <xf numFmtId="0" fontId="29" fillId="13" borderId="2" applyNumberFormat="0" applyAlignment="0" applyProtection="0"/>
    <xf numFmtId="0" fontId="9" fillId="13" borderId="2" applyNumberFormat="0" applyAlignment="0" applyProtection="0"/>
    <xf numFmtId="0" fontId="30" fillId="13" borderId="2" applyNumberFormat="0" applyAlignment="0" applyProtection="0"/>
    <xf numFmtId="0" fontId="31" fillId="28" borderId="20" applyNumberFormat="0" applyAlignment="0" applyProtection="0"/>
    <xf numFmtId="0" fontId="31" fillId="29" borderId="21" applyNumberFormat="0" applyAlignment="0" applyProtection="0"/>
    <xf numFmtId="0" fontId="31" fillId="29" borderId="22" applyNumberFormat="0" applyAlignment="0" applyProtection="0"/>
    <xf numFmtId="0" fontId="3" fillId="30" borderId="0">
      <alignment horizontal="center"/>
    </xf>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 fillId="0" borderId="0"/>
    <xf numFmtId="0" fontId="15" fillId="21" borderId="0" applyNumberFormat="0" applyBorder="0" applyAlignment="0" applyProtection="0"/>
    <xf numFmtId="0" fontId="33" fillId="0" borderId="23" applyNumberFormat="0" applyFill="0" applyAlignment="0" applyProtection="0"/>
    <xf numFmtId="0" fontId="16" fillId="0" borderId="4" applyNumberFormat="0" applyFill="0" applyAlignment="0" applyProtection="0"/>
    <xf numFmtId="0" fontId="16" fillId="0" borderId="24" applyNumberFormat="0" applyFill="0" applyAlignment="0" applyProtection="0"/>
    <xf numFmtId="0" fontId="34" fillId="0" borderId="5" applyNumberFormat="0" applyFill="0" applyAlignment="0" applyProtection="0"/>
    <xf numFmtId="0" fontId="17" fillId="0" borderId="5" applyNumberFormat="0" applyFill="0" applyAlignment="0" applyProtection="0"/>
    <xf numFmtId="0" fontId="17" fillId="0" borderId="25" applyNumberFormat="0" applyFill="0" applyAlignment="0" applyProtection="0"/>
    <xf numFmtId="0" fontId="35" fillId="0" borderId="26" applyNumberFormat="0" applyFill="0" applyAlignment="0" applyProtection="0"/>
    <xf numFmtId="0" fontId="18" fillId="0" borderId="6" applyNumberFormat="0" applyFill="0" applyAlignment="0" applyProtection="0"/>
    <xf numFmtId="0" fontId="18" fillId="0" borderId="27" applyNumberFormat="0" applyFill="0" applyAlignment="0" applyProtection="0"/>
    <xf numFmtId="0" fontId="3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6" borderId="2" applyNumberFormat="0" applyAlignment="0" applyProtection="0"/>
    <xf numFmtId="0" fontId="38" fillId="20" borderId="2" applyNumberFormat="0" applyAlignment="0" applyProtection="0"/>
    <xf numFmtId="0" fontId="38" fillId="6" borderId="2" applyNumberFormat="0" applyAlignment="0" applyProtection="0"/>
    <xf numFmtId="0" fontId="39" fillId="0" borderId="28" applyNumberFormat="0" applyFill="0" applyAlignment="0" applyProtection="0"/>
    <xf numFmtId="0" fontId="22" fillId="0" borderId="7" applyNumberFormat="0" applyFill="0" applyAlignment="0" applyProtection="0"/>
    <xf numFmtId="0" fontId="40" fillId="0" borderId="29" applyNumberFormat="0" applyFill="0" applyAlignment="0" applyProtection="0"/>
    <xf numFmtId="0" fontId="41" fillId="6" borderId="0" applyNumberFormat="0" applyBorder="0" applyAlignment="0" applyProtection="0"/>
    <xf numFmtId="0" fontId="23" fillId="6" borderId="0" applyNumberFormat="0" applyBorder="0" applyAlignment="0" applyProtection="0"/>
    <xf numFmtId="0" fontId="42" fillId="6" borderId="0" applyNumberFormat="0" applyBorder="0" applyAlignment="0" applyProtection="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1" fillId="0" borderId="0"/>
    <xf numFmtId="0" fontId="1" fillId="0" borderId="0"/>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10" fillId="0" borderId="0">
      <alignment vertical="top"/>
    </xf>
    <xf numFmtId="0" fontId="10" fillId="0" borderId="0">
      <alignment vertical="top"/>
    </xf>
    <xf numFmtId="0" fontId="10" fillId="0" borderId="0">
      <alignment vertical="top"/>
    </xf>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18" borderId="8" applyNumberFormat="0" applyFont="0" applyAlignment="0" applyProtection="0"/>
    <xf numFmtId="0" fontId="24" fillId="18" borderId="8" applyNumberFormat="0" applyFont="0" applyAlignment="0" applyProtection="0"/>
    <xf numFmtId="0" fontId="18" fillId="13" borderId="30" applyNumberFormat="0" applyAlignment="0" applyProtection="0"/>
    <xf numFmtId="0" fontId="28" fillId="28" borderId="31" applyNumberFormat="0" applyAlignment="0" applyProtection="0"/>
    <xf numFmtId="0" fontId="43" fillId="13" borderId="32"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38" fontId="44" fillId="0" borderId="0" applyNumberFormat="0" applyFont="0" applyFill="0" applyBorder="0">
      <alignment horizontal="left" indent="4"/>
      <protection locked="0"/>
    </xf>
    <xf numFmtId="15" fontId="26" fillId="0" borderId="0" applyFont="0" applyFill="0" applyBorder="0" applyAlignment="0" applyProtection="0"/>
    <xf numFmtId="4" fontId="26" fillId="0" borderId="0" applyFont="0" applyFill="0" applyBorder="0" applyAlignment="0" applyProtection="0"/>
    <xf numFmtId="3" fontId="26" fillId="0" borderId="0" applyFont="0" applyFill="0" applyBorder="0" applyAlignment="0" applyProtection="0"/>
    <xf numFmtId="0" fontId="26" fillId="31" borderId="0" applyNumberFormat="0" applyFont="0" applyBorder="0" applyAlignment="0" applyProtection="0"/>
    <xf numFmtId="0" fontId="10" fillId="0" borderId="0">
      <alignment vertical="top"/>
    </xf>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8" fillId="0" borderId="33" applyNumberFormat="0" applyFill="0" applyAlignment="0" applyProtection="0"/>
    <xf numFmtId="0" fontId="28" fillId="0" borderId="10" applyNumberFormat="0" applyFill="0" applyAlignment="0" applyProtection="0"/>
    <xf numFmtId="0" fontId="28" fillId="0" borderId="34"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165" fontId="47" fillId="32" borderId="0" applyFont="0" applyFill="0" applyBorder="0" applyAlignment="0" applyProtection="0">
      <alignment wrapText="1"/>
    </xf>
    <xf numFmtId="0" fontId="3" fillId="0" borderId="0"/>
    <xf numFmtId="0" fontId="4" fillId="36" borderId="0" applyNumberFormat="0" applyBorder="0" applyAlignment="0" applyProtection="0"/>
    <xf numFmtId="0" fontId="4" fillId="27" borderId="0" applyNumberFormat="0" applyBorder="0" applyAlignment="0" applyProtection="0"/>
    <xf numFmtId="0" fontId="4" fillId="5" borderId="0" applyNumberFormat="0" applyBorder="0" applyAlignment="0" applyProtection="0"/>
    <xf numFmtId="0" fontId="4" fillId="27" borderId="0" applyNumberFormat="0" applyBorder="0" applyAlignment="0" applyProtection="0"/>
    <xf numFmtId="0" fontId="4" fillId="23"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9" fillId="4" borderId="2" applyNumberFormat="0" applyAlignment="0" applyProtection="0"/>
    <xf numFmtId="43" fontId="4" fillId="0" borderId="0" applyFont="0" applyFill="0" applyBorder="0" applyAlignment="0" applyProtection="0"/>
    <xf numFmtId="43" fontId="5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0"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14" fontId="3" fillId="0" borderId="0"/>
    <xf numFmtId="1" fontId="3" fillId="0" borderId="0">
      <alignment horizontal="center"/>
    </xf>
    <xf numFmtId="0" fontId="51" fillId="0" borderId="37" applyNumberFormat="0" applyFill="0" applyAlignment="0" applyProtection="0"/>
    <xf numFmtId="0" fontId="52" fillId="0" borderId="5" applyNumberFormat="0" applyFill="0" applyAlignment="0" applyProtection="0"/>
    <xf numFmtId="0" fontId="53" fillId="0" borderId="38" applyNumberFormat="0" applyFill="0" applyAlignment="0" applyProtection="0"/>
    <xf numFmtId="0" fontId="1" fillId="0" borderId="0"/>
    <xf numFmtId="0" fontId="4" fillId="0" borderId="0"/>
    <xf numFmtId="0" fontId="3" fillId="0" borderId="0"/>
    <xf numFmtId="0" fontId="3" fillId="0" borderId="0"/>
    <xf numFmtId="0" fontId="3" fillId="0" borderId="0"/>
    <xf numFmtId="0" fontId="3" fillId="0" borderId="0"/>
    <xf numFmtId="0" fontId="50" fillId="18" borderId="8" applyNumberFormat="0" applyFont="0" applyAlignment="0" applyProtection="0"/>
    <xf numFmtId="9" fontId="5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37" fontId="55" fillId="0" borderId="0"/>
    <xf numFmtId="0" fontId="28" fillId="0" borderId="39" applyNumberFormat="0" applyFill="0" applyAlignment="0" applyProtection="0"/>
  </cellStyleXfs>
  <cellXfs count="397">
    <xf numFmtId="0" fontId="0" fillId="0" borderId="0" xfId="0"/>
    <xf numFmtId="0" fontId="48" fillId="0" borderId="0" xfId="0" applyFont="1"/>
    <xf numFmtId="0" fontId="48" fillId="0" borderId="0" xfId="0" applyFont="1" applyAlignment="1">
      <alignment horizontal="center"/>
    </xf>
    <xf numFmtId="43" fontId="0" fillId="0" borderId="0" xfId="182" applyFont="1"/>
    <xf numFmtId="43" fontId="0" fillId="0" borderId="0" xfId="1" applyFont="1"/>
    <xf numFmtId="169" fontId="0" fillId="0" borderId="0" xfId="1" applyNumberFormat="1" applyFont="1"/>
    <xf numFmtId="0" fontId="48" fillId="0" borderId="3" xfId="0" applyFont="1" applyBorder="1" applyAlignment="1">
      <alignment horizontal="center"/>
    </xf>
    <xf numFmtId="0" fontId="48" fillId="0" borderId="0" xfId="0" applyFont="1" applyAlignment="1">
      <alignment horizontal="right"/>
    </xf>
    <xf numFmtId="44" fontId="0" fillId="0" borderId="0" xfId="2" applyFont="1"/>
    <xf numFmtId="44" fontId="48" fillId="0" borderId="0" xfId="2" applyFont="1"/>
    <xf numFmtId="0" fontId="0" fillId="0" borderId="0" xfId="0" applyFont="1"/>
    <xf numFmtId="0" fontId="0" fillId="0" borderId="3" xfId="0" applyFont="1" applyBorder="1" applyAlignment="1">
      <alignment horizontal="center"/>
    </xf>
    <xf numFmtId="0" fontId="0" fillId="0" borderId="3" xfId="0" applyFont="1" applyFill="1" applyBorder="1" applyAlignment="1">
      <alignment horizontal="center"/>
    </xf>
    <xf numFmtId="43" fontId="0" fillId="0" borderId="0" xfId="0" applyNumberFormat="1" applyFont="1" applyBorder="1" applyAlignment="1">
      <alignment horizontal="center"/>
    </xf>
    <xf numFmtId="43" fontId="0" fillId="0" borderId="0" xfId="0" applyNumberFormat="1" applyFont="1"/>
    <xf numFmtId="43" fontId="0" fillId="0" borderId="0" xfId="182" applyFont="1" applyAlignment="1">
      <alignment horizontal="center"/>
    </xf>
    <xf numFmtId="0" fontId="0" fillId="0" borderId="0" xfId="0" applyFont="1" applyAlignment="1">
      <alignment horizontal="left" indent="1"/>
    </xf>
    <xf numFmtId="165" fontId="0" fillId="0" borderId="0" xfId="182" applyNumberFormat="1" applyFont="1"/>
    <xf numFmtId="0" fontId="0" fillId="35" borderId="0" xfId="0" applyFont="1" applyFill="1" applyAlignment="1">
      <alignment horizontal="center"/>
    </xf>
    <xf numFmtId="0" fontId="49" fillId="0" borderId="0" xfId="0" applyFont="1" applyFill="1"/>
    <xf numFmtId="0" fontId="49" fillId="0" borderId="0" xfId="0" applyFont="1" applyFill="1" applyAlignment="1">
      <alignment horizontal="center"/>
    </xf>
    <xf numFmtId="0" fontId="48" fillId="34" borderId="3" xfId="0" applyFont="1" applyFill="1" applyBorder="1"/>
    <xf numFmtId="0" fontId="0" fillId="34" borderId="3" xfId="0" applyFont="1" applyFill="1" applyBorder="1" applyAlignment="1">
      <alignment horizontal="center"/>
    </xf>
    <xf numFmtId="171" fontId="0" fillId="0" borderId="0" xfId="182" applyNumberFormat="1" applyFont="1"/>
    <xf numFmtId="171" fontId="0" fillId="0" borderId="0" xfId="182" applyNumberFormat="1" applyFont="1" applyBorder="1"/>
    <xf numFmtId="171" fontId="0" fillId="0" borderId="3" xfId="182" applyNumberFormat="1" applyFont="1" applyBorder="1"/>
    <xf numFmtId="173" fontId="0" fillId="0" borderId="0" xfId="0" applyNumberFormat="1" applyFont="1"/>
    <xf numFmtId="44" fontId="0" fillId="0" borderId="0" xfId="0" applyNumberFormat="1" applyFont="1"/>
    <xf numFmtId="174" fontId="0" fillId="0" borderId="0" xfId="0" applyNumberFormat="1" applyFont="1"/>
    <xf numFmtId="165" fontId="0" fillId="0" borderId="3" xfId="182" applyNumberFormat="1" applyFont="1" applyBorder="1"/>
    <xf numFmtId="44" fontId="48" fillId="0" borderId="0" xfId="0" applyNumberFormat="1" applyFont="1"/>
    <xf numFmtId="0" fontId="48" fillId="0" borderId="13" xfId="0" applyFont="1" applyBorder="1"/>
    <xf numFmtId="0" fontId="0" fillId="34" borderId="35" xfId="0" applyFont="1" applyFill="1" applyBorder="1" applyAlignment="1">
      <alignment horizontal="center"/>
    </xf>
    <xf numFmtId="0" fontId="0" fillId="0" borderId="16" xfId="0" applyFont="1" applyBorder="1"/>
    <xf numFmtId="44" fontId="0" fillId="0" borderId="17" xfId="190" applyFont="1" applyBorder="1"/>
    <xf numFmtId="0" fontId="0" fillId="0" borderId="17" xfId="0" applyFont="1" applyBorder="1"/>
    <xf numFmtId="0" fontId="48" fillId="0" borderId="16" xfId="0" applyFont="1" applyBorder="1"/>
    <xf numFmtId="0" fontId="0" fillId="34" borderId="36" xfId="0" applyFont="1" applyFill="1" applyBorder="1" applyAlignment="1">
      <alignment horizontal="center"/>
    </xf>
    <xf numFmtId="0" fontId="0" fillId="0" borderId="18" xfId="0" applyFont="1" applyBorder="1" applyAlignment="1">
      <alignment horizontal="left"/>
    </xf>
    <xf numFmtId="44" fontId="0" fillId="0" borderId="19" xfId="190" applyFont="1" applyBorder="1"/>
    <xf numFmtId="0" fontId="48" fillId="34" borderId="3" xfId="0" applyFont="1" applyFill="1" applyBorder="1" applyAlignment="1">
      <alignment horizontal="center" wrapText="1"/>
    </xf>
    <xf numFmtId="0" fontId="48" fillId="34" borderId="3" xfId="0" applyFont="1" applyFill="1" applyBorder="1" applyAlignment="1">
      <alignment horizontal="center" vertical="center"/>
    </xf>
    <xf numFmtId="165" fontId="48" fillId="34" borderId="3" xfId="383" applyNumberFormat="1" applyFont="1" applyFill="1" applyBorder="1" applyAlignment="1">
      <alignment horizontal="center" wrapText="1"/>
    </xf>
    <xf numFmtId="0" fontId="0" fillId="0" borderId="0" xfId="0" applyFont="1" applyBorder="1"/>
    <xf numFmtId="0" fontId="0" fillId="0" borderId="40" xfId="0" applyFont="1" applyFill="1" applyBorder="1" applyAlignment="1">
      <alignment horizontal="center" vertical="center"/>
    </xf>
    <xf numFmtId="0" fontId="56" fillId="0" borderId="40" xfId="398" applyFont="1" applyBorder="1"/>
    <xf numFmtId="43" fontId="0" fillId="0" borderId="40" xfId="383" applyNumberFormat="1" applyFont="1" applyFill="1" applyBorder="1"/>
    <xf numFmtId="165" fontId="0" fillId="0" borderId="40" xfId="383" applyNumberFormat="1" applyFont="1" applyFill="1" applyBorder="1"/>
    <xf numFmtId="165" fontId="0" fillId="0" borderId="40" xfId="383" applyNumberFormat="1" applyFont="1" applyFill="1" applyBorder="1" applyAlignment="1">
      <alignment horizontal="center" wrapText="1"/>
    </xf>
    <xf numFmtId="44" fontId="0" fillId="0" borderId="40" xfId="387" applyFont="1" applyFill="1" applyBorder="1"/>
    <xf numFmtId="44" fontId="0" fillId="0" borderId="40" xfId="387" applyFont="1" applyBorder="1"/>
    <xf numFmtId="0" fontId="0" fillId="0" borderId="0" xfId="0" applyFont="1" applyFill="1" applyBorder="1"/>
    <xf numFmtId="0" fontId="0" fillId="0" borderId="0" xfId="0" applyFont="1" applyFill="1" applyBorder="1" applyAlignment="1">
      <alignment horizontal="center" vertical="center"/>
    </xf>
    <xf numFmtId="0" fontId="56" fillId="0" borderId="0" xfId="398" applyFont="1" applyBorder="1"/>
    <xf numFmtId="43" fontId="0" fillId="0" borderId="0" xfId="383" applyNumberFormat="1" applyFont="1" applyFill="1" applyBorder="1"/>
    <xf numFmtId="165" fontId="0" fillId="0" borderId="0" xfId="383" applyNumberFormat="1" applyFont="1" applyFill="1" applyBorder="1"/>
    <xf numFmtId="165" fontId="0" fillId="0" borderId="0" xfId="383" applyNumberFormat="1" applyFont="1" applyFill="1" applyBorder="1" applyAlignment="1">
      <alignment horizontal="center" wrapText="1"/>
    </xf>
    <xf numFmtId="44" fontId="0" fillId="0" borderId="0" xfId="387" applyFont="1" applyFill="1" applyBorder="1"/>
    <xf numFmtId="44" fontId="0" fillId="0" borderId="0" xfId="387" applyFont="1" applyBorder="1"/>
    <xf numFmtId="165" fontId="56" fillId="0" borderId="0" xfId="383" applyNumberFormat="1" applyFont="1" applyFill="1" applyBorder="1"/>
    <xf numFmtId="0" fontId="0" fillId="0" borderId="3" xfId="0" applyFont="1" applyFill="1" applyBorder="1" applyAlignment="1">
      <alignment horizontal="center" vertical="center"/>
    </xf>
    <xf numFmtId="0" fontId="56" fillId="0" borderId="3" xfId="398" applyFont="1" applyBorder="1"/>
    <xf numFmtId="43" fontId="0" fillId="0" borderId="3" xfId="383" applyNumberFormat="1" applyFont="1" applyFill="1" applyBorder="1"/>
    <xf numFmtId="165" fontId="0" fillId="0" borderId="3" xfId="383" applyNumberFormat="1" applyFont="1" applyFill="1" applyBorder="1" applyAlignment="1">
      <alignment horizontal="center" wrapText="1"/>
    </xf>
    <xf numFmtId="44" fontId="0" fillId="0" borderId="3" xfId="387" applyFont="1" applyFill="1" applyBorder="1"/>
    <xf numFmtId="44" fontId="0" fillId="0" borderId="3" xfId="387" applyFont="1" applyBorder="1"/>
    <xf numFmtId="0" fontId="0" fillId="34" borderId="3" xfId="0" applyFont="1" applyFill="1" applyBorder="1" applyAlignment="1">
      <alignment vertical="center" textRotation="90"/>
    </xf>
    <xf numFmtId="0" fontId="0" fillId="34" borderId="3" xfId="0" applyFont="1" applyFill="1" applyBorder="1" applyAlignment="1">
      <alignment horizontal="center" vertical="center"/>
    </xf>
    <xf numFmtId="0" fontId="57" fillId="34" borderId="3" xfId="399" applyFont="1" applyFill="1" applyBorder="1" applyAlignment="1">
      <alignment horizontal="left"/>
    </xf>
    <xf numFmtId="3" fontId="48" fillId="34" borderId="3" xfId="0" applyNumberFormat="1" applyFont="1" applyFill="1" applyBorder="1" applyAlignment="1">
      <alignment horizontal="right"/>
    </xf>
    <xf numFmtId="43" fontId="0" fillId="34" borderId="3" xfId="383" applyFont="1" applyFill="1" applyBorder="1"/>
    <xf numFmtId="43" fontId="0" fillId="34" borderId="3" xfId="0" applyNumberFormat="1" applyFont="1" applyFill="1" applyBorder="1"/>
    <xf numFmtId="44" fontId="0" fillId="34" borderId="3" xfId="387" applyFont="1" applyFill="1" applyBorder="1"/>
    <xf numFmtId="44" fontId="48" fillId="34" borderId="3" xfId="387" applyFont="1" applyFill="1" applyBorder="1"/>
    <xf numFmtId="165" fontId="0" fillId="0" borderId="0" xfId="383" applyNumberFormat="1" applyFont="1" applyBorder="1"/>
    <xf numFmtId="0" fontId="0" fillId="0" borderId="0" xfId="0" applyFont="1" applyBorder="1" applyAlignment="1">
      <alignment horizontal="center"/>
    </xf>
    <xf numFmtId="165" fontId="48" fillId="0" borderId="0" xfId="383" applyNumberFormat="1" applyFont="1" applyBorder="1" applyAlignment="1">
      <alignment horizontal="right"/>
    </xf>
    <xf numFmtId="0" fontId="0" fillId="0" borderId="0" xfId="0" applyFont="1" applyBorder="1" applyAlignment="1">
      <alignment horizontal="right"/>
    </xf>
    <xf numFmtId="44" fontId="0" fillId="0" borderId="0" xfId="383" applyNumberFormat="1" applyFont="1" applyFill="1" applyBorder="1"/>
    <xf numFmtId="166" fontId="0" fillId="0" borderId="0" xfId="0" applyNumberFormat="1" applyFont="1" applyBorder="1"/>
    <xf numFmtId="0" fontId="0" fillId="41" borderId="0" xfId="0" applyFont="1" applyFill="1" applyBorder="1"/>
    <xf numFmtId="0" fontId="0" fillId="41" borderId="0" xfId="0" applyFont="1" applyFill="1" applyBorder="1" applyAlignment="1">
      <alignment horizontal="center"/>
    </xf>
    <xf numFmtId="0" fontId="48" fillId="41" borderId="0" xfId="0" applyFont="1" applyFill="1" applyBorder="1"/>
    <xf numFmtId="165" fontId="0" fillId="41" borderId="0" xfId="383" applyNumberFormat="1" applyFont="1" applyFill="1" applyBorder="1"/>
    <xf numFmtId="44" fontId="0" fillId="41" borderId="0" xfId="383" applyNumberFormat="1" applyFont="1" applyFill="1" applyBorder="1"/>
    <xf numFmtId="165" fontId="0" fillId="0" borderId="3" xfId="383" applyNumberFormat="1" applyFont="1" applyFill="1" applyBorder="1"/>
    <xf numFmtId="0" fontId="0" fillId="0" borderId="0" xfId="0" applyFont="1" applyFill="1" applyBorder="1" applyAlignment="1">
      <alignment vertical="center" textRotation="90"/>
    </xf>
    <xf numFmtId="0" fontId="56" fillId="0" borderId="0" xfId="336" applyFont="1" applyBorder="1" applyAlignment="1">
      <alignment horizontal="left"/>
    </xf>
    <xf numFmtId="43" fontId="0" fillId="0" borderId="0" xfId="383" applyFont="1" applyFill="1" applyBorder="1"/>
    <xf numFmtId="0" fontId="49" fillId="0" borderId="0" xfId="336" applyFont="1" applyBorder="1" applyAlignment="1">
      <alignment horizontal="left"/>
    </xf>
    <xf numFmtId="0" fontId="0" fillId="0" borderId="0" xfId="0" applyFont="1" applyFill="1" applyBorder="1" applyAlignment="1"/>
    <xf numFmtId="0" fontId="48" fillId="0" borderId="0" xfId="0" applyFont="1" applyBorder="1" applyAlignment="1">
      <alignment horizontal="center"/>
    </xf>
    <xf numFmtId="43" fontId="0" fillId="0" borderId="0" xfId="0" applyNumberFormat="1" applyFont="1" applyBorder="1"/>
    <xf numFmtId="165" fontId="56" fillId="0" borderId="0" xfId="383" applyNumberFormat="1" applyFont="1" applyFill="1" applyBorder="1" applyAlignment="1">
      <alignment horizontal="left"/>
    </xf>
    <xf numFmtId="0" fontId="49" fillId="0" borderId="0" xfId="399" applyFont="1" applyFill="1" applyBorder="1" applyAlignment="1">
      <alignment horizontal="left"/>
    </xf>
    <xf numFmtId="165" fontId="0" fillId="0" borderId="0" xfId="383" applyNumberFormat="1" applyFont="1" applyBorder="1" applyAlignment="1">
      <alignment horizontal="right"/>
    </xf>
    <xf numFmtId="0" fontId="0" fillId="0" borderId="0" xfId="0" applyFont="1" applyBorder="1" applyAlignment="1">
      <alignment horizontal="left"/>
    </xf>
    <xf numFmtId="10" fontId="0" fillId="0" borderId="0" xfId="343" applyNumberFormat="1" applyFont="1" applyBorder="1" applyAlignment="1">
      <alignment horizontal="right"/>
    </xf>
    <xf numFmtId="10" fontId="0" fillId="0" borderId="0" xfId="343" applyNumberFormat="1" applyFont="1" applyBorder="1"/>
    <xf numFmtId="0" fontId="0" fillId="0" borderId="0" xfId="0" applyFont="1" applyBorder="1" applyAlignment="1">
      <alignment horizontal="right" wrapText="1"/>
    </xf>
    <xf numFmtId="0" fontId="0" fillId="0" borderId="0" xfId="0" applyFont="1" applyBorder="1" applyAlignment="1">
      <alignment horizontal="center" wrapText="1"/>
    </xf>
    <xf numFmtId="0" fontId="56" fillId="0" borderId="0" xfId="399" applyFont="1" applyFill="1" applyBorder="1" applyAlignment="1">
      <alignment horizontal="left"/>
    </xf>
    <xf numFmtId="43" fontId="0" fillId="0" borderId="0" xfId="383" applyFont="1" applyBorder="1"/>
    <xf numFmtId="44" fontId="0" fillId="0" borderId="0" xfId="0" applyNumberFormat="1" applyFont="1" applyBorder="1"/>
    <xf numFmtId="166" fontId="0" fillId="0" borderId="0" xfId="387" applyNumberFormat="1" applyFont="1" applyBorder="1"/>
    <xf numFmtId="170" fontId="0" fillId="0" borderId="0" xfId="387" applyNumberFormat="1" applyFont="1" applyBorder="1"/>
    <xf numFmtId="43" fontId="0" fillId="0" borderId="3" xfId="0" applyNumberFormat="1" applyFont="1" applyBorder="1"/>
    <xf numFmtId="165" fontId="0" fillId="0" borderId="0" xfId="0" applyNumberFormat="1" applyFont="1" applyBorder="1"/>
    <xf numFmtId="44" fontId="48" fillId="42" borderId="3" xfId="387" applyFont="1" applyFill="1" applyBorder="1"/>
    <xf numFmtId="44" fontId="0" fillId="0" borderId="0" xfId="0" applyNumberFormat="1" applyFont="1" applyFill="1" applyBorder="1"/>
    <xf numFmtId="0" fontId="56" fillId="0" borderId="0" xfId="398" applyFont="1" applyFill="1" applyBorder="1"/>
    <xf numFmtId="44" fontId="0" fillId="0" borderId="0" xfId="387" applyNumberFormat="1" applyFont="1" applyFill="1" applyBorder="1"/>
    <xf numFmtId="165" fontId="0" fillId="0" borderId="0" xfId="383" applyNumberFormat="1" applyFont="1" applyFill="1" applyBorder="1" applyAlignment="1">
      <alignment horizontal="right"/>
    </xf>
    <xf numFmtId="0" fontId="0" fillId="0" borderId="0" xfId="0" applyFont="1" applyFill="1" applyBorder="1" applyAlignment="1">
      <alignment horizontal="left"/>
    </xf>
    <xf numFmtId="0" fontId="0" fillId="0" borderId="40" xfId="0" applyFont="1" applyBorder="1" applyAlignment="1">
      <alignment vertical="center" textRotation="90"/>
    </xf>
    <xf numFmtId="0" fontId="0" fillId="0" borderId="0" xfId="0" applyFont="1" applyBorder="1" applyAlignment="1">
      <alignment vertical="center" textRotation="90"/>
    </xf>
    <xf numFmtId="0" fontId="0" fillId="0" borderId="40" xfId="0" applyFont="1" applyBorder="1" applyAlignment="1">
      <alignment horizontal="center"/>
    </xf>
    <xf numFmtId="0" fontId="0" fillId="0" borderId="40" xfId="0" applyFont="1" applyBorder="1"/>
    <xf numFmtId="165" fontId="56" fillId="0" borderId="40" xfId="383" applyNumberFormat="1" applyFont="1" applyFill="1" applyBorder="1"/>
    <xf numFmtId="0" fontId="57" fillId="0" borderId="12" xfId="399" applyFont="1" applyFill="1" applyBorder="1" applyAlignment="1">
      <alignment horizontal="left"/>
    </xf>
    <xf numFmtId="165" fontId="48" fillId="0" borderId="12" xfId="383" applyNumberFormat="1" applyFont="1" applyBorder="1" applyAlignment="1">
      <alignment horizontal="right"/>
    </xf>
    <xf numFmtId="44" fontId="0" fillId="0" borderId="12" xfId="387" applyFont="1" applyFill="1" applyBorder="1"/>
    <xf numFmtId="165" fontId="48" fillId="42" borderId="12" xfId="383" applyNumberFormat="1" applyFont="1" applyFill="1" applyBorder="1" applyAlignment="1">
      <alignment horizontal="right"/>
    </xf>
    <xf numFmtId="44" fontId="48" fillId="0" borderId="12" xfId="387" applyFont="1" applyBorder="1" applyAlignment="1">
      <alignment horizontal="right"/>
    </xf>
    <xf numFmtId="44" fontId="0" fillId="43" borderId="0" xfId="190" applyFont="1" applyFill="1"/>
    <xf numFmtId="170" fontId="0" fillId="43" borderId="0" xfId="190" applyNumberFormat="1" applyFont="1" applyFill="1"/>
    <xf numFmtId="44" fontId="0" fillId="43" borderId="3" xfId="190" applyFont="1" applyFill="1" applyBorder="1"/>
    <xf numFmtId="170" fontId="0" fillId="43" borderId="3" xfId="190" applyNumberFormat="1" applyFont="1" applyFill="1" applyBorder="1"/>
    <xf numFmtId="172" fontId="0" fillId="43" borderId="0" xfId="190" applyNumberFormat="1" applyFont="1" applyFill="1"/>
    <xf numFmtId="0" fontId="0" fillId="43" borderId="0" xfId="0" applyFont="1" applyFill="1"/>
    <xf numFmtId="0" fontId="0" fillId="43" borderId="3" xfId="0" applyFont="1" applyFill="1" applyBorder="1"/>
    <xf numFmtId="44" fontId="0" fillId="43" borderId="0" xfId="190" applyNumberFormat="1" applyFont="1" applyFill="1"/>
    <xf numFmtId="0" fontId="61" fillId="34" borderId="3" xfId="0" applyFont="1" applyFill="1" applyBorder="1" applyAlignment="1">
      <alignment horizontal="center" wrapText="1"/>
    </xf>
    <xf numFmtId="0" fontId="61" fillId="0" borderId="0" xfId="0" applyFont="1"/>
    <xf numFmtId="43" fontId="0" fillId="0" borderId="0" xfId="1" applyFont="1" applyBorder="1"/>
    <xf numFmtId="44" fontId="56" fillId="0" borderId="0" xfId="387" applyFont="1" applyFill="1" applyBorder="1"/>
    <xf numFmtId="165" fontId="62" fillId="42" borderId="0" xfId="0" applyNumberFormat="1" applyFont="1" applyFill="1" applyBorder="1"/>
    <xf numFmtId="43" fontId="0" fillId="0" borderId="0" xfId="0" applyNumberFormat="1" applyFont="1" applyFill="1" applyBorder="1"/>
    <xf numFmtId="10" fontId="48" fillId="0" borderId="0" xfId="3" applyNumberFormat="1" applyFont="1"/>
    <xf numFmtId="3" fontId="0" fillId="0" borderId="3" xfId="0" applyNumberFormat="1" applyFont="1" applyBorder="1"/>
    <xf numFmtId="0" fontId="0" fillId="34" borderId="41" xfId="0" applyFont="1" applyFill="1" applyBorder="1" applyAlignment="1">
      <alignment horizontal="center"/>
    </xf>
    <xf numFmtId="44" fontId="0" fillId="0" borderId="42" xfId="190" applyFont="1" applyBorder="1"/>
    <xf numFmtId="0" fontId="0" fillId="0" borderId="43" xfId="0" applyFont="1" applyBorder="1"/>
    <xf numFmtId="0" fontId="0" fillId="34" borderId="44" xfId="0" applyFont="1" applyFill="1" applyBorder="1" applyAlignment="1">
      <alignment horizontal="center"/>
    </xf>
    <xf numFmtId="3" fontId="0" fillId="0" borderId="43" xfId="0" applyNumberFormat="1" applyFont="1" applyBorder="1"/>
    <xf numFmtId="44" fontId="0" fillId="0" borderId="45" xfId="190" applyFont="1" applyBorder="1"/>
    <xf numFmtId="175" fontId="0" fillId="0" borderId="0" xfId="1" applyNumberFormat="1" applyFont="1" applyFill="1" applyBorder="1"/>
    <xf numFmtId="10" fontId="0" fillId="0" borderId="0" xfId="3" applyNumberFormat="1" applyFont="1" applyBorder="1"/>
    <xf numFmtId="0" fontId="0" fillId="0" borderId="46" xfId="0" applyFont="1" applyBorder="1"/>
    <xf numFmtId="10" fontId="0" fillId="0" borderId="0" xfId="3" applyNumberFormat="1" applyFont="1" applyFill="1" applyBorder="1"/>
    <xf numFmtId="3" fontId="48" fillId="34" borderId="3" xfId="0" applyNumberFormat="1" applyFont="1" applyFill="1" applyBorder="1" applyAlignment="1">
      <alignment horizontal="center" wrapText="1"/>
    </xf>
    <xf numFmtId="3" fontId="48" fillId="0" borderId="12" xfId="383" applyNumberFormat="1" applyFont="1" applyBorder="1" applyAlignment="1">
      <alignment horizontal="right"/>
    </xf>
    <xf numFmtId="3" fontId="0" fillId="0" borderId="0" xfId="0" applyNumberFormat="1" applyFont="1" applyBorder="1" applyAlignment="1">
      <alignment horizontal="right"/>
    </xf>
    <xf numFmtId="3" fontId="0" fillId="0" borderId="40" xfId="0" applyNumberFormat="1" applyFont="1" applyBorder="1" applyAlignment="1">
      <alignment horizontal="right"/>
    </xf>
    <xf numFmtId="3" fontId="0" fillId="41" borderId="0" xfId="0" applyNumberFormat="1" applyFont="1" applyFill="1" applyBorder="1" applyAlignment="1">
      <alignment horizontal="right"/>
    </xf>
    <xf numFmtId="3" fontId="0" fillId="0" borderId="0" xfId="383" applyNumberFormat="1" applyFont="1" applyBorder="1"/>
    <xf numFmtId="3" fontId="0" fillId="0" borderId="3" xfId="383" applyNumberFormat="1" applyFont="1" applyBorder="1"/>
    <xf numFmtId="3" fontId="0" fillId="0" borderId="0" xfId="383" applyNumberFormat="1" applyFont="1" applyBorder="1" applyAlignment="1">
      <alignment horizontal="right"/>
    </xf>
    <xf numFmtId="3" fontId="48" fillId="0" borderId="3" xfId="383" applyNumberFormat="1" applyFont="1" applyBorder="1" applyAlignment="1">
      <alignment horizontal="center"/>
    </xf>
    <xf numFmtId="3" fontId="0" fillId="0" borderId="0" xfId="383" applyNumberFormat="1" applyFont="1" applyFill="1" applyBorder="1" applyAlignment="1">
      <alignment horizontal="right"/>
    </xf>
    <xf numFmtId="3" fontId="0" fillId="0" borderId="0" xfId="387" applyNumberFormat="1" applyFont="1" applyBorder="1" applyAlignment="1">
      <alignment horizontal="right"/>
    </xf>
    <xf numFmtId="3" fontId="0" fillId="0" borderId="0" xfId="0" applyNumberFormat="1" applyFont="1" applyBorder="1"/>
    <xf numFmtId="0" fontId="56" fillId="0" borderId="0" xfId="0" applyFont="1" applyFill="1"/>
    <xf numFmtId="0" fontId="56" fillId="44" borderId="0" xfId="0" applyFont="1" applyFill="1" applyAlignment="1">
      <alignment horizontal="right"/>
    </xf>
    <xf numFmtId="43" fontId="0" fillId="0" borderId="0" xfId="0" applyNumberFormat="1" applyFont="1" applyAlignment="1">
      <alignment horizontal="center"/>
    </xf>
    <xf numFmtId="3" fontId="0" fillId="0" borderId="0" xfId="0" applyNumberFormat="1" applyFont="1"/>
    <xf numFmtId="10" fontId="0" fillId="0" borderId="0" xfId="0" applyNumberFormat="1" applyFont="1" applyFill="1" applyBorder="1"/>
    <xf numFmtId="0" fontId="48" fillId="34" borderId="0" xfId="0" applyFont="1" applyFill="1" applyBorder="1" applyAlignment="1">
      <alignment horizontal="center"/>
    </xf>
    <xf numFmtId="44" fontId="0" fillId="43" borderId="40" xfId="190" applyFont="1" applyFill="1" applyBorder="1"/>
    <xf numFmtId="42" fontId="0" fillId="0" borderId="17" xfId="190" applyNumberFormat="1" applyFont="1" applyBorder="1"/>
    <xf numFmtId="42" fontId="0" fillId="0" borderId="43" xfId="190" applyNumberFormat="1" applyFont="1" applyBorder="1"/>
    <xf numFmtId="10" fontId="0" fillId="0" borderId="0" xfId="0" applyNumberFormat="1" applyFont="1" applyBorder="1"/>
    <xf numFmtId="10" fontId="0" fillId="0" borderId="0" xfId="387" applyNumberFormat="1" applyFont="1" applyBorder="1"/>
    <xf numFmtId="0" fontId="0" fillId="0" borderId="0" xfId="0" applyFont="1" applyAlignment="1">
      <alignment horizontal="left"/>
    </xf>
    <xf numFmtId="0" fontId="48" fillId="34" borderId="3" xfId="0" applyFont="1" applyFill="1" applyBorder="1" applyAlignment="1">
      <alignment horizontal="center"/>
    </xf>
    <xf numFmtId="17" fontId="0" fillId="0" borderId="0" xfId="0" applyNumberFormat="1" applyFont="1"/>
    <xf numFmtId="0" fontId="0" fillId="0" borderId="0" xfId="0" applyFont="1" applyAlignment="1">
      <alignment horizontal="right"/>
    </xf>
    <xf numFmtId="165" fontId="0" fillId="0" borderId="0" xfId="0" applyNumberFormat="1" applyFont="1"/>
    <xf numFmtId="0" fontId="0" fillId="0" borderId="3" xfId="0" applyFont="1" applyBorder="1"/>
    <xf numFmtId="3" fontId="0" fillId="0" borderId="40" xfId="0" applyNumberFormat="1" applyFont="1" applyBorder="1"/>
    <xf numFmtId="3" fontId="0" fillId="0" borderId="0" xfId="383" applyNumberFormat="1" applyFont="1" applyFill="1" applyBorder="1"/>
    <xf numFmtId="3" fontId="0" fillId="0" borderId="3" xfId="383" applyNumberFormat="1" applyFont="1" applyFill="1" applyBorder="1"/>
    <xf numFmtId="0" fontId="63" fillId="0" borderId="0" xfId="92" applyFont="1"/>
    <xf numFmtId="0" fontId="64" fillId="0" borderId="0" xfId="92" applyFont="1"/>
    <xf numFmtId="0" fontId="61" fillId="0" borderId="0" xfId="92" applyFont="1"/>
    <xf numFmtId="17" fontId="63" fillId="0" borderId="0" xfId="92" applyNumberFormat="1" applyFont="1" applyAlignment="1">
      <alignment horizontal="center"/>
    </xf>
    <xf numFmtId="0" fontId="63" fillId="0" borderId="0" xfId="92" applyFont="1" applyAlignment="1">
      <alignment horizontal="center"/>
    </xf>
    <xf numFmtId="3" fontId="63" fillId="0" borderId="0" xfId="92" applyNumberFormat="1" applyFont="1"/>
    <xf numFmtId="3" fontId="64" fillId="0" borderId="0" xfId="92" applyNumberFormat="1" applyFont="1"/>
    <xf numFmtId="3" fontId="64" fillId="0" borderId="0" xfId="92" applyNumberFormat="1" applyFont="1" applyFill="1"/>
    <xf numFmtId="42" fontId="64" fillId="0" borderId="0" xfId="92" applyNumberFormat="1" applyFont="1"/>
    <xf numFmtId="4" fontId="63" fillId="0" borderId="0" xfId="92" applyNumberFormat="1" applyFont="1"/>
    <xf numFmtId="42" fontId="64" fillId="19" borderId="0" xfId="92" applyNumberFormat="1" applyFont="1" applyFill="1"/>
    <xf numFmtId="0" fontId="63" fillId="0" borderId="0" xfId="92" applyFont="1" applyBorder="1"/>
    <xf numFmtId="0" fontId="64" fillId="0" borderId="0" xfId="92" applyFont="1" applyBorder="1"/>
    <xf numFmtId="0" fontId="63" fillId="17" borderId="0" xfId="92" applyFont="1" applyFill="1"/>
    <xf numFmtId="3" fontId="64" fillId="17" borderId="0" xfId="92" applyNumberFormat="1" applyFont="1" applyFill="1"/>
    <xf numFmtId="0" fontId="64" fillId="17" borderId="0" xfId="92" applyFont="1" applyFill="1"/>
    <xf numFmtId="17" fontId="63" fillId="0" borderId="0" xfId="92" applyNumberFormat="1" applyFont="1" applyAlignment="1">
      <alignment horizontal="left"/>
    </xf>
    <xf numFmtId="3" fontId="63" fillId="0" borderId="0" xfId="92" applyNumberFormat="1" applyFont="1" applyFill="1"/>
    <xf numFmtId="42" fontId="63" fillId="0" borderId="0" xfId="92" applyNumberFormat="1" applyFont="1"/>
    <xf numFmtId="4" fontId="64" fillId="0" borderId="0" xfId="92" applyNumberFormat="1" applyFont="1" applyAlignment="1">
      <alignment horizontal="right"/>
    </xf>
    <xf numFmtId="4" fontId="64" fillId="0" borderId="0" xfId="92" applyNumberFormat="1" applyFont="1"/>
    <xf numFmtId="0" fontId="63" fillId="19" borderId="0" xfId="92" applyFont="1" applyFill="1"/>
    <xf numFmtId="3" fontId="64" fillId="19" borderId="0" xfId="92" applyNumberFormat="1" applyFont="1" applyFill="1"/>
    <xf numFmtId="3" fontId="64" fillId="0" borderId="8" xfId="2" applyNumberFormat="1" applyFont="1" applyFill="1" applyBorder="1" applyAlignment="1">
      <alignment horizontal="right" wrapText="1"/>
    </xf>
    <xf numFmtId="0" fontId="63" fillId="3" borderId="0" xfId="92" applyFont="1" applyFill="1"/>
    <xf numFmtId="3" fontId="64" fillId="3" borderId="0" xfId="92" applyNumberFormat="1" applyFont="1" applyFill="1"/>
    <xf numFmtId="0" fontId="64" fillId="3" borderId="0" xfId="92" applyFont="1" applyFill="1"/>
    <xf numFmtId="42" fontId="63" fillId="19" borderId="0" xfId="92" applyNumberFormat="1" applyFont="1" applyFill="1"/>
    <xf numFmtId="3" fontId="64" fillId="0" borderId="0" xfId="92" applyNumberFormat="1" applyFont="1" applyBorder="1"/>
    <xf numFmtId="0" fontId="57" fillId="0" borderId="0" xfId="69" applyFont="1"/>
    <xf numFmtId="0" fontId="56" fillId="0" borderId="0" xfId="69" applyFont="1"/>
    <xf numFmtId="0" fontId="57" fillId="0" borderId="0" xfId="69" applyFont="1" applyAlignment="1">
      <alignment horizontal="center"/>
    </xf>
    <xf numFmtId="17" fontId="56" fillId="0" borderId="0" xfId="69" applyNumberFormat="1" applyFont="1"/>
    <xf numFmtId="4" fontId="56" fillId="0" borderId="0" xfId="69" applyNumberFormat="1" applyFont="1"/>
    <xf numFmtId="166" fontId="64" fillId="0" borderId="0" xfId="2" applyNumberFormat="1" applyFont="1"/>
    <xf numFmtId="3" fontId="64" fillId="0" borderId="0" xfId="1" applyNumberFormat="1" applyFont="1" applyFill="1" applyBorder="1" applyAlignment="1">
      <alignment horizontal="right" wrapText="1"/>
    </xf>
    <xf numFmtId="1" fontId="64" fillId="0" borderId="0" xfId="1" applyNumberFormat="1" applyFont="1" applyFill="1" applyBorder="1" applyAlignment="1">
      <alignment horizontal="right" wrapText="1"/>
    </xf>
    <xf numFmtId="166" fontId="64" fillId="0" borderId="0" xfId="2" applyNumberFormat="1" applyFont="1" applyFill="1"/>
    <xf numFmtId="166" fontId="65" fillId="0" borderId="0" xfId="2" applyNumberFormat="1" applyFont="1"/>
    <xf numFmtId="10" fontId="56" fillId="0" borderId="0" xfId="69" applyNumberFormat="1" applyFont="1"/>
    <xf numFmtId="165" fontId="64" fillId="0" borderId="0" xfId="1" applyNumberFormat="1" applyFont="1"/>
    <xf numFmtId="0" fontId="63" fillId="0" borderId="0" xfId="92" applyFont="1" applyAlignment="1">
      <alignment horizontal="right"/>
    </xf>
    <xf numFmtId="165" fontId="63" fillId="0" borderId="0" xfId="1" applyNumberFormat="1" applyFont="1"/>
    <xf numFmtId="4" fontId="64" fillId="0" borderId="0" xfId="2" applyNumberFormat="1" applyFont="1"/>
    <xf numFmtId="0" fontId="63" fillId="0" borderId="0" xfId="2" applyNumberFormat="1" applyFont="1"/>
    <xf numFmtId="0" fontId="64" fillId="0" borderId="0" xfId="92" applyFont="1" applyAlignment="1"/>
    <xf numFmtId="4" fontId="64" fillId="0" borderId="8" xfId="1" applyNumberFormat="1" applyFont="1" applyFill="1" applyBorder="1" applyAlignment="1">
      <alignment horizontal="right" wrapText="1"/>
    </xf>
    <xf numFmtId="3" fontId="64" fillId="0" borderId="8" xfId="1" applyNumberFormat="1" applyFont="1" applyFill="1" applyBorder="1" applyAlignment="1">
      <alignment horizontal="right" wrapText="1"/>
    </xf>
    <xf numFmtId="0" fontId="64" fillId="0" borderId="0" xfId="92" applyFont="1" applyAlignment="1">
      <alignment horizontal="left" indent="1"/>
    </xf>
    <xf numFmtId="3" fontId="64" fillId="0" borderId="11" xfId="1" applyNumberFormat="1" applyFont="1" applyFill="1" applyBorder="1" applyAlignment="1">
      <alignment horizontal="right" wrapText="1"/>
    </xf>
    <xf numFmtId="10" fontId="64" fillId="0" borderId="0" xfId="1" applyNumberFormat="1" applyFont="1" applyFill="1" applyBorder="1" applyAlignment="1">
      <alignment horizontal="right" wrapText="1"/>
    </xf>
    <xf numFmtId="166" fontId="64" fillId="0" borderId="0" xfId="92" applyNumberFormat="1" applyFont="1"/>
    <xf numFmtId="166" fontId="64" fillId="0" borderId="0" xfId="92" applyNumberFormat="1" applyFont="1" applyFill="1"/>
    <xf numFmtId="3" fontId="64" fillId="0" borderId="0" xfId="2" applyNumberFormat="1" applyFont="1"/>
    <xf numFmtId="44" fontId="64" fillId="0" borderId="8" xfId="2" applyFont="1" applyFill="1" applyBorder="1" applyAlignment="1">
      <alignment horizontal="right" wrapText="1"/>
    </xf>
    <xf numFmtId="44" fontId="64" fillId="0" borderId="0" xfId="2" applyFont="1"/>
    <xf numFmtId="44" fontId="64" fillId="0" borderId="0" xfId="2" applyFont="1" applyFill="1"/>
    <xf numFmtId="0" fontId="64" fillId="0" borderId="0" xfId="92" applyFont="1" applyFill="1"/>
    <xf numFmtId="0" fontId="65" fillId="0" borderId="0" xfId="92" applyFont="1" applyAlignment="1">
      <alignment horizontal="left" indent="1"/>
    </xf>
    <xf numFmtId="44" fontId="64" fillId="0" borderId="0" xfId="92" applyNumberFormat="1" applyFont="1"/>
    <xf numFmtId="0" fontId="64" fillId="2" borderId="0" xfId="92" applyFont="1" applyFill="1"/>
    <xf numFmtId="0" fontId="64" fillId="0" borderId="0" xfId="92" applyFont="1" applyAlignment="1">
      <alignment horizontal="right"/>
    </xf>
    <xf numFmtId="43" fontId="63" fillId="0" borderId="0" xfId="1" applyFont="1"/>
    <xf numFmtId="9" fontId="64" fillId="0" borderId="0" xfId="3" applyFont="1"/>
    <xf numFmtId="0" fontId="64" fillId="0" borderId="0" xfId="92" applyFont="1" applyAlignment="1">
      <alignment horizontal="left" indent="2"/>
    </xf>
    <xf numFmtId="0" fontId="64" fillId="0" borderId="8" xfId="91" applyFont="1" applyFill="1" applyBorder="1" applyAlignment="1">
      <alignment horizontal="right" wrapText="1"/>
    </xf>
    <xf numFmtId="43" fontId="64" fillId="0" borderId="0" xfId="92" applyNumberFormat="1" applyFont="1"/>
    <xf numFmtId="0" fontId="64" fillId="0" borderId="0" xfId="4" applyFont="1" applyFill="1"/>
    <xf numFmtId="0" fontId="63" fillId="0" borderId="0" xfId="4" applyFont="1" applyFill="1"/>
    <xf numFmtId="0" fontId="64" fillId="0" borderId="0" xfId="4" applyFont="1" applyAlignment="1">
      <alignment horizontal="center"/>
    </xf>
    <xf numFmtId="0" fontId="64" fillId="0" borderId="0" xfId="4" applyFont="1"/>
    <xf numFmtId="0" fontId="64" fillId="0" borderId="0" xfId="4" applyFont="1" applyFill="1" applyAlignment="1">
      <alignment horizontal="center"/>
    </xf>
    <xf numFmtId="44" fontId="64" fillId="0" borderId="0" xfId="4" applyNumberFormat="1" applyFont="1" applyFill="1"/>
    <xf numFmtId="2" fontId="64" fillId="0" borderId="0" xfId="4" applyNumberFormat="1" applyFont="1"/>
    <xf numFmtId="0" fontId="63" fillId="0" borderId="0" xfId="4" applyFont="1" applyFill="1" applyAlignment="1">
      <alignment horizontal="center" wrapText="1"/>
    </xf>
    <xf numFmtId="0" fontId="63" fillId="0" borderId="0" xfId="4" applyFont="1" applyAlignment="1">
      <alignment horizontal="center"/>
    </xf>
    <xf numFmtId="43" fontId="64" fillId="0" borderId="0" xfId="4" applyNumberFormat="1" applyFont="1"/>
    <xf numFmtId="0" fontId="63" fillId="0" borderId="0" xfId="4" applyFont="1" applyFill="1" applyAlignment="1">
      <alignment horizontal="center"/>
    </xf>
    <xf numFmtId="0" fontId="63" fillId="0" borderId="0" xfId="4" applyFont="1" applyAlignment="1">
      <alignment horizontal="center" wrapText="1"/>
    </xf>
    <xf numFmtId="168" fontId="63" fillId="0" borderId="0" xfId="4" applyNumberFormat="1" applyFont="1"/>
    <xf numFmtId="167" fontId="64" fillId="0" borderId="0" xfId="4" applyNumberFormat="1" applyFont="1"/>
    <xf numFmtId="0" fontId="66" fillId="0" borderId="0" xfId="4" applyFont="1" applyFill="1" applyAlignment="1">
      <alignment horizontal="left"/>
    </xf>
    <xf numFmtId="0" fontId="66" fillId="0" borderId="0" xfId="4" applyFont="1" applyAlignment="1">
      <alignment horizontal="left"/>
    </xf>
    <xf numFmtId="0" fontId="67" fillId="0" borderId="0" xfId="4" applyFont="1" applyFill="1" applyAlignment="1">
      <alignment horizontal="center"/>
    </xf>
    <xf numFmtId="0" fontId="66" fillId="0" borderId="0" xfId="4" applyFont="1" applyAlignment="1">
      <alignment horizontal="center"/>
    </xf>
    <xf numFmtId="0" fontId="63" fillId="0" borderId="0" xfId="4" applyFont="1" applyFill="1" applyAlignment="1">
      <alignment horizontal="left"/>
    </xf>
    <xf numFmtId="0" fontId="63" fillId="0" borderId="0" xfId="4" applyFont="1" applyAlignment="1">
      <alignment horizontal="left"/>
    </xf>
    <xf numFmtId="0" fontId="64" fillId="0" borderId="0" xfId="4" applyFont="1" applyFill="1" applyBorder="1"/>
    <xf numFmtId="0" fontId="64" fillId="0" borderId="0" xfId="4" applyFont="1" applyBorder="1"/>
    <xf numFmtId="43" fontId="64" fillId="0" borderId="0" xfId="1" applyFont="1" applyAlignment="1">
      <alignment horizontal="center"/>
    </xf>
    <xf numFmtId="43" fontId="64" fillId="0" borderId="0" xfId="1" applyFont="1" applyFill="1"/>
    <xf numFmtId="165" fontId="64" fillId="0" borderId="0" xfId="1" applyNumberFormat="1" applyFont="1" applyFill="1"/>
    <xf numFmtId="165" fontId="64" fillId="0" borderId="0" xfId="4" applyNumberFormat="1" applyFont="1"/>
    <xf numFmtId="43" fontId="64" fillId="0" borderId="0" xfId="1" applyFont="1"/>
    <xf numFmtId="43" fontId="64" fillId="0" borderId="0" xfId="1" applyNumberFormat="1" applyFont="1"/>
    <xf numFmtId="43" fontId="64" fillId="0" borderId="0" xfId="1" applyFont="1" applyFill="1" applyAlignment="1">
      <alignment horizontal="center"/>
    </xf>
    <xf numFmtId="43" fontId="64" fillId="0" borderId="0" xfId="1" applyNumberFormat="1" applyFont="1" applyFill="1"/>
    <xf numFmtId="0" fontId="63" fillId="0" borderId="0" xfId="4" applyFont="1" applyBorder="1" applyAlignment="1">
      <alignment horizontal="right"/>
    </xf>
    <xf numFmtId="44" fontId="56" fillId="0" borderId="0" xfId="2" applyFont="1" applyFill="1" applyBorder="1"/>
    <xf numFmtId="166" fontId="63" fillId="0" borderId="1" xfId="2" applyNumberFormat="1" applyFont="1" applyFill="1" applyBorder="1"/>
    <xf numFmtId="165" fontId="63" fillId="0" borderId="1" xfId="1" applyNumberFormat="1" applyFont="1" applyFill="1" applyBorder="1"/>
    <xf numFmtId="44" fontId="64" fillId="0" borderId="0" xfId="4" applyNumberFormat="1" applyFont="1" applyAlignment="1">
      <alignment horizontal="center"/>
    </xf>
    <xf numFmtId="0" fontId="67" fillId="0" borderId="0" xfId="4" applyFont="1" applyAlignment="1">
      <alignment horizontal="center"/>
    </xf>
    <xf numFmtId="43" fontId="67" fillId="0" borderId="0" xfId="4" applyNumberFormat="1" applyFont="1" applyAlignment="1">
      <alignment horizontal="center"/>
    </xf>
    <xf numFmtId="165" fontId="56" fillId="0" borderId="0" xfId="1" applyNumberFormat="1" applyFont="1" applyFill="1" applyBorder="1"/>
    <xf numFmtId="3" fontId="64" fillId="0" borderId="0" xfId="4" applyNumberFormat="1" applyFont="1"/>
    <xf numFmtId="43" fontId="64" fillId="35" borderId="0" xfId="1" applyFont="1" applyFill="1" applyAlignment="1">
      <alignment horizontal="center"/>
    </xf>
    <xf numFmtId="0" fontId="64" fillId="0" borderId="0" xfId="4" applyFont="1" applyFill="1" applyBorder="1" applyAlignment="1">
      <alignment horizontal="center"/>
    </xf>
    <xf numFmtId="0" fontId="63" fillId="0" borderId="0" xfId="4" applyFont="1"/>
    <xf numFmtId="0" fontId="63" fillId="0" borderId="0" xfId="4" applyFont="1" applyAlignment="1">
      <alignment horizontal="right"/>
    </xf>
    <xf numFmtId="165" fontId="63" fillId="0" borderId="0" xfId="1" applyNumberFormat="1" applyFont="1" applyAlignment="1">
      <alignment horizontal="right"/>
    </xf>
    <xf numFmtId="165" fontId="63" fillId="0" borderId="12" xfId="4" applyNumberFormat="1" applyFont="1" applyBorder="1"/>
    <xf numFmtId="10" fontId="64" fillId="0" borderId="0" xfId="3" applyNumberFormat="1" applyFont="1"/>
    <xf numFmtId="0" fontId="64" fillId="0" borderId="13" xfId="4" applyFont="1" applyBorder="1"/>
    <xf numFmtId="0" fontId="63" fillId="0" borderId="14" xfId="4" applyFont="1" applyBorder="1" applyAlignment="1">
      <alignment horizontal="center"/>
    </xf>
    <xf numFmtId="0" fontId="64" fillId="0" borderId="15" xfId="4" applyFont="1" applyBorder="1"/>
    <xf numFmtId="0" fontId="66" fillId="0" borderId="0" xfId="4" applyFont="1"/>
    <xf numFmtId="0" fontId="64" fillId="0" borderId="18" xfId="4" applyFont="1" applyBorder="1"/>
    <xf numFmtId="0" fontId="63" fillId="0" borderId="9" xfId="4" applyFont="1" applyBorder="1"/>
    <xf numFmtId="0" fontId="64" fillId="0" borderId="19" xfId="4" applyFont="1" applyBorder="1"/>
    <xf numFmtId="0" fontId="68" fillId="0" borderId="0" xfId="4" quotePrefix="1" applyFont="1" applyFill="1" applyAlignment="1">
      <alignment horizontal="center"/>
    </xf>
    <xf numFmtId="0" fontId="0" fillId="0" borderId="0" xfId="0" applyFont="1" applyBorder="1" applyAlignment="1">
      <alignment horizontal="left" wrapText="1"/>
    </xf>
    <xf numFmtId="0" fontId="0" fillId="0" borderId="0" xfId="0" applyFont="1" applyFill="1" applyBorder="1" applyAlignment="1">
      <alignment horizontal="left" wrapText="1"/>
    </xf>
    <xf numFmtId="0" fontId="0" fillId="33" borderId="0" xfId="0" applyFont="1" applyFill="1" applyBorder="1" applyAlignment="1">
      <alignment horizontal="left" wrapText="1"/>
    </xf>
    <xf numFmtId="0" fontId="64" fillId="33" borderId="0" xfId="4" applyFont="1" applyFill="1" applyAlignment="1">
      <alignment horizontal="center"/>
    </xf>
    <xf numFmtId="0" fontId="64" fillId="33" borderId="0" xfId="4" applyFont="1" applyFill="1"/>
    <xf numFmtId="165" fontId="64" fillId="33" borderId="0" xfId="1" applyNumberFormat="1" applyFont="1" applyFill="1"/>
    <xf numFmtId="43" fontId="64" fillId="33" borderId="0" xfId="1" applyFont="1" applyFill="1"/>
    <xf numFmtId="0" fontId="68" fillId="0" borderId="0" xfId="4" applyFont="1"/>
    <xf numFmtId="0" fontId="56" fillId="0" borderId="0" xfId="370" applyFont="1"/>
    <xf numFmtId="0" fontId="57" fillId="0" borderId="0" xfId="370" applyFont="1"/>
    <xf numFmtId="0" fontId="56" fillId="0" borderId="0" xfId="370" applyFont="1" applyAlignment="1">
      <alignment horizontal="center"/>
    </xf>
    <xf numFmtId="0" fontId="56" fillId="0" borderId="0" xfId="370" applyFont="1" applyFill="1"/>
    <xf numFmtId="4" fontId="56" fillId="0" borderId="0" xfId="370" applyNumberFormat="1" applyFont="1" applyFill="1"/>
    <xf numFmtId="4" fontId="56" fillId="0" borderId="0" xfId="370" applyNumberFormat="1" applyFont="1"/>
    <xf numFmtId="4" fontId="0" fillId="0" borderId="0" xfId="0" applyNumberFormat="1" applyFont="1"/>
    <xf numFmtId="43" fontId="56" fillId="0" borderId="0" xfId="370" applyNumberFormat="1" applyFont="1"/>
    <xf numFmtId="0" fontId="0" fillId="0" borderId="0" xfId="0" applyFont="1" applyFill="1"/>
    <xf numFmtId="43" fontId="56" fillId="0" borderId="0" xfId="370" applyNumberFormat="1" applyFont="1" applyAlignment="1">
      <alignment horizontal="right"/>
    </xf>
    <xf numFmtId="0" fontId="0" fillId="0" borderId="0" xfId="0" applyFont="1" applyAlignment="1"/>
    <xf numFmtId="0" fontId="57" fillId="34" borderId="0" xfId="370" applyFont="1" applyFill="1" applyAlignment="1">
      <alignment horizontal="center"/>
    </xf>
    <xf numFmtId="0" fontId="57" fillId="34" borderId="3" xfId="370" applyFont="1" applyFill="1" applyBorder="1" applyAlignment="1">
      <alignment horizontal="center"/>
    </xf>
    <xf numFmtId="14" fontId="48" fillId="34" borderId="3" xfId="0" applyNumberFormat="1" applyFont="1" applyFill="1" applyBorder="1" applyAlignment="1">
      <alignment horizontal="center"/>
    </xf>
    <xf numFmtId="0" fontId="63" fillId="0" borderId="0" xfId="92" applyFont="1" applyFill="1" applyAlignment="1">
      <alignment horizontal="center"/>
    </xf>
    <xf numFmtId="0" fontId="63" fillId="0" borderId="0" xfId="92" applyFont="1" applyFill="1"/>
    <xf numFmtId="42" fontId="64" fillId="0" borderId="0" xfId="92" applyNumberFormat="1" applyFont="1" applyFill="1"/>
    <xf numFmtId="0" fontId="64" fillId="0" borderId="13" xfId="92" applyFont="1" applyFill="1" applyBorder="1"/>
    <xf numFmtId="0" fontId="64" fillId="0" borderId="14" xfId="92" applyFont="1" applyFill="1" applyBorder="1"/>
    <xf numFmtId="0" fontId="64" fillId="0" borderId="15" xfId="92" applyFont="1" applyFill="1" applyBorder="1"/>
    <xf numFmtId="0" fontId="63" fillId="0" borderId="16" xfId="92" applyFont="1" applyFill="1" applyBorder="1"/>
    <xf numFmtId="0" fontId="63" fillId="0" borderId="0" xfId="92" applyFont="1" applyFill="1" applyBorder="1" applyAlignment="1">
      <alignment horizontal="right"/>
    </xf>
    <xf numFmtId="165" fontId="64" fillId="0" borderId="0" xfId="1" applyNumberFormat="1" applyFont="1" applyFill="1" applyBorder="1"/>
    <xf numFmtId="0" fontId="63" fillId="0" borderId="0" xfId="92" applyFont="1" applyFill="1" applyBorder="1"/>
    <xf numFmtId="0" fontId="63" fillId="0" borderId="17" xfId="92" applyFont="1" applyFill="1" applyBorder="1"/>
    <xf numFmtId="0" fontId="64" fillId="0" borderId="16" xfId="92" applyFont="1" applyFill="1" applyBorder="1"/>
    <xf numFmtId="0" fontId="64" fillId="0" borderId="0" xfId="92" applyFont="1" applyFill="1" applyBorder="1"/>
    <xf numFmtId="0" fontId="64" fillId="0" borderId="17" xfId="92" applyFont="1" applyFill="1" applyBorder="1"/>
    <xf numFmtId="0" fontId="64" fillId="0" borderId="0" xfId="92" applyFont="1" applyFill="1" applyBorder="1" applyAlignment="1">
      <alignment horizontal="right"/>
    </xf>
    <xf numFmtId="17" fontId="63" fillId="0" borderId="16" xfId="92" applyNumberFormat="1" applyFont="1" applyFill="1" applyBorder="1" applyAlignment="1">
      <alignment horizontal="center"/>
    </xf>
    <xf numFmtId="0" fontId="64" fillId="0" borderId="3" xfId="92" applyFont="1" applyFill="1" applyBorder="1"/>
    <xf numFmtId="17" fontId="63" fillId="0" borderId="0" xfId="92" applyNumberFormat="1" applyFont="1" applyFill="1" applyBorder="1" applyAlignment="1">
      <alignment horizontal="center"/>
    </xf>
    <xf numFmtId="17" fontId="63" fillId="0" borderId="0" xfId="92" applyNumberFormat="1" applyFont="1" applyFill="1" applyAlignment="1">
      <alignment horizontal="center"/>
    </xf>
    <xf numFmtId="43" fontId="63" fillId="0" borderId="0" xfId="1" applyFont="1" applyFill="1" applyBorder="1"/>
    <xf numFmtId="10" fontId="64" fillId="0" borderId="0" xfId="3" applyNumberFormat="1" applyFont="1" applyFill="1" applyBorder="1"/>
    <xf numFmtId="3" fontId="63" fillId="0" borderId="16" xfId="92" applyNumberFormat="1" applyFont="1" applyFill="1" applyBorder="1"/>
    <xf numFmtId="3" fontId="63" fillId="0" borderId="0" xfId="92" applyNumberFormat="1" applyFont="1" applyFill="1" applyBorder="1"/>
    <xf numFmtId="43" fontId="64" fillId="0" borderId="0" xfId="92" applyNumberFormat="1" applyFont="1" applyFill="1" applyBorder="1"/>
    <xf numFmtId="43" fontId="63" fillId="0" borderId="0" xfId="92" applyNumberFormat="1" applyFont="1" applyFill="1" applyBorder="1"/>
    <xf numFmtId="0" fontId="64" fillId="0" borderId="18" xfId="92" applyFont="1" applyFill="1" applyBorder="1"/>
    <xf numFmtId="0" fontId="64" fillId="0" borderId="9" xfId="92" applyFont="1" applyFill="1" applyBorder="1"/>
    <xf numFmtId="0" fontId="64" fillId="0" borderId="19" xfId="92" applyFont="1" applyFill="1" applyBorder="1"/>
    <xf numFmtId="44" fontId="63" fillId="0" borderId="0" xfId="92" applyNumberFormat="1" applyFont="1" applyFill="1"/>
    <xf numFmtId="42" fontId="63" fillId="0" borderId="0" xfId="92" applyNumberFormat="1" applyFont="1" applyFill="1"/>
    <xf numFmtId="0" fontId="64" fillId="0" borderId="0" xfId="91" applyFont="1" applyFill="1" applyBorder="1" applyAlignment="1">
      <alignment horizontal="right" wrapText="1"/>
    </xf>
    <xf numFmtId="4" fontId="64" fillId="0" borderId="0" xfId="92" applyNumberFormat="1" applyFont="1" applyFill="1"/>
    <xf numFmtId="3" fontId="64" fillId="0" borderId="0" xfId="92" applyNumberFormat="1" applyFont="1" applyFill="1" applyBorder="1"/>
    <xf numFmtId="43" fontId="64" fillId="0" borderId="0" xfId="92" applyNumberFormat="1" applyFont="1" applyFill="1"/>
    <xf numFmtId="0" fontId="64" fillId="0" borderId="36" xfId="92" applyFont="1" applyFill="1" applyBorder="1"/>
    <xf numFmtId="0" fontId="56" fillId="45" borderId="0" xfId="398" applyFont="1" applyFill="1" applyBorder="1"/>
    <xf numFmtId="165" fontId="56" fillId="45" borderId="0" xfId="383" applyNumberFormat="1" applyFont="1" applyFill="1" applyBorder="1"/>
    <xf numFmtId="44" fontId="0" fillId="0" borderId="0" xfId="2" applyFont="1" applyFill="1" applyBorder="1"/>
    <xf numFmtId="9" fontId="0" fillId="0" borderId="0" xfId="3" applyFont="1" applyFill="1" applyBorder="1"/>
    <xf numFmtId="44" fontId="0" fillId="47" borderId="0" xfId="387" applyFont="1" applyFill="1" applyBorder="1"/>
    <xf numFmtId="10" fontId="0" fillId="46" borderId="0" xfId="0" applyNumberFormat="1" applyFont="1" applyFill="1" applyBorder="1"/>
    <xf numFmtId="44" fontId="49" fillId="0" borderId="0" xfId="0" applyNumberFormat="1" applyFont="1" applyFill="1" applyBorder="1"/>
    <xf numFmtId="0" fontId="49" fillId="0" borderId="0" xfId="0" applyFont="1" applyFill="1" applyBorder="1"/>
    <xf numFmtId="0" fontId="56" fillId="0" borderId="0" xfId="0" applyFont="1" applyFill="1" applyBorder="1" applyAlignment="1">
      <alignment horizontal="center" vertical="center"/>
    </xf>
    <xf numFmtId="3" fontId="56" fillId="45" borderId="0" xfId="0" applyNumberFormat="1" applyFont="1" applyFill="1" applyBorder="1"/>
    <xf numFmtId="43" fontId="56" fillId="45" borderId="0" xfId="383" applyNumberFormat="1" applyFont="1" applyFill="1" applyBorder="1"/>
    <xf numFmtId="165" fontId="56" fillId="45" borderId="0" xfId="383" applyNumberFormat="1" applyFont="1" applyFill="1" applyBorder="1" applyAlignment="1">
      <alignment horizontal="center" wrapText="1"/>
    </xf>
    <xf numFmtId="44" fontId="56" fillId="45" borderId="0" xfId="387" applyFont="1" applyFill="1" applyBorder="1"/>
    <xf numFmtId="44" fontId="56" fillId="45" borderId="0" xfId="0" applyNumberFormat="1" applyFont="1" applyFill="1" applyBorder="1"/>
    <xf numFmtId="44" fontId="56" fillId="0" borderId="0" xfId="0" applyNumberFormat="1" applyFont="1" applyFill="1" applyBorder="1"/>
    <xf numFmtId="0" fontId="56" fillId="0" borderId="0" xfId="0" applyFont="1" applyFill="1" applyBorder="1"/>
    <xf numFmtId="43" fontId="0" fillId="0" borderId="0" xfId="1" applyFont="1" applyFill="1" applyBorder="1"/>
    <xf numFmtId="44" fontId="56" fillId="0" borderId="3" xfId="387" applyFont="1" applyFill="1" applyBorder="1"/>
    <xf numFmtId="166" fontId="0" fillId="0" borderId="0" xfId="2" applyNumberFormat="1" applyFont="1" applyBorder="1"/>
    <xf numFmtId="166" fontId="0" fillId="0" borderId="0" xfId="2" applyNumberFormat="1" applyFont="1" applyBorder="1" applyAlignment="1">
      <alignment horizontal="right"/>
    </xf>
    <xf numFmtId="0" fontId="58" fillId="0" borderId="0" xfId="383" applyNumberFormat="1" applyFont="1" applyFill="1" applyBorder="1" applyAlignment="1">
      <alignment horizontal="left"/>
    </xf>
    <xf numFmtId="0" fontId="0" fillId="0" borderId="0" xfId="383" applyNumberFormat="1" applyFont="1" applyFill="1" applyBorder="1"/>
    <xf numFmtId="0" fontId="69" fillId="0" borderId="0" xfId="0" applyFont="1"/>
    <xf numFmtId="2" fontId="56" fillId="0" borderId="0" xfId="370" applyNumberFormat="1" applyFont="1" applyFill="1"/>
    <xf numFmtId="43" fontId="56" fillId="0" borderId="0" xfId="370" applyNumberFormat="1" applyFont="1" applyFill="1"/>
    <xf numFmtId="0" fontId="0" fillId="34" borderId="0" xfId="0" applyFont="1" applyFill="1" applyAlignment="1">
      <alignment horizontal="center"/>
    </xf>
    <xf numFmtId="0" fontId="0" fillId="0" borderId="0" xfId="0" applyFont="1" applyAlignment="1">
      <alignment horizontal="left"/>
    </xf>
    <xf numFmtId="0" fontId="48" fillId="34" borderId="3" xfId="0" applyFont="1" applyFill="1" applyBorder="1" applyAlignment="1">
      <alignment horizontal="center"/>
    </xf>
    <xf numFmtId="0" fontId="0" fillId="34" borderId="0" xfId="0" applyFont="1" applyFill="1" applyBorder="1" applyAlignment="1">
      <alignment horizontal="center"/>
    </xf>
    <xf numFmtId="0" fontId="0" fillId="0" borderId="40" xfId="0" applyFont="1" applyFill="1" applyBorder="1" applyAlignment="1">
      <alignment horizontal="center" vertical="center" textRotation="90"/>
    </xf>
    <xf numFmtId="0" fontId="0" fillId="0" borderId="0" xfId="0" applyFont="1" applyFill="1" applyBorder="1" applyAlignment="1">
      <alignment horizontal="center" vertical="center" textRotation="90"/>
    </xf>
    <xf numFmtId="0" fontId="0" fillId="0" borderId="3" xfId="0" applyFont="1" applyFill="1" applyBorder="1" applyAlignment="1">
      <alignment horizontal="center" vertical="center" textRotation="90"/>
    </xf>
    <xf numFmtId="0" fontId="0" fillId="0" borderId="40" xfId="0" applyFont="1" applyBorder="1" applyAlignment="1">
      <alignment horizontal="center" vertical="center" textRotation="90"/>
    </xf>
    <xf numFmtId="0" fontId="0" fillId="0" borderId="0" xfId="0" applyFont="1" applyBorder="1" applyAlignment="1">
      <alignment horizontal="center" vertical="center" textRotation="90"/>
    </xf>
    <xf numFmtId="0" fontId="61" fillId="0" borderId="0" xfId="4" applyFont="1" applyAlignment="1">
      <alignment horizontal="left" wrapText="1"/>
    </xf>
    <xf numFmtId="0" fontId="61" fillId="0" borderId="0" xfId="92" applyFont="1" applyAlignment="1">
      <alignment wrapText="1"/>
    </xf>
    <xf numFmtId="0" fontId="48" fillId="0" borderId="0" xfId="0" applyFont="1" applyAlignment="1">
      <alignment horizontal="left" wrapText="1"/>
    </xf>
  </cellXfs>
  <cellStyles count="415">
    <cellStyle name="20% - Accent1 2" xfId="5"/>
    <cellStyle name="20% - Accent1 2 2" xfId="107"/>
    <cellStyle name="20% - Accent1 2_Rate Sheet" xfId="106"/>
    <cellStyle name="20% - Accent1 3" xfId="108"/>
    <cellStyle name="20% - Accent1 3 2" xfId="371"/>
    <cellStyle name="20% - Accent2 2" xfId="109"/>
    <cellStyle name="20% - Accent2 2 2" xfId="110"/>
    <cellStyle name="20% - Accent2 3" xfId="111"/>
    <cellStyle name="20% - Accent3 2" xfId="112"/>
    <cellStyle name="20% - Accent3 3" xfId="113"/>
    <cellStyle name="20% - Accent4 2" xfId="6"/>
    <cellStyle name="20% - Accent4 2 2" xfId="115"/>
    <cellStyle name="20% - Accent4 2_Rate Sheet" xfId="114"/>
    <cellStyle name="20% - Accent4 3" xfId="116"/>
    <cellStyle name="20% - Accent4 3 2" xfId="372"/>
    <cellStyle name="20% - Accent5 2" xfId="117"/>
    <cellStyle name="20% - Accent5 3" xfId="118"/>
    <cellStyle name="20% - Accent6 2" xfId="119"/>
    <cellStyle name="20% - Accent6 2 2" xfId="120"/>
    <cellStyle name="20% - Accent6 3" xfId="121"/>
    <cellStyle name="40% - Accent1 2" xfId="7"/>
    <cellStyle name="40% - Accent1 3" xfId="122"/>
    <cellStyle name="40% - Accent1 3 2" xfId="373"/>
    <cellStyle name="40% - Accent2 2" xfId="123"/>
    <cellStyle name="40% - Accent2 3" xfId="124"/>
    <cellStyle name="40% - Accent3 2" xfId="125"/>
    <cellStyle name="40% - Accent3 2 2" xfId="126"/>
    <cellStyle name="40% - Accent3 3" xfId="127"/>
    <cellStyle name="40% - Accent4 2" xfId="8"/>
    <cellStyle name="40% - Accent4 3" xfId="128"/>
    <cellStyle name="40% - Accent4 3 2" xfId="374"/>
    <cellStyle name="40% - Accent5 2" xfId="9"/>
    <cellStyle name="40% - Accent5 3" xfId="129"/>
    <cellStyle name="40% - Accent6 2" xfId="10"/>
    <cellStyle name="40% - Accent6 3" xfId="130"/>
    <cellStyle name="40% - Accent6 3 2" xfId="375"/>
    <cellStyle name="60% - Accent1 2" xfId="11"/>
    <cellStyle name="60% - Accent1 2 2" xfId="132"/>
    <cellStyle name="60% - Accent1 2_Rate Sheet" xfId="131"/>
    <cellStyle name="60% - Accent1 3" xfId="133"/>
    <cellStyle name="60% - Accent1 3 2" xfId="376"/>
    <cellStyle name="60% - Accent2 2" xfId="12"/>
    <cellStyle name="60% - Accent2 3" xfId="134"/>
    <cellStyle name="60% - Accent3 2" xfId="13"/>
    <cellStyle name="60% - Accent3 3" xfId="135"/>
    <cellStyle name="60% - Accent3 3 2" xfId="377"/>
    <cellStyle name="60% - Accent4 2" xfId="14"/>
    <cellStyle name="60% - Accent4 3" xfId="136"/>
    <cellStyle name="60% - Accent4 3 2" xfId="378"/>
    <cellStyle name="60% - Accent5 2" xfId="15"/>
    <cellStyle name="60% - Accent5 2 2" xfId="138"/>
    <cellStyle name="60% - Accent5 2_Rate Sheet" xfId="137"/>
    <cellStyle name="60% - Accent5 3" xfId="139"/>
    <cellStyle name="60% - Accent6 2" xfId="140"/>
    <cellStyle name="60% - Accent6 2 2" xfId="141"/>
    <cellStyle name="60% - Accent6 3" xfId="142"/>
    <cellStyle name="Accent1 2" xfId="16"/>
    <cellStyle name="Accent1 2 2" xfId="144"/>
    <cellStyle name="Accent1 2_Rate Sheet" xfId="143"/>
    <cellStyle name="Accent1 3" xfId="145"/>
    <cellStyle name="Accent1 3 2" xfId="379"/>
    <cellStyle name="Accent2 2" xfId="17"/>
    <cellStyle name="Accent2 3" xfId="146"/>
    <cellStyle name="Accent3 2" xfId="18"/>
    <cellStyle name="Accent3 2 2" xfId="148"/>
    <cellStyle name="Accent3 2_Rate Sheet" xfId="147"/>
    <cellStyle name="Accent3 3" xfId="149"/>
    <cellStyle name="Accent4 2" xfId="150"/>
    <cellStyle name="Accent4 2 2" xfId="151"/>
    <cellStyle name="Accent4 3" xfId="152"/>
    <cellStyle name="Accent5 2" xfId="153"/>
    <cellStyle name="Accent5 2 2" xfId="154"/>
    <cellStyle name="Accent5 3" xfId="155"/>
    <cellStyle name="Accent6 2" xfId="19"/>
    <cellStyle name="Accent6 2 2" xfId="157"/>
    <cellStyle name="Accent6 2_Rate Sheet" xfId="156"/>
    <cellStyle name="Accent6 3" xfId="158"/>
    <cellStyle name="Accounting" xfId="20"/>
    <cellStyle name="Accounting 2" xfId="159"/>
    <cellStyle name="Accounting 3" xfId="160"/>
    <cellStyle name="Accounting_2011-11" xfId="161"/>
    <cellStyle name="Bad 2" xfId="21"/>
    <cellStyle name="Bad 3" xfId="162"/>
    <cellStyle name="Budget" xfId="22"/>
    <cellStyle name="Budget 2" xfId="163"/>
    <cellStyle name="Budget 3" xfId="164"/>
    <cellStyle name="Budget_2011-11" xfId="165"/>
    <cellStyle name="Calculation 2" xfId="23"/>
    <cellStyle name="Calculation 2 2" xfId="167"/>
    <cellStyle name="Calculation 2_Rate Sheet" xfId="166"/>
    <cellStyle name="Calculation 3" xfId="168"/>
    <cellStyle name="Calculation 3 2" xfId="380"/>
    <cellStyle name="Check Cell 2" xfId="169"/>
    <cellStyle name="Check Cell 2 2" xfId="170"/>
    <cellStyle name="Check Cell 3" xfId="171"/>
    <cellStyle name="combo" xfId="172"/>
    <cellStyle name="Comma" xfId="1" builtinId="3"/>
    <cellStyle name="Comma 10" xfId="24"/>
    <cellStyle name="Comma 11" xfId="25"/>
    <cellStyle name="Comma 12" xfId="26"/>
    <cellStyle name="Comma 12 2" xfId="173"/>
    <cellStyle name="Comma 12 3" xfId="174"/>
    <cellStyle name="Comma 13" xfId="27"/>
    <cellStyle name="Comma 14" xfId="28"/>
    <cellStyle name="Comma 15" xfId="29"/>
    <cellStyle name="Comma 16" xfId="175"/>
    <cellStyle name="Comma 17" xfId="381"/>
    <cellStyle name="Comma 18" xfId="382"/>
    <cellStyle name="Comma 19" xfId="383"/>
    <cellStyle name="Comma 2" xfId="30"/>
    <cellStyle name="Comma 2 2" xfId="31"/>
    <cellStyle name="Comma 2 2 2" xfId="384"/>
    <cellStyle name="Comma 2 3" xfId="32"/>
    <cellStyle name="Comma 2 4" xfId="176"/>
    <cellStyle name="Comma 2 6" xfId="177"/>
    <cellStyle name="Comma 2 6 2" xfId="178"/>
    <cellStyle name="Comma 3" xfId="33"/>
    <cellStyle name="Comma 3 2" xfId="34"/>
    <cellStyle name="Comma 3 2 2" xfId="179"/>
    <cellStyle name="Comma 3 3" xfId="180"/>
    <cellStyle name="Comma 3 4" xfId="385"/>
    <cellStyle name="Comma 4" xfId="35"/>
    <cellStyle name="Comma 4 2" xfId="181"/>
    <cellStyle name="Comma 4 2 2" xfId="182"/>
    <cellStyle name="Comma 4 3" xfId="183"/>
    <cellStyle name="Comma 4 3 2" xfId="184"/>
    <cellStyle name="Comma 4 4" xfId="185"/>
    <cellStyle name="Comma 4 4 2" xfId="186"/>
    <cellStyle name="Comma 4 5" xfId="187"/>
    <cellStyle name="Comma 4 6" xfId="188"/>
    <cellStyle name="Comma 5" xfId="36"/>
    <cellStyle name="Comma 5 2" xfId="189"/>
    <cellStyle name="Comma 6" xfId="37"/>
    <cellStyle name="Comma 6 2" xfId="386"/>
    <cellStyle name="Comma 7" xfId="38"/>
    <cellStyle name="Comma 8" xfId="39"/>
    <cellStyle name="Comma 9" xfId="40"/>
    <cellStyle name="Comma(2)" xfId="41"/>
    <cellStyle name="Comma0 - Style2" xfId="42"/>
    <cellStyle name="Comma1 - Style1" xfId="43"/>
    <cellStyle name="Comments" xfId="44"/>
    <cellStyle name="Currency" xfId="2" builtinId="4"/>
    <cellStyle name="Currency 10" xfId="387"/>
    <cellStyle name="Currency 2" xfId="45"/>
    <cellStyle name="Currency 2 2" xfId="190"/>
    <cellStyle name="Currency 2 2 2" xfId="191"/>
    <cellStyle name="Currency 2 3" xfId="192"/>
    <cellStyle name="Currency 2 3 2" xfId="193"/>
    <cellStyle name="Currency 2 6" xfId="194"/>
    <cellStyle name="Currency 2 6 2" xfId="195"/>
    <cellStyle name="Currency 3" xfId="46"/>
    <cellStyle name="Currency 3 2" xfId="196"/>
    <cellStyle name="Currency 3 3" xfId="197"/>
    <cellStyle name="Currency 3 4" xfId="198"/>
    <cellStyle name="Currency 4" xfId="47"/>
    <cellStyle name="Currency 4 2" xfId="199"/>
    <cellStyle name="Currency 5" xfId="48"/>
    <cellStyle name="Currency 5 2" xfId="200"/>
    <cellStyle name="Currency 5 3" xfId="201"/>
    <cellStyle name="Currency 6" xfId="49"/>
    <cellStyle name="Currency 7" xfId="50"/>
    <cellStyle name="Currency 8" xfId="202"/>
    <cellStyle name="Currency 9" xfId="388"/>
    <cellStyle name="Data Enter" xfId="51"/>
    <cellStyle name="date" xfId="389"/>
    <cellStyle name="Explanatory Text 2" xfId="203"/>
    <cellStyle name="Explanatory Text 3" xfId="204"/>
    <cellStyle name="F9ReportControlStyle_ctpInquire" xfId="205"/>
    <cellStyle name="FactSheet" xfId="52"/>
    <cellStyle name="fish" xfId="390"/>
    <cellStyle name="Good 2" xfId="53"/>
    <cellStyle name="Good 3" xfId="206"/>
    <cellStyle name="Heading 1 2" xfId="54"/>
    <cellStyle name="Heading 1 2 2" xfId="208"/>
    <cellStyle name="Heading 1 2_Rate Sheet" xfId="207"/>
    <cellStyle name="Heading 1 3" xfId="209"/>
    <cellStyle name="Heading 1 3 2" xfId="391"/>
    <cellStyle name="Heading 2 2" xfId="55"/>
    <cellStyle name="Heading 2 2 2" xfId="211"/>
    <cellStyle name="Heading 2 2_Rate Sheet" xfId="210"/>
    <cellStyle name="Heading 2 3" xfId="212"/>
    <cellStyle name="Heading 2 3 2" xfId="392"/>
    <cellStyle name="Heading 3 2" xfId="56"/>
    <cellStyle name="Heading 3 2 2" xfId="214"/>
    <cellStyle name="Heading 3 2_Rate Sheet" xfId="213"/>
    <cellStyle name="Heading 3 3" xfId="215"/>
    <cellStyle name="Heading 3 3 2" xfId="393"/>
    <cellStyle name="Heading 4 2" xfId="216"/>
    <cellStyle name="Heading 4 2 2" xfId="217"/>
    <cellStyle name="Heading 4 3" xfId="218"/>
    <cellStyle name="Hyperlink 2" xfId="57"/>
    <cellStyle name="Hyperlink 3" xfId="58"/>
    <cellStyle name="Hyperlink 3 2" xfId="219"/>
    <cellStyle name="Input 2" xfId="220"/>
    <cellStyle name="Input 2 2" xfId="221"/>
    <cellStyle name="Input 3" xfId="222"/>
    <cellStyle name="input(0)" xfId="59"/>
    <cellStyle name="Input(2)" xfId="60"/>
    <cellStyle name="Linked Cell 2" xfId="61"/>
    <cellStyle name="Linked Cell 2 2" xfId="224"/>
    <cellStyle name="Linked Cell 2_Rate Sheet" xfId="223"/>
    <cellStyle name="Linked Cell 3" xfId="225"/>
    <cellStyle name="Neutral 2" xfId="62"/>
    <cellStyle name="Neutral 2 2" xfId="227"/>
    <cellStyle name="Neutral 2_Rate Sheet" xfId="226"/>
    <cellStyle name="Neutral 3" xfId="228"/>
    <cellStyle name="New_normal" xfId="63"/>
    <cellStyle name="Normal" xfId="0" builtinId="0"/>
    <cellStyle name="Normal - Style1" xfId="64"/>
    <cellStyle name="Normal - Style2" xfId="65"/>
    <cellStyle name="Normal - Style3" xfId="66"/>
    <cellStyle name="Normal - Style4" xfId="67"/>
    <cellStyle name="Normal - Style5" xfId="68"/>
    <cellStyle name="Normal 10" xfId="69"/>
    <cellStyle name="Normal 10 2" xfId="229"/>
    <cellStyle name="Normal 10 2 2" xfId="394"/>
    <cellStyle name="Normal 10 2 3" xfId="395"/>
    <cellStyle name="Normal 10_2112 DF Schedule" xfId="396"/>
    <cellStyle name="Normal 11" xfId="70"/>
    <cellStyle name="Normal 12" xfId="71"/>
    <cellStyle name="Normal 12 2" xfId="231"/>
    <cellStyle name="Normal 12_Rate Sheet" xfId="230"/>
    <cellStyle name="Normal 13" xfId="72"/>
    <cellStyle name="Normal 13 2" xfId="233"/>
    <cellStyle name="Normal 13_Rate Sheet" xfId="232"/>
    <cellStyle name="Normal 14" xfId="73"/>
    <cellStyle name="Normal 14 2" xfId="235"/>
    <cellStyle name="Normal 14_Rate Sheet" xfId="234"/>
    <cellStyle name="Normal 15" xfId="74"/>
    <cellStyle name="Normal 15 2" xfId="237"/>
    <cellStyle name="Normal 15_Rate Sheet" xfId="236"/>
    <cellStyle name="Normal 16" xfId="75"/>
    <cellStyle name="Normal 16 2" xfId="239"/>
    <cellStyle name="Normal 16_Rate Sheet" xfId="238"/>
    <cellStyle name="Normal 17" xfId="76"/>
    <cellStyle name="Normal 17 2" xfId="241"/>
    <cellStyle name="Normal 17_Rate Sheet" xfId="240"/>
    <cellStyle name="Normal 18" xfId="77"/>
    <cellStyle name="Normal 18 2" xfId="243"/>
    <cellStyle name="Normal 18_Rate Sheet" xfId="242"/>
    <cellStyle name="Normal 19" xfId="78"/>
    <cellStyle name="Normal 19 2" xfId="245"/>
    <cellStyle name="Normal 19_Rate Sheet" xfId="244"/>
    <cellStyle name="Normal 2" xfId="79"/>
    <cellStyle name="Normal 2 2" xfId="80"/>
    <cellStyle name="Normal 2 2 2" xfId="81"/>
    <cellStyle name="Normal 2 2 3" xfId="246"/>
    <cellStyle name="Normal 2 2_Actual_Fuel" xfId="247"/>
    <cellStyle name="Normal 2 3" xfId="82"/>
    <cellStyle name="Normal 2 3 2" xfId="83"/>
    <cellStyle name="Normal 2 3 3" xfId="248"/>
    <cellStyle name="Normal 2 4" xfId="249"/>
    <cellStyle name="Normal 2 5" xfId="250"/>
    <cellStyle name="Normal 2_2012-10" xfId="251"/>
    <cellStyle name="Normal 20" xfId="252"/>
    <cellStyle name="Normal 21" xfId="253"/>
    <cellStyle name="Normal 22" xfId="254"/>
    <cellStyle name="Normal 23" xfId="255"/>
    <cellStyle name="Normal 24" xfId="256"/>
    <cellStyle name="Normal 25" xfId="257"/>
    <cellStyle name="Normal 26" xfId="258"/>
    <cellStyle name="Normal 27" xfId="259"/>
    <cellStyle name="Normal 28" xfId="260"/>
    <cellStyle name="Normal 29" xfId="261"/>
    <cellStyle name="Normal 3" xfId="84"/>
    <cellStyle name="Normal 3 2" xfId="262"/>
    <cellStyle name="Normal 3 3" xfId="263"/>
    <cellStyle name="Normal 3 3 2" xfId="264"/>
    <cellStyle name="Normal 3 4" xfId="265"/>
    <cellStyle name="Normal 3_2012 PR" xfId="266"/>
    <cellStyle name="Normal 30" xfId="267"/>
    <cellStyle name="Normal 31" xfId="268"/>
    <cellStyle name="Normal 32" xfId="269"/>
    <cellStyle name="Normal 33" xfId="270"/>
    <cellStyle name="Normal 34" xfId="271"/>
    <cellStyle name="Normal 35" xfId="272"/>
    <cellStyle name="Normal 36" xfId="273"/>
    <cellStyle name="Normal 37" xfId="274"/>
    <cellStyle name="Normal 38" xfId="275"/>
    <cellStyle name="Normal 39" xfId="276"/>
    <cellStyle name="Normal 4" xfId="85"/>
    <cellStyle name="Normal 4 2" xfId="278"/>
    <cellStyle name="Normal 4 2 2" xfId="279"/>
    <cellStyle name="Normal 4_Rate Sheet" xfId="277"/>
    <cellStyle name="Normal 40" xfId="280"/>
    <cellStyle name="Normal 41" xfId="281"/>
    <cellStyle name="Normal 42" xfId="282"/>
    <cellStyle name="Normal 43" xfId="283"/>
    <cellStyle name="Normal 44" xfId="284"/>
    <cellStyle name="Normal 45" xfId="285"/>
    <cellStyle name="Normal 46" xfId="286"/>
    <cellStyle name="Normal 47" xfId="287"/>
    <cellStyle name="Normal 48" xfId="288"/>
    <cellStyle name="Normal 49" xfId="289"/>
    <cellStyle name="Normal 5" xfId="86"/>
    <cellStyle name="Normal 5 2" xfId="290"/>
    <cellStyle name="Normal 5 3" xfId="291"/>
    <cellStyle name="Normal 5_2112 DF Schedule" xfId="397"/>
    <cellStyle name="Normal 50" xfId="292"/>
    <cellStyle name="Normal 51" xfId="293"/>
    <cellStyle name="Normal 52" xfId="294"/>
    <cellStyle name="Normal 53" xfId="295"/>
    <cellStyle name="Normal 54" xfId="296"/>
    <cellStyle name="Normal 55" xfId="297"/>
    <cellStyle name="Normal 56" xfId="298"/>
    <cellStyle name="Normal 57" xfId="299"/>
    <cellStyle name="Normal 58" xfId="300"/>
    <cellStyle name="Normal 59" xfId="301"/>
    <cellStyle name="Normal 6" xfId="87"/>
    <cellStyle name="Normal 6 2" xfId="303"/>
    <cellStyle name="Normal 6_Rate Sheet" xfId="302"/>
    <cellStyle name="Normal 60" xfId="304"/>
    <cellStyle name="Normal 61" xfId="305"/>
    <cellStyle name="Normal 62" xfId="306"/>
    <cellStyle name="Normal 63" xfId="307"/>
    <cellStyle name="Normal 64" xfId="308"/>
    <cellStyle name="Normal 65" xfId="309"/>
    <cellStyle name="Normal 66" xfId="310"/>
    <cellStyle name="Normal 67" xfId="311"/>
    <cellStyle name="Normal 68" xfId="312"/>
    <cellStyle name="Normal 69" xfId="313"/>
    <cellStyle name="Normal 7" xfId="88"/>
    <cellStyle name="Normal 70" xfId="314"/>
    <cellStyle name="Normal 71" xfId="315"/>
    <cellStyle name="Normal 72" xfId="316"/>
    <cellStyle name="Normal 73" xfId="317"/>
    <cellStyle name="Normal 74" xfId="318"/>
    <cellStyle name="Normal 75" xfId="319"/>
    <cellStyle name="Normal 76" xfId="320"/>
    <cellStyle name="Normal 77" xfId="321"/>
    <cellStyle name="Normal 78" xfId="322"/>
    <cellStyle name="Normal 79" xfId="323"/>
    <cellStyle name="Normal 8" xfId="89"/>
    <cellStyle name="Normal 80" xfId="324"/>
    <cellStyle name="Normal 81" xfId="325"/>
    <cellStyle name="Normal 82" xfId="326"/>
    <cellStyle name="Normal 83" xfId="327"/>
    <cellStyle name="Normal 84" xfId="328"/>
    <cellStyle name="Normal 84 2" xfId="329"/>
    <cellStyle name="Normal 84 3" xfId="330"/>
    <cellStyle name="Normal 85" xfId="331"/>
    <cellStyle name="Normal 86" xfId="332"/>
    <cellStyle name="Normal 87" xfId="333"/>
    <cellStyle name="Normal 88" xfId="334"/>
    <cellStyle name="Normal 89" xfId="335"/>
    <cellStyle name="Normal 9" xfId="90"/>
    <cellStyle name="Normal 90" xfId="336"/>
    <cellStyle name="Normal 91" xfId="337"/>
    <cellStyle name="Normal_Disposal" xfId="91"/>
    <cellStyle name="Normal_Murrey's Jan-Dec 2012" xfId="398"/>
    <cellStyle name="Normal_PCR Rate Schedule" xfId="370"/>
    <cellStyle name="Normal_Price out" xfId="399"/>
    <cellStyle name="Normal_Regulated Price Out 9-6-2011 Final HL" xfId="4"/>
    <cellStyle name="Normal_WUTC Rate Review - Disposal Revised" xfId="92"/>
    <cellStyle name="Note 2" xfId="93"/>
    <cellStyle name="Note 2 2" xfId="338"/>
    <cellStyle name="Note 3" xfId="339"/>
    <cellStyle name="Note 3 2" xfId="400"/>
    <cellStyle name="Notes" xfId="94"/>
    <cellStyle name="Output 2" xfId="340"/>
    <cellStyle name="Output 2 2" xfId="341"/>
    <cellStyle name="Output 3" xfId="342"/>
    <cellStyle name="Percent" xfId="3" builtinId="5"/>
    <cellStyle name="Percent 2" xfId="95"/>
    <cellStyle name="Percent 2 2" xfId="343"/>
    <cellStyle name="Percent 2 2 2" xfId="344"/>
    <cellStyle name="Percent 2 3" xfId="401"/>
    <cellStyle name="Percent 2 6" xfId="345"/>
    <cellStyle name="Percent 3" xfId="96"/>
    <cellStyle name="Percent 3 2" xfId="346"/>
    <cellStyle name="Percent 4" xfId="97"/>
    <cellStyle name="Percent 4 2" xfId="347"/>
    <cellStyle name="Percent 4 3" xfId="402"/>
    <cellStyle name="Percent 5" xfId="348"/>
    <cellStyle name="Percent 6" xfId="349"/>
    <cellStyle name="Percent 7" xfId="350"/>
    <cellStyle name="Percent 7 2" xfId="351"/>
    <cellStyle name="Percent 7 3" xfId="403"/>
    <cellStyle name="Percent 8" xfId="404"/>
    <cellStyle name="Percent(1)" xfId="98"/>
    <cellStyle name="Percent(2)" xfId="99"/>
    <cellStyle name="PRM" xfId="100"/>
    <cellStyle name="PRM 2" xfId="352"/>
    <cellStyle name="PRM 3" xfId="353"/>
    <cellStyle name="PRM_2011-11" xfId="354"/>
    <cellStyle name="PS_Comma" xfId="355"/>
    <cellStyle name="PSChar" xfId="101"/>
    <cellStyle name="PSDate" xfId="356"/>
    <cellStyle name="PSDec" xfId="357"/>
    <cellStyle name="PSHeading" xfId="102"/>
    <cellStyle name="PSInt" xfId="358"/>
    <cellStyle name="PSSpacer" xfId="359"/>
    <cellStyle name="STYL0 - Style1" xfId="405"/>
    <cellStyle name="STYL1 - Style2" xfId="406"/>
    <cellStyle name="STYL2 - Style3" xfId="407"/>
    <cellStyle name="STYL3 - Style4" xfId="408"/>
    <cellStyle name="STYL4 - Style5" xfId="409"/>
    <cellStyle name="STYL5 - Style6" xfId="410"/>
    <cellStyle name="STYL6 - Style7" xfId="411"/>
    <cellStyle name="STYL7 - Style8" xfId="412"/>
    <cellStyle name="Style 1" xfId="103"/>
    <cellStyle name="Style 1 2" xfId="360"/>
    <cellStyle name="STYLE1" xfId="104"/>
    <cellStyle name="sub heading" xfId="413"/>
    <cellStyle name="Title 2" xfId="361"/>
    <cellStyle name="Title 2 2" xfId="362"/>
    <cellStyle name="Title 3" xfId="363"/>
    <cellStyle name="Total 2" xfId="105"/>
    <cellStyle name="Total 2 2" xfId="365"/>
    <cellStyle name="Total 2_Rate Sheet" xfId="364"/>
    <cellStyle name="Total 3" xfId="366"/>
    <cellStyle name="Total 3 2" xfId="414"/>
    <cellStyle name="Warning Text 2" xfId="367"/>
    <cellStyle name="Warning Text 3" xfId="368"/>
    <cellStyle name="WM_STANDARD" xfId="369"/>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RC%20Reports\SRC%20Format\Bonus%20Schedule\PNWR%20SRC%20Bonus%20Schedule%20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cinf05\DistShares\WCNX%20Stuff\Excel\Financials\Excel%20Financials\ExcelFinanci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cinf06\sacshare\Data_Automation\DMS\RouteManagerReports\RM_MM001_Query_v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nnual%20Reports\2180%20LeMay\2009\LeMay%20Annual%20Report%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 val="User"/>
      <sheetName val="Settings"/>
      <sheetName val="Orientation"/>
      <sheetName val="Delivery"/>
      <sheetName val="RptClose"/>
      <sheetName val="Hidd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ControlPanel"/>
      <sheetName val="PL_ActReview"/>
      <sheetName val="BS_Close"/>
      <sheetName val="PL_ActTranx"/>
      <sheetName val="JE_Review"/>
      <sheetName val="PL_CloseByDay"/>
      <sheetName val="PL_IS200"/>
      <sheetName val="PL_IS210"/>
      <sheetName val="PL_ActByDistrict"/>
      <sheetName val="PL_ProjReview"/>
    </sheetNames>
    <sheetDataSet>
      <sheetData sheetId="0"/>
      <sheetData sheetId="1">
        <row r="2">
          <cell r="X2" t="str">
            <v>P&amp;L Close Report</v>
          </cell>
          <cell r="Z2" t="str">
            <v>Consolidated</v>
          </cell>
        </row>
        <row r="3">
          <cell r="X3" t="str">
            <v>BS Close Report</v>
          </cell>
          <cell r="Z3" t="str">
            <v>Region</v>
          </cell>
        </row>
        <row r="4">
          <cell r="X4" t="str">
            <v>P&amp;L Tranx Report</v>
          </cell>
          <cell r="Z4" t="str">
            <v>District</v>
          </cell>
        </row>
        <row r="5">
          <cell r="X5" t="str">
            <v>P&amp;L Close by Day</v>
          </cell>
          <cell r="Z5" t="str">
            <v>Multiple Districts</v>
          </cell>
        </row>
        <row r="6">
          <cell r="X6" t="str">
            <v>JE Review Report</v>
          </cell>
        </row>
        <row r="7">
          <cell r="X7" t="str">
            <v>IS200 Report</v>
          </cell>
        </row>
        <row r="8">
          <cell r="X8" t="str">
            <v>IS210 Report</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001Tranx"/>
      <sheetName val="JEexport"/>
      <sheetName val="Intro Memo"/>
      <sheetName val="JE_Summary"/>
      <sheetName val="Mth00"/>
      <sheetName val="Mth01"/>
      <sheetName val="Mth02"/>
      <sheetName val="Mth03"/>
      <sheetName val="Mth04"/>
      <sheetName val="Mth05"/>
      <sheetName val="Mth06"/>
      <sheetName val="Mth07"/>
      <sheetName val="Mth08"/>
      <sheetName val="Mth09"/>
      <sheetName val="Mth10"/>
      <sheetName val="Mth11"/>
      <sheetName val="Mth12"/>
      <sheetName val="TEST"/>
      <sheetName val="To Do"/>
      <sheetName val="GLMapping"/>
      <sheetName val="BatchLog"/>
      <sheetName val="Reference"/>
    </sheetNames>
    <sheetDataSet>
      <sheetData sheetId="0"/>
      <sheetData sheetId="1" refreshError="1">
        <row r="9">
          <cell r="L9">
            <v>11501</v>
          </cell>
        </row>
        <row r="10">
          <cell r="L10" t="str">
            <v>11501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A, Certification"/>
      <sheetName val="OrgControl"/>
      <sheetName val="InsuranceAccident"/>
      <sheetName val="bsasset"/>
      <sheetName val="bsliab"/>
      <sheetName val="FixedAssets"/>
      <sheetName val="RetainedEarnings"/>
      <sheetName val="Income Statement"/>
      <sheetName val="RevenuesCust"/>
      <sheetName val="Recycle"/>
      <sheetName val="contracts"/>
      <sheetName val="GarbageDisp"/>
      <sheetName val="RecycleProcessing"/>
      <sheetName val="Payroll"/>
      <sheetName val="Fee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tabSelected="1" zoomScale="85" zoomScaleNormal="85" workbookViewId="0">
      <selection activeCell="M52" sqref="M52"/>
    </sheetView>
  </sheetViews>
  <sheetFormatPr defaultColWidth="9.140625" defaultRowHeight="15"/>
  <cols>
    <col min="1" max="1" width="36.28515625" style="10" bestFit="1" customWidth="1"/>
    <col min="2" max="2" width="19" style="10" bestFit="1" customWidth="1"/>
    <col min="3" max="3" width="16" style="10" bestFit="1" customWidth="1"/>
    <col min="4" max="4" width="12.5703125" style="10" bestFit="1" customWidth="1"/>
    <col min="5" max="5" width="11.5703125" style="10" customWidth="1"/>
    <col min="6" max="6" width="11.42578125" style="10" bestFit="1" customWidth="1"/>
    <col min="7" max="7" width="10" style="10" bestFit="1" customWidth="1"/>
    <col min="8" max="8" width="8" style="10" bestFit="1" customWidth="1"/>
    <col min="9" max="9" width="4.7109375" style="10" customWidth="1"/>
    <col min="10" max="10" width="28" style="10" bestFit="1" customWidth="1"/>
    <col min="11" max="16384" width="9.140625" style="10"/>
  </cols>
  <sheetData>
    <row r="1" spans="1:10">
      <c r="A1" s="1" t="s">
        <v>437</v>
      </c>
    </row>
    <row r="2" spans="1:10">
      <c r="A2" s="1" t="s">
        <v>436</v>
      </c>
    </row>
    <row r="3" spans="1:10">
      <c r="A3" s="1" t="s">
        <v>661</v>
      </c>
    </row>
    <row r="5" spans="1:10">
      <c r="A5" s="385" t="s">
        <v>532</v>
      </c>
      <c r="B5" s="385"/>
      <c r="C5" s="385"/>
      <c r="D5" s="385"/>
      <c r="E5" s="385"/>
      <c r="F5" s="385"/>
      <c r="G5" s="385"/>
      <c r="H5" s="385"/>
    </row>
    <row r="6" spans="1:10">
      <c r="A6" s="10" t="s">
        <v>533</v>
      </c>
      <c r="B6" s="11" t="s">
        <v>534</v>
      </c>
      <c r="C6" s="11" t="s">
        <v>535</v>
      </c>
      <c r="D6" s="11" t="s">
        <v>536</v>
      </c>
      <c r="E6" s="12" t="s">
        <v>537</v>
      </c>
      <c r="F6" s="12" t="s">
        <v>538</v>
      </c>
      <c r="G6" s="12" t="s">
        <v>539</v>
      </c>
      <c r="H6" s="11" t="s">
        <v>540</v>
      </c>
      <c r="J6" s="178" t="s">
        <v>647</v>
      </c>
    </row>
    <row r="7" spans="1:10">
      <c r="A7" s="10" t="s">
        <v>541</v>
      </c>
      <c r="B7" s="3">
        <f>52*5/12</f>
        <v>21.666666666666668</v>
      </c>
      <c r="C7" s="13">
        <f>$B$7*2</f>
        <v>43.333333333333336</v>
      </c>
      <c r="D7" s="13">
        <f>$B$7*3</f>
        <v>65</v>
      </c>
      <c r="E7" s="13">
        <f>$B$7*4</f>
        <v>86.666666666666671</v>
      </c>
      <c r="F7" s="13">
        <f>$B$7*5</f>
        <v>108.33333333333334</v>
      </c>
      <c r="G7" s="13">
        <f>$B$7*6</f>
        <v>130</v>
      </c>
      <c r="H7" s="13">
        <f>$B$7*7</f>
        <v>151.66666666666669</v>
      </c>
      <c r="J7" s="14">
        <f>B7-1</f>
        <v>20.666666666666668</v>
      </c>
    </row>
    <row r="8" spans="1:10">
      <c r="A8" s="10" t="s">
        <v>542</v>
      </c>
      <c r="B8" s="3">
        <f>52*4/12</f>
        <v>17.333333333333332</v>
      </c>
      <c r="C8" s="13">
        <f>$B$8*2</f>
        <v>34.666666666666664</v>
      </c>
      <c r="D8" s="13">
        <f>$B$8*3</f>
        <v>52</v>
      </c>
      <c r="E8" s="13">
        <f>$B$8*4</f>
        <v>69.333333333333329</v>
      </c>
      <c r="F8" s="13">
        <f>$B$8*5</f>
        <v>86.666666666666657</v>
      </c>
      <c r="G8" s="13">
        <f>$B$8*6</f>
        <v>104</v>
      </c>
      <c r="H8" s="13">
        <f>$B$8*7</f>
        <v>121.33333333333333</v>
      </c>
      <c r="J8" s="14">
        <f>B8-1</f>
        <v>16.333333333333332</v>
      </c>
    </row>
    <row r="9" spans="1:10">
      <c r="A9" s="10" t="s">
        <v>543</v>
      </c>
      <c r="B9" s="3">
        <f>52*3/12</f>
        <v>13</v>
      </c>
      <c r="C9" s="13">
        <f>$B$9*2</f>
        <v>26</v>
      </c>
      <c r="D9" s="13">
        <f>$B$9*3</f>
        <v>39</v>
      </c>
      <c r="E9" s="13">
        <f>$B$9*4</f>
        <v>52</v>
      </c>
      <c r="F9" s="13">
        <f>$B$9*5</f>
        <v>65</v>
      </c>
      <c r="G9" s="13">
        <f>$B$9*6</f>
        <v>78</v>
      </c>
      <c r="H9" s="13">
        <f>$B$9*7</f>
        <v>91</v>
      </c>
      <c r="J9" s="14">
        <f>B9-1</f>
        <v>12</v>
      </c>
    </row>
    <row r="10" spans="1:10">
      <c r="A10" s="10" t="s">
        <v>544</v>
      </c>
      <c r="B10" s="3">
        <f>52*2/12</f>
        <v>8.6666666666666661</v>
      </c>
      <c r="C10" s="14">
        <f>$B$10*2</f>
        <v>17.333333333333332</v>
      </c>
      <c r="D10" s="14">
        <f>$B$10*3</f>
        <v>26</v>
      </c>
      <c r="E10" s="14">
        <f>$B$10*4</f>
        <v>34.666666666666664</v>
      </c>
      <c r="F10" s="14">
        <f>$B$10*5</f>
        <v>43.333333333333329</v>
      </c>
      <c r="G10" s="14">
        <f>$B$10*6</f>
        <v>52</v>
      </c>
      <c r="H10" s="14">
        <f>$B$10*7</f>
        <v>60.666666666666664</v>
      </c>
      <c r="J10" s="14">
        <f>B10-1</f>
        <v>7.6666666666666661</v>
      </c>
    </row>
    <row r="11" spans="1:10">
      <c r="A11" s="10" t="s">
        <v>545</v>
      </c>
      <c r="B11" s="3">
        <f>52/12</f>
        <v>4.333333333333333</v>
      </c>
      <c r="C11" s="14">
        <f>$B$11*2</f>
        <v>8.6666666666666661</v>
      </c>
      <c r="D11" s="14">
        <f>$B$11*3</f>
        <v>13</v>
      </c>
      <c r="E11" s="14">
        <f>$B$11*4</f>
        <v>17.333333333333332</v>
      </c>
      <c r="F11" s="14">
        <f>$B$11*5</f>
        <v>21.666666666666664</v>
      </c>
      <c r="G11" s="14">
        <f>$B$11*6</f>
        <v>26</v>
      </c>
      <c r="H11" s="14">
        <f>$B$11*7</f>
        <v>30.333333333333332</v>
      </c>
      <c r="J11" s="14">
        <f>B11-1</f>
        <v>3.333333333333333</v>
      </c>
    </row>
    <row r="12" spans="1:10">
      <c r="A12" s="10" t="s">
        <v>546</v>
      </c>
      <c r="B12" s="3">
        <f>26/12</f>
        <v>2.1666666666666665</v>
      </c>
      <c r="C12" s="14">
        <f>$B$12*2</f>
        <v>4.333333333333333</v>
      </c>
      <c r="D12" s="14">
        <f>$B$12*3</f>
        <v>6.5</v>
      </c>
      <c r="E12" s="14">
        <f>$B$12*4</f>
        <v>8.6666666666666661</v>
      </c>
      <c r="F12" s="14">
        <f>$B$12*5</f>
        <v>10.833333333333332</v>
      </c>
      <c r="G12" s="14">
        <f>$B$12*6</f>
        <v>13</v>
      </c>
      <c r="H12" s="14">
        <f>$B$12*7</f>
        <v>15.166666666666666</v>
      </c>
    </row>
    <row r="13" spans="1:10">
      <c r="A13" s="10" t="s">
        <v>547</v>
      </c>
      <c r="B13" s="3">
        <f>12/12</f>
        <v>1</v>
      </c>
      <c r="C13" s="14">
        <f>$B$13*2</f>
        <v>2</v>
      </c>
      <c r="D13" s="14">
        <f>$B$13*3</f>
        <v>3</v>
      </c>
      <c r="E13" s="14">
        <f>$B$13*4</f>
        <v>4</v>
      </c>
      <c r="F13" s="14">
        <f>$B$13*5</f>
        <v>5</v>
      </c>
      <c r="G13" s="14">
        <f>$B$13*6</f>
        <v>6</v>
      </c>
      <c r="H13" s="14">
        <f>$B$13*7</f>
        <v>7</v>
      </c>
    </row>
    <row r="14" spans="1:10">
      <c r="B14" s="3"/>
      <c r="C14" s="14"/>
      <c r="D14" s="14"/>
      <c r="E14" s="14"/>
      <c r="F14" s="14"/>
      <c r="G14" s="14"/>
      <c r="H14" s="14"/>
    </row>
    <row r="15" spans="1:10">
      <c r="B15" s="3"/>
      <c r="C15" s="3"/>
      <c r="D15" s="3"/>
      <c r="E15" s="3"/>
      <c r="F15" s="3"/>
      <c r="G15" s="3"/>
      <c r="H15" s="3"/>
    </row>
    <row r="16" spans="1:10">
      <c r="B16" s="3"/>
      <c r="C16" s="14"/>
      <c r="D16" s="14"/>
      <c r="E16" s="14"/>
      <c r="F16" s="14"/>
      <c r="G16" s="14"/>
      <c r="H16" s="14"/>
    </row>
    <row r="17" spans="1:8">
      <c r="A17" s="385" t="s">
        <v>548</v>
      </c>
      <c r="B17" s="385"/>
      <c r="C17" s="14"/>
      <c r="D17" s="14"/>
      <c r="E17" s="14"/>
      <c r="F17" s="14"/>
      <c r="G17" s="14"/>
      <c r="H17" s="14"/>
    </row>
    <row r="18" spans="1:8">
      <c r="A18" s="1" t="s">
        <v>549</v>
      </c>
      <c r="B18" s="15" t="s">
        <v>550</v>
      </c>
      <c r="C18" s="14"/>
      <c r="D18" s="14"/>
      <c r="E18" s="14"/>
      <c r="F18" s="14"/>
      <c r="G18" s="14"/>
      <c r="H18" s="14"/>
    </row>
    <row r="19" spans="1:8">
      <c r="A19" s="16" t="s">
        <v>551</v>
      </c>
      <c r="B19" s="17">
        <v>20</v>
      </c>
      <c r="C19" s="14"/>
      <c r="D19" s="14"/>
      <c r="E19" s="14"/>
      <c r="F19" s="14"/>
      <c r="G19" s="14"/>
      <c r="H19" s="14"/>
    </row>
    <row r="20" spans="1:8">
      <c r="A20" s="16" t="s">
        <v>552</v>
      </c>
      <c r="B20" s="17">
        <v>34</v>
      </c>
      <c r="C20" s="14"/>
      <c r="D20" s="14"/>
      <c r="E20" s="14"/>
      <c r="F20" s="14"/>
      <c r="G20" s="14"/>
      <c r="H20" s="14"/>
    </row>
    <row r="21" spans="1:8">
      <c r="A21" s="16" t="s">
        <v>553</v>
      </c>
      <c r="B21" s="17">
        <v>51</v>
      </c>
      <c r="C21" s="14"/>
      <c r="D21" s="14"/>
      <c r="E21" s="14"/>
      <c r="F21" s="14"/>
      <c r="G21" s="14"/>
      <c r="H21" s="14"/>
    </row>
    <row r="22" spans="1:8">
      <c r="A22" s="16" t="s">
        <v>554</v>
      </c>
      <c r="B22" s="17">
        <v>77</v>
      </c>
      <c r="C22" s="14"/>
      <c r="D22" s="14"/>
      <c r="E22" s="14"/>
      <c r="F22" s="10" t="s">
        <v>555</v>
      </c>
      <c r="G22" s="17">
        <v>2000</v>
      </c>
      <c r="H22" s="14"/>
    </row>
    <row r="23" spans="1:8">
      <c r="A23" s="16" t="s">
        <v>556</v>
      </c>
      <c r="B23" s="17">
        <v>97</v>
      </c>
      <c r="C23" s="14"/>
      <c r="D23" s="14"/>
      <c r="E23" s="14"/>
      <c r="F23" s="10" t="s">
        <v>557</v>
      </c>
      <c r="G23" s="18" t="s">
        <v>558</v>
      </c>
      <c r="H23" s="14"/>
    </row>
    <row r="24" spans="1:8">
      <c r="A24" s="16" t="s">
        <v>559</v>
      </c>
      <c r="B24" s="17">
        <v>117</v>
      </c>
      <c r="C24" s="14"/>
      <c r="D24" s="14"/>
      <c r="E24" s="14"/>
      <c r="H24" s="14"/>
    </row>
    <row r="25" spans="1:8">
      <c r="A25" s="16" t="s">
        <v>560</v>
      </c>
      <c r="B25" s="17">
        <v>157</v>
      </c>
      <c r="C25" s="14"/>
      <c r="D25" s="14"/>
      <c r="E25" s="14"/>
      <c r="F25" s="162" t="s">
        <v>654</v>
      </c>
      <c r="G25" s="163">
        <v>12</v>
      </c>
      <c r="H25" s="14"/>
    </row>
    <row r="26" spans="1:8">
      <c r="A26" s="16" t="s">
        <v>561</v>
      </c>
      <c r="B26" s="17">
        <v>37</v>
      </c>
      <c r="C26" s="14" t="s">
        <v>562</v>
      </c>
      <c r="D26" s="14"/>
      <c r="E26" s="14"/>
      <c r="F26" s="19"/>
      <c r="G26" s="20"/>
      <c r="H26" s="14"/>
    </row>
    <row r="27" spans="1:8">
      <c r="A27" s="16" t="s">
        <v>563</v>
      </c>
      <c r="B27" s="17">
        <v>47</v>
      </c>
      <c r="C27" s="14"/>
      <c r="D27" s="14"/>
      <c r="E27" s="14"/>
      <c r="F27" s="14"/>
      <c r="G27" s="14"/>
      <c r="H27" s="14"/>
    </row>
    <row r="28" spans="1:8">
      <c r="A28" s="16" t="s">
        <v>564</v>
      </c>
      <c r="B28" s="17">
        <v>68</v>
      </c>
      <c r="C28" s="14"/>
      <c r="D28" s="14"/>
      <c r="E28" s="14"/>
      <c r="F28" s="14"/>
      <c r="G28" s="14"/>
      <c r="H28" s="14"/>
    </row>
    <row r="29" spans="1:8">
      <c r="A29" s="16" t="s">
        <v>565</v>
      </c>
      <c r="B29" s="17">
        <v>34</v>
      </c>
      <c r="C29" s="14"/>
      <c r="D29" s="14"/>
      <c r="E29" s="14"/>
      <c r="F29" s="14"/>
      <c r="G29" s="14"/>
      <c r="H29" s="14"/>
    </row>
    <row r="30" spans="1:8">
      <c r="A30" s="16" t="s">
        <v>566</v>
      </c>
      <c r="B30" s="17">
        <v>34</v>
      </c>
      <c r="C30" s="14"/>
      <c r="D30" s="14"/>
      <c r="E30" s="14"/>
      <c r="F30" s="14"/>
      <c r="G30" s="14"/>
      <c r="H30" s="14"/>
    </row>
    <row r="31" spans="1:8">
      <c r="A31" s="16" t="s">
        <v>655</v>
      </c>
      <c r="B31" s="17">
        <v>40</v>
      </c>
      <c r="C31" s="14" t="s">
        <v>577</v>
      </c>
      <c r="D31" s="14"/>
      <c r="E31" s="14"/>
      <c r="F31" s="14"/>
      <c r="G31" s="14"/>
      <c r="H31" s="14"/>
    </row>
    <row r="32" spans="1:8">
      <c r="A32" s="1" t="s">
        <v>567</v>
      </c>
      <c r="B32" s="17"/>
      <c r="C32" s="164" t="s">
        <v>656</v>
      </c>
      <c r="D32" s="164" t="s">
        <v>657</v>
      </c>
      <c r="E32" s="164" t="s">
        <v>658</v>
      </c>
      <c r="F32" s="164" t="s">
        <v>659</v>
      </c>
      <c r="G32" s="14"/>
      <c r="H32" s="14"/>
    </row>
    <row r="33" spans="1:8">
      <c r="A33" s="16" t="s">
        <v>568</v>
      </c>
      <c r="B33" s="17">
        <v>29</v>
      </c>
      <c r="C33" s="165">
        <f>B33*2</f>
        <v>58</v>
      </c>
      <c r="D33" s="165">
        <f>B33*3</f>
        <v>87</v>
      </c>
      <c r="E33" s="165">
        <f>B33*4</f>
        <v>116</v>
      </c>
      <c r="F33" s="165">
        <f>B33*5</f>
        <v>145</v>
      </c>
      <c r="G33" s="14"/>
      <c r="H33" s="14"/>
    </row>
    <row r="34" spans="1:8">
      <c r="A34" s="16" t="s">
        <v>569</v>
      </c>
      <c r="B34" s="17">
        <v>175</v>
      </c>
      <c r="C34" s="14"/>
      <c r="D34" s="14"/>
      <c r="E34" s="14"/>
      <c r="F34" s="14"/>
      <c r="G34" s="14"/>
      <c r="H34" s="14"/>
    </row>
    <row r="35" spans="1:8">
      <c r="A35" s="16" t="s">
        <v>570</v>
      </c>
      <c r="B35" s="17">
        <v>250</v>
      </c>
      <c r="C35" s="14"/>
      <c r="D35" s="14"/>
      <c r="E35" s="14"/>
      <c r="F35" s="14"/>
      <c r="G35" s="14"/>
      <c r="H35" s="14"/>
    </row>
    <row r="36" spans="1:8">
      <c r="A36" s="16" t="s">
        <v>571</v>
      </c>
      <c r="B36" s="17">
        <v>324</v>
      </c>
      <c r="C36" s="14"/>
      <c r="D36" s="14"/>
      <c r="E36" s="14"/>
      <c r="F36" s="14"/>
      <c r="G36" s="14"/>
      <c r="H36" s="14"/>
    </row>
    <row r="37" spans="1:8">
      <c r="A37" s="16" t="s">
        <v>572</v>
      </c>
      <c r="B37" s="17">
        <v>473</v>
      </c>
      <c r="C37" s="14"/>
      <c r="D37" s="14"/>
      <c r="E37" s="14"/>
      <c r="F37" s="14"/>
      <c r="G37" s="14"/>
      <c r="H37" s="14"/>
    </row>
    <row r="38" spans="1:8">
      <c r="A38" s="16" t="s">
        <v>573</v>
      </c>
      <c r="B38" s="17">
        <v>613</v>
      </c>
      <c r="C38" s="14"/>
      <c r="D38" s="14"/>
      <c r="E38" s="14"/>
      <c r="F38" s="14"/>
      <c r="G38" s="14"/>
      <c r="H38" s="14"/>
    </row>
    <row r="39" spans="1:8">
      <c r="A39" s="16" t="s">
        <v>574</v>
      </c>
      <c r="B39" s="17">
        <v>840</v>
      </c>
      <c r="C39" s="14"/>
      <c r="D39" s="14"/>
      <c r="E39" s="14"/>
      <c r="F39" s="14"/>
      <c r="G39" s="14"/>
      <c r="H39" s="14"/>
    </row>
    <row r="40" spans="1:8">
      <c r="A40" s="16" t="s">
        <v>575</v>
      </c>
      <c r="B40" s="17">
        <v>980</v>
      </c>
      <c r="C40" s="14"/>
      <c r="D40" s="14"/>
      <c r="E40" s="14"/>
      <c r="F40" s="14"/>
      <c r="G40" s="14"/>
      <c r="H40" s="14"/>
    </row>
    <row r="41" spans="1:8">
      <c r="A41" s="16" t="s">
        <v>576</v>
      </c>
      <c r="B41" s="17">
        <v>482</v>
      </c>
      <c r="C41" s="14" t="s">
        <v>577</v>
      </c>
      <c r="D41" s="14"/>
      <c r="E41" s="14"/>
      <c r="F41" s="14"/>
      <c r="G41" s="14"/>
      <c r="H41" s="14"/>
    </row>
    <row r="42" spans="1:8">
      <c r="A42" s="16" t="s">
        <v>578</v>
      </c>
      <c r="B42" s="17">
        <v>689</v>
      </c>
      <c r="C42" s="14" t="s">
        <v>577</v>
      </c>
      <c r="D42" s="14"/>
      <c r="E42" s="14"/>
      <c r="F42" s="14"/>
      <c r="G42" s="14"/>
      <c r="H42" s="14"/>
    </row>
    <row r="43" spans="1:8">
      <c r="A43" s="16" t="s">
        <v>579</v>
      </c>
      <c r="B43" s="17">
        <v>892</v>
      </c>
      <c r="C43" s="14" t="s">
        <v>577</v>
      </c>
      <c r="D43" s="14"/>
      <c r="E43" s="14"/>
      <c r="F43" s="14"/>
      <c r="G43" s="14"/>
      <c r="H43" s="14"/>
    </row>
    <row r="44" spans="1:8">
      <c r="A44" s="16" t="s">
        <v>580</v>
      </c>
      <c r="B44" s="17">
        <v>1301</v>
      </c>
      <c r="C44" s="14"/>
      <c r="D44" s="14"/>
      <c r="E44" s="14"/>
      <c r="F44" s="14"/>
      <c r="G44" s="14"/>
      <c r="H44" s="14"/>
    </row>
    <row r="45" spans="1:8">
      <c r="A45" s="16" t="s">
        <v>581</v>
      </c>
      <c r="B45" s="17">
        <v>1686</v>
      </c>
      <c r="C45" s="14"/>
      <c r="D45" s="14"/>
      <c r="E45" s="14"/>
      <c r="F45" s="14"/>
      <c r="G45" s="14"/>
      <c r="H45" s="14"/>
    </row>
    <row r="46" spans="1:8">
      <c r="A46" s="16" t="s">
        <v>582</v>
      </c>
      <c r="B46" s="17">
        <v>2046</v>
      </c>
      <c r="C46" s="14"/>
      <c r="D46" s="14"/>
      <c r="E46" s="14"/>
      <c r="F46" s="14"/>
      <c r="G46" s="14"/>
      <c r="H46" s="14"/>
    </row>
    <row r="47" spans="1:8">
      <c r="A47" s="16" t="s">
        <v>583</v>
      </c>
      <c r="B47" s="17">
        <v>2310</v>
      </c>
      <c r="C47" s="14"/>
      <c r="D47" s="14"/>
      <c r="E47" s="14"/>
      <c r="F47" s="14"/>
      <c r="G47" s="14"/>
      <c r="H47" s="14"/>
    </row>
    <row r="48" spans="1:8">
      <c r="A48" s="16" t="s">
        <v>584</v>
      </c>
      <c r="B48" s="17">
        <v>2800</v>
      </c>
      <c r="C48" s="14" t="s">
        <v>577</v>
      </c>
      <c r="D48" s="14"/>
      <c r="E48" s="14"/>
      <c r="F48" s="14"/>
      <c r="G48" s="14"/>
      <c r="H48" s="14"/>
    </row>
    <row r="49" spans="1:8">
      <c r="A49" s="16" t="s">
        <v>585</v>
      </c>
      <c r="B49" s="17">
        <v>125</v>
      </c>
      <c r="C49" s="14"/>
      <c r="D49" s="14"/>
      <c r="E49" s="14"/>
      <c r="F49" s="14"/>
      <c r="G49" s="14"/>
      <c r="H49" s="14"/>
    </row>
    <row r="50" spans="1:8">
      <c r="B50" s="386" t="s">
        <v>586</v>
      </c>
      <c r="C50" s="386"/>
    </row>
    <row r="53" spans="1:8">
      <c r="A53" s="21" t="s">
        <v>626</v>
      </c>
      <c r="B53" s="167" t="s">
        <v>643</v>
      </c>
      <c r="C53" s="174" t="s">
        <v>587</v>
      </c>
      <c r="D53" s="174" t="s">
        <v>625</v>
      </c>
      <c r="E53" s="174" t="s">
        <v>587</v>
      </c>
      <c r="F53" s="387" t="s">
        <v>588</v>
      </c>
      <c r="G53" s="387"/>
    </row>
    <row r="54" spans="1:8">
      <c r="A54" s="173" t="s">
        <v>589</v>
      </c>
      <c r="B54" s="168">
        <v>153.47999999999999</v>
      </c>
      <c r="C54" s="125">
        <f>B54/2000</f>
        <v>7.6739999999999989E-2</v>
      </c>
      <c r="D54" s="129">
        <v>104.59</v>
      </c>
      <c r="E54" s="125">
        <f>D54/2000</f>
        <v>5.2295000000000001E-2</v>
      </c>
      <c r="F54" s="10" t="s">
        <v>590</v>
      </c>
      <c r="G54" s="23">
        <f>0.015</f>
        <v>1.4999999999999999E-2</v>
      </c>
    </row>
    <row r="55" spans="1:8">
      <c r="A55" s="173" t="s">
        <v>591</v>
      </c>
      <c r="B55" s="126">
        <v>157.38</v>
      </c>
      <c r="C55" s="127">
        <f>B55/2000</f>
        <v>7.8689999999999996E-2</v>
      </c>
      <c r="D55" s="130">
        <v>107.83</v>
      </c>
      <c r="E55" s="127">
        <f>D55/2000</f>
        <v>5.3914999999999998E-2</v>
      </c>
      <c r="F55" s="10" t="s">
        <v>592</v>
      </c>
      <c r="G55" s="24">
        <f>0.0051</f>
        <v>5.1000000000000004E-3</v>
      </c>
    </row>
    <row r="56" spans="1:8">
      <c r="A56" s="16" t="s">
        <v>438</v>
      </c>
      <c r="B56" s="124">
        <f>B55-B54</f>
        <v>3.9000000000000057</v>
      </c>
      <c r="C56" s="128">
        <f>C55-C54</f>
        <v>1.9500000000000073E-3</v>
      </c>
      <c r="D56" s="131">
        <f>D55-D54</f>
        <v>3.2399999999999949</v>
      </c>
      <c r="E56" s="128">
        <f>E55-E54</f>
        <v>1.6199999999999964E-3</v>
      </c>
      <c r="F56" s="10" t="s">
        <v>593</v>
      </c>
      <c r="G56" s="25"/>
    </row>
    <row r="57" spans="1:8">
      <c r="B57" s="138">
        <f>B56/B54</f>
        <v>2.5410476935105591E-2</v>
      </c>
      <c r="C57" s="1"/>
      <c r="D57" s="138">
        <f>D56/D54</f>
        <v>3.0978104981355722E-2</v>
      </c>
      <c r="F57" s="10" t="s">
        <v>366</v>
      </c>
      <c r="G57" s="26">
        <f>SUM(G54:G56)</f>
        <v>2.01E-2</v>
      </c>
    </row>
    <row r="58" spans="1:8">
      <c r="B58" s="138"/>
      <c r="C58" s="1"/>
      <c r="D58" s="138"/>
      <c r="G58" s="26"/>
    </row>
    <row r="59" spans="1:8">
      <c r="B59" s="138"/>
      <c r="C59" s="1"/>
      <c r="D59" s="138"/>
      <c r="F59" s="10" t="s">
        <v>429</v>
      </c>
      <c r="G59" s="28">
        <f>1-G57</f>
        <v>0.97989999999999999</v>
      </c>
    </row>
    <row r="60" spans="1:8">
      <c r="B60" s="22" t="s">
        <v>594</v>
      </c>
      <c r="C60" s="22" t="s">
        <v>625</v>
      </c>
      <c r="D60" s="22" t="s">
        <v>648</v>
      </c>
    </row>
    <row r="61" spans="1:8">
      <c r="A61" s="10" t="s">
        <v>595</v>
      </c>
      <c r="B61" s="27">
        <f>B56</f>
        <v>3.9000000000000057</v>
      </c>
      <c r="C61" s="27">
        <f>D56</f>
        <v>3.2399999999999949</v>
      </c>
      <c r="D61" s="27">
        <f>B56</f>
        <v>3.9000000000000057</v>
      </c>
    </row>
    <row r="62" spans="1:8">
      <c r="A62" s="10" t="s">
        <v>596</v>
      </c>
      <c r="B62" s="27">
        <f>B61/$G$59</f>
        <v>3.9799979589754115</v>
      </c>
      <c r="C62" s="27">
        <f>C61/$G$59</f>
        <v>3.3064598428411012</v>
      </c>
    </row>
    <row r="63" spans="1:8">
      <c r="A63" s="10" t="s">
        <v>597</v>
      </c>
      <c r="B63" s="29">
        <f>'PCR Disposal'!N24</f>
        <v>66100.327620506214</v>
      </c>
      <c r="C63" s="106">
        <f>'EQR Disposal'!B22</f>
        <v>4850.3900000000003</v>
      </c>
      <c r="D63" s="139">
        <f>'PCR Disposal'!N18</f>
        <v>18962.592042387601</v>
      </c>
    </row>
    <row r="64" spans="1:8">
      <c r="A64" s="1" t="s">
        <v>598</v>
      </c>
      <c r="B64" s="30">
        <f>B62*B63</f>
        <v>263079.16901722073</v>
      </c>
      <c r="C64" s="30">
        <f t="shared" ref="C64" si="0">C62*C63</f>
        <v>16037.619757118049</v>
      </c>
      <c r="D64" s="30">
        <f>D61*D63</f>
        <v>73954.108965311752</v>
      </c>
    </row>
    <row r="65" spans="1:4">
      <c r="C65" s="30"/>
    </row>
    <row r="67" spans="1:4" ht="15.75" thickBot="1"/>
    <row r="68" spans="1:4">
      <c r="A68" s="31" t="s">
        <v>599</v>
      </c>
      <c r="B68" s="32" t="s">
        <v>600</v>
      </c>
      <c r="C68" s="140" t="s">
        <v>625</v>
      </c>
      <c r="D68" s="27"/>
    </row>
    <row r="69" spans="1:4">
      <c r="A69" s="33" t="s">
        <v>601</v>
      </c>
      <c r="B69" s="34">
        <f>'Disposal Calc'!Q124</f>
        <v>263374.76006127393</v>
      </c>
      <c r="C69" s="141">
        <f>'Disposal Calc'!Q131</f>
        <v>16040.072341206178</v>
      </c>
    </row>
    <row r="70" spans="1:4">
      <c r="A70" s="33" t="s">
        <v>602</v>
      </c>
      <c r="B70" s="169">
        <f>B69-B64</f>
        <v>295.59104405320249</v>
      </c>
      <c r="C70" s="170">
        <f>C69-C64</f>
        <v>2.4525840881287877</v>
      </c>
    </row>
    <row r="71" spans="1:4">
      <c r="A71" s="33"/>
      <c r="B71" s="35"/>
      <c r="C71" s="142"/>
    </row>
    <row r="72" spans="1:4">
      <c r="A72" s="36" t="s">
        <v>603</v>
      </c>
      <c r="B72" s="37" t="s">
        <v>600</v>
      </c>
      <c r="C72" s="143" t="s">
        <v>625</v>
      </c>
    </row>
    <row r="73" spans="1:4">
      <c r="A73" s="33" t="s">
        <v>604</v>
      </c>
      <c r="B73" s="34"/>
      <c r="C73" s="144"/>
    </row>
    <row r="74" spans="1:4" ht="15.75" thickBot="1">
      <c r="A74" s="38" t="s">
        <v>602</v>
      </c>
      <c r="B74" s="39"/>
      <c r="C74" s="145"/>
    </row>
    <row r="76" spans="1:4">
      <c r="A76" s="51"/>
      <c r="B76" s="27"/>
      <c r="C76" s="27"/>
    </row>
  </sheetData>
  <mergeCells count="4">
    <mergeCell ref="A5:H5"/>
    <mergeCell ref="A17:B17"/>
    <mergeCell ref="B50:C50"/>
    <mergeCell ref="F53:G53"/>
  </mergeCells>
  <pageMargins left="0.7" right="0.7" top="0.75" bottom="0.75" header="0.3" footer="0.3"/>
  <pageSetup scale="57" orientation="portrait" r:id="rId1"/>
  <headerFooter>
    <oddFooter>&amp;L&amp;F - &amp;A&amp;R&amp;P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65"/>
  <sheetViews>
    <sheetView zoomScale="85" zoomScaleNormal="85" workbookViewId="0">
      <pane xSplit="3" ySplit="7" topLeftCell="D116" activePane="bottomRight" state="frozen"/>
      <selection pane="topRight" activeCell="D1" sqref="D1"/>
      <selection pane="bottomLeft" activeCell="A8" sqref="A8"/>
      <selection pane="bottomRight" activeCell="N146" sqref="N146"/>
    </sheetView>
  </sheetViews>
  <sheetFormatPr defaultColWidth="8.85546875" defaultRowHeight="15"/>
  <cols>
    <col min="1" max="1" width="4.5703125" style="43" customWidth="1"/>
    <col min="2" max="2" width="10.85546875" style="75" bestFit="1" customWidth="1"/>
    <col min="3" max="3" width="31.7109375" style="43" bestFit="1" customWidth="1"/>
    <col min="4" max="4" width="16.28515625" style="152" customWidth="1"/>
    <col min="5" max="5" width="13" style="43" customWidth="1"/>
    <col min="6" max="6" width="11.28515625" style="43" bestFit="1" customWidth="1"/>
    <col min="7" max="7" width="14.5703125" style="43" bestFit="1" customWidth="1"/>
    <col min="8" max="8" width="14.42578125" style="43" customWidth="1"/>
    <col min="9" max="9" width="14.7109375" style="74" customWidth="1"/>
    <col min="10" max="10" width="14.28515625" style="43" customWidth="1"/>
    <col min="11" max="11" width="14.7109375" style="43" customWidth="1"/>
    <col min="12" max="12" width="9.85546875" style="43" bestFit="1" customWidth="1"/>
    <col min="13" max="13" width="16.7109375" style="43" bestFit="1" customWidth="1"/>
    <col min="14" max="14" width="15.28515625" style="43" customWidth="1"/>
    <col min="15" max="15" width="16.140625" style="43" bestFit="1" customWidth="1"/>
    <col min="16" max="16" width="16.85546875" style="43" customWidth="1"/>
    <col min="17" max="17" width="14.85546875" style="43" customWidth="1"/>
    <col min="18" max="18" width="13.28515625" style="43" bestFit="1" customWidth="1"/>
    <col min="19" max="19" width="9.42578125" style="43" customWidth="1"/>
    <col min="20" max="20" width="19.7109375" style="43" bestFit="1" customWidth="1"/>
    <col min="21" max="21" width="12.7109375" style="43" customWidth="1"/>
    <col min="22" max="16384" width="8.85546875" style="43"/>
  </cols>
  <sheetData>
    <row r="1" spans="1:21">
      <c r="A1" s="1" t="s">
        <v>437</v>
      </c>
    </row>
    <row r="2" spans="1:21">
      <c r="A2" s="1" t="s">
        <v>436</v>
      </c>
    </row>
    <row r="3" spans="1:21">
      <c r="A3" s="1" t="s">
        <v>662</v>
      </c>
    </row>
    <row r="4" spans="1:21">
      <c r="A4" s="1" t="s">
        <v>666</v>
      </c>
    </row>
    <row r="5" spans="1:21" ht="15" customHeight="1">
      <c r="A5" s="382" t="s">
        <v>663</v>
      </c>
      <c r="B5" s="43"/>
      <c r="C5" s="321"/>
      <c r="D5" s="321"/>
      <c r="E5" s="321"/>
      <c r="F5" s="321"/>
      <c r="G5" s="321"/>
      <c r="H5" s="321"/>
      <c r="O5" s="103"/>
    </row>
    <row r="6" spans="1:21" ht="15" customHeight="1">
      <c r="A6" s="1"/>
      <c r="B6" s="43"/>
      <c r="C6" s="321"/>
      <c r="D6" s="321"/>
      <c r="E6" s="321"/>
      <c r="F6" s="321"/>
      <c r="G6" s="321"/>
      <c r="H6" s="321"/>
      <c r="O6" s="103"/>
    </row>
    <row r="7" spans="1:21" ht="43.15" customHeight="1">
      <c r="A7" s="21"/>
      <c r="B7" s="40" t="s">
        <v>605</v>
      </c>
      <c r="C7" s="41" t="s">
        <v>606</v>
      </c>
      <c r="D7" s="150" t="s">
        <v>607</v>
      </c>
      <c r="E7" s="40" t="s">
        <v>416</v>
      </c>
      <c r="F7" s="21" t="s">
        <v>417</v>
      </c>
      <c r="G7" s="40" t="s">
        <v>548</v>
      </c>
      <c r="H7" s="40" t="s">
        <v>608</v>
      </c>
      <c r="I7" s="42" t="s">
        <v>609</v>
      </c>
      <c r="J7" s="40" t="s">
        <v>438</v>
      </c>
      <c r="K7" s="40" t="s">
        <v>610</v>
      </c>
      <c r="L7" s="40" t="s">
        <v>611</v>
      </c>
      <c r="M7" s="132" t="s">
        <v>612</v>
      </c>
      <c r="N7" s="132" t="s">
        <v>613</v>
      </c>
      <c r="O7" s="40" t="s">
        <v>614</v>
      </c>
      <c r="P7" s="40" t="s">
        <v>615</v>
      </c>
      <c r="Q7" s="40" t="s">
        <v>616</v>
      </c>
      <c r="R7" s="40" t="s">
        <v>509</v>
      </c>
    </row>
    <row r="8" spans="1:21" s="51" customFormat="1">
      <c r="A8" s="389" t="s">
        <v>633</v>
      </c>
      <c r="B8" s="44">
        <v>21</v>
      </c>
      <c r="C8" s="45" t="str">
        <f>'2180 (Reg.) - Price Out '!B11</f>
        <v>20 GL 1X WK 1</v>
      </c>
      <c r="D8" s="179">
        <f>'2180 (Reg.) - Price Out '!I11</f>
        <v>26.735824328118152</v>
      </c>
      <c r="E8" s="46">
        <f>References!$B$11</f>
        <v>4.333333333333333</v>
      </c>
      <c r="F8" s="55">
        <f>D8*E8*References!$G$25</f>
        <v>1390.2628650621436</v>
      </c>
      <c r="G8" s="47">
        <f>References!$B$19</f>
        <v>20</v>
      </c>
      <c r="H8" s="47">
        <f>F8*G8</f>
        <v>27805.257301242873</v>
      </c>
      <c r="I8" s="48">
        <f t="shared" ref="I8:I51" si="0">$D$157*H8</f>
        <v>22910.634416838133</v>
      </c>
      <c r="J8" s="49">
        <f>References!$C$56*'Disposal Calc'!I8</f>
        <v>44.675737112834526</v>
      </c>
      <c r="K8" s="49">
        <f>J8/References!$G$59</f>
        <v>45.592139108923895</v>
      </c>
      <c r="L8" s="57">
        <f>(K8/F8*E8)</f>
        <v>0.1421068929506645</v>
      </c>
      <c r="M8" s="50">
        <f>'Rate Sheet'!C11</f>
        <v>13.56</v>
      </c>
      <c r="N8" s="49">
        <f>L8+M8</f>
        <v>13.702106892950665</v>
      </c>
      <c r="O8" s="49">
        <f>D8*M8*12</f>
        <v>4350.4533346713861</v>
      </c>
      <c r="P8" s="57">
        <f>D8*N8*12</f>
        <v>4396.0454737803093</v>
      </c>
      <c r="Q8" s="49">
        <f>P8-O8</f>
        <v>45.59213910892322</v>
      </c>
      <c r="R8" s="109">
        <f t="shared" ref="R8:R25" si="1">Q8-K8</f>
        <v>-6.7501559897209518E-13</v>
      </c>
      <c r="S8" s="109"/>
      <c r="T8" s="146"/>
      <c r="U8" s="109"/>
    </row>
    <row r="9" spans="1:21" s="51" customFormat="1">
      <c r="A9" s="390"/>
      <c r="B9" s="52">
        <v>21</v>
      </c>
      <c r="C9" s="53" t="str">
        <f>'2180 (Reg.) - Price Out '!B12</f>
        <v>20 GL 1X WK NO RECY 1</v>
      </c>
      <c r="D9" s="161">
        <f>'2180 (Reg.) - Price Out '!I12</f>
        <v>0.33333333333333331</v>
      </c>
      <c r="E9" s="54">
        <f>References!$B$11</f>
        <v>4.333333333333333</v>
      </c>
      <c r="F9" s="55">
        <f>D9*E9*References!$G$25</f>
        <v>17.333333333333329</v>
      </c>
      <c r="G9" s="55">
        <f>References!$B$19</f>
        <v>20</v>
      </c>
      <c r="H9" s="55">
        <f>F9*G9</f>
        <v>346.66666666666657</v>
      </c>
      <c r="I9" s="56">
        <f t="shared" si="0"/>
        <v>285.64214236380644</v>
      </c>
      <c r="J9" s="57">
        <f>References!$C$56*'Disposal Calc'!I9</f>
        <v>0.55700217760942461</v>
      </c>
      <c r="K9" s="57">
        <f>J9/References!$G$59</f>
        <v>0.56842757180265802</v>
      </c>
      <c r="L9" s="57">
        <f t="shared" ref="L9:L37" si="2">(K9/F9*E9)</f>
        <v>0.14210689295066453</v>
      </c>
      <c r="M9" s="58">
        <f>'Rate Sheet'!C12</f>
        <v>14.56</v>
      </c>
      <c r="N9" s="57">
        <f>L9+M9</f>
        <v>14.702106892950665</v>
      </c>
      <c r="O9" s="57">
        <f>D9*M9*12</f>
        <v>58.24</v>
      </c>
      <c r="P9" s="57">
        <f t="shared" ref="P9:P36" si="3">D9*N9*12</f>
        <v>58.80842757180266</v>
      </c>
      <c r="Q9" s="57">
        <f>P9-O9</f>
        <v>0.56842757180265835</v>
      </c>
      <c r="R9" s="109">
        <f t="shared" si="1"/>
        <v>0</v>
      </c>
      <c r="S9" s="109"/>
      <c r="T9" s="146"/>
      <c r="U9" s="109"/>
    </row>
    <row r="10" spans="1:21" s="51" customFormat="1">
      <c r="A10" s="390"/>
      <c r="B10" s="52">
        <v>21</v>
      </c>
      <c r="C10" s="53" t="str">
        <f>'2180 (Reg.) - Price Out '!B13</f>
        <v>32 GL 1X MO NO RECY 1</v>
      </c>
      <c r="D10" s="161">
        <f>'2180 (Reg.) - Price Out '!I13</f>
        <v>13.693385895751206</v>
      </c>
      <c r="E10" s="54">
        <f>References!$B$13</f>
        <v>1</v>
      </c>
      <c r="F10" s="55">
        <f>D10*E10*References!$G$25</f>
        <v>164.32063074901447</v>
      </c>
      <c r="G10" s="55">
        <f>References!$B$20</f>
        <v>34</v>
      </c>
      <c r="H10" s="55">
        <f>F10*G10</f>
        <v>5586.9014454664921</v>
      </c>
      <c r="I10" s="56">
        <f t="shared" si="0"/>
        <v>4603.4264367072001</v>
      </c>
      <c r="J10" s="57">
        <f>References!$C$56*'Disposal Calc'!I10</f>
        <v>8.9766815515790732</v>
      </c>
      <c r="K10" s="57">
        <f>J10/References!$G$59</f>
        <v>9.1608139111940741</v>
      </c>
      <c r="L10" s="57">
        <f t="shared" si="2"/>
        <v>5.5749627234491471E-2</v>
      </c>
      <c r="M10" s="58">
        <f>'Rate Sheet'!C26</f>
        <v>8.41</v>
      </c>
      <c r="N10" s="57">
        <f t="shared" ref="N10:N21" si="4">L10+M10</f>
        <v>8.4657496272344908</v>
      </c>
      <c r="O10" s="57">
        <f t="shared" ref="O10:O36" si="5">D10*M10*12</f>
        <v>1381.9365045992117</v>
      </c>
      <c r="P10" s="57">
        <f t="shared" si="3"/>
        <v>1391.0973185104058</v>
      </c>
      <c r="Q10" s="57">
        <f>P10-O10</f>
        <v>9.1608139111940545</v>
      </c>
      <c r="R10" s="109">
        <f t="shared" si="1"/>
        <v>-1.9539925233402755E-14</v>
      </c>
      <c r="S10" s="109"/>
      <c r="T10" s="146"/>
      <c r="U10" s="109"/>
    </row>
    <row r="11" spans="1:21" s="51" customFormat="1">
      <c r="A11" s="390"/>
      <c r="B11" s="52">
        <v>21</v>
      </c>
      <c r="C11" s="53" t="str">
        <f>'2180 (Reg.) - Price Out '!B14</f>
        <v>32 GL 1X MO W/RECY 1</v>
      </c>
      <c r="D11" s="161">
        <f>'2180 (Reg.) - Price Out '!I14</f>
        <v>138.33132223747052</v>
      </c>
      <c r="E11" s="54">
        <f>References!$B$13</f>
        <v>1</v>
      </c>
      <c r="F11" s="55">
        <f>D11*E11*References!$G$25</f>
        <v>1659.9758668496461</v>
      </c>
      <c r="G11" s="55">
        <f>References!$B$20</f>
        <v>34</v>
      </c>
      <c r="H11" s="55">
        <f t="shared" ref="H11:H36" si="6">F11*G11</f>
        <v>56439.179472887969</v>
      </c>
      <c r="I11" s="56">
        <f t="shared" si="0"/>
        <v>46504.061936224301</v>
      </c>
      <c r="J11" s="57">
        <f>References!$C$56*'Disposal Calc'!I11</f>
        <v>90.682920775637726</v>
      </c>
      <c r="K11" s="57">
        <f>J11/References!$G$59</f>
        <v>92.543035795119636</v>
      </c>
      <c r="L11" s="57">
        <f t="shared" si="2"/>
        <v>5.5749627234491485E-2</v>
      </c>
      <c r="M11" s="58">
        <f>'Rate Sheet'!C25</f>
        <v>7.41</v>
      </c>
      <c r="N11" s="57">
        <f t="shared" si="4"/>
        <v>7.4657496272344916</v>
      </c>
      <c r="O11" s="57">
        <f t="shared" si="5"/>
        <v>12300.421173355879</v>
      </c>
      <c r="P11" s="57">
        <f t="shared" si="3"/>
        <v>12392.964209150998</v>
      </c>
      <c r="Q11" s="57">
        <f t="shared" ref="Q11:Q22" si="7">P11-O11</f>
        <v>92.543035795119067</v>
      </c>
      <c r="R11" s="109">
        <f t="shared" si="1"/>
        <v>-5.6843418860808015E-13</v>
      </c>
      <c r="S11" s="109"/>
      <c r="T11" s="146"/>
      <c r="U11" s="109"/>
    </row>
    <row r="12" spans="1:21" s="51" customFormat="1">
      <c r="A12" s="390"/>
      <c r="B12" s="52">
        <v>21</v>
      </c>
      <c r="C12" s="53" t="str">
        <f>'2180 (Reg.) - Price Out '!B15</f>
        <v>32 GL 1X WK NO RECY 1</v>
      </c>
      <c r="D12" s="161">
        <f>'2180 (Reg.) - Price Out '!I15</f>
        <v>393.50021947797592</v>
      </c>
      <c r="E12" s="54">
        <f>References!$B$11</f>
        <v>4.333333333333333</v>
      </c>
      <c r="F12" s="55">
        <f>D12*E12*References!$G$25</f>
        <v>20462.011412854747</v>
      </c>
      <c r="G12" s="55">
        <f>References!$B$20</f>
        <v>34</v>
      </c>
      <c r="H12" s="55">
        <f t="shared" si="6"/>
        <v>695708.38803706144</v>
      </c>
      <c r="I12" s="56">
        <f t="shared" si="0"/>
        <v>573241.25313281722</v>
      </c>
      <c r="J12" s="57">
        <f>References!$C$56*'Disposal Calc'!I12</f>
        <v>1117.8204436089977</v>
      </c>
      <c r="K12" s="57">
        <f>J12/References!$G$59</f>
        <v>1140.7495087345624</v>
      </c>
      <c r="L12" s="57">
        <f t="shared" si="2"/>
        <v>0.24158171801612971</v>
      </c>
      <c r="M12" s="58">
        <f>'Rate Sheet'!C14</f>
        <v>19.260000000000002</v>
      </c>
      <c r="N12" s="57">
        <f t="shared" si="4"/>
        <v>19.50158171801613</v>
      </c>
      <c r="O12" s="57">
        <f t="shared" si="5"/>
        <v>90945.770725749797</v>
      </c>
      <c r="P12" s="57">
        <f t="shared" si="3"/>
        <v>92086.520234484356</v>
      </c>
      <c r="Q12" s="57">
        <f t="shared" si="7"/>
        <v>1140.7495087345596</v>
      </c>
      <c r="R12" s="109">
        <f t="shared" si="1"/>
        <v>-2.7284841053187847E-12</v>
      </c>
      <c r="S12" s="109"/>
      <c r="T12" s="146"/>
      <c r="U12" s="109"/>
    </row>
    <row r="13" spans="1:21" s="51" customFormat="1">
      <c r="A13" s="390"/>
      <c r="B13" s="52">
        <v>21</v>
      </c>
      <c r="C13" s="53" t="str">
        <f>'2180 (Reg.) - Price Out '!B16</f>
        <v>32 GL 1X WK W/RECY 1</v>
      </c>
      <c r="D13" s="161">
        <f>'2180 (Reg.) - Price Out '!I16</f>
        <v>3893.5061498104646</v>
      </c>
      <c r="E13" s="54">
        <f>References!$B$11</f>
        <v>4.333333333333333</v>
      </c>
      <c r="F13" s="55">
        <f>D13*E13*References!$G$25</f>
        <v>202462.31979014413</v>
      </c>
      <c r="G13" s="55">
        <f>References!$B$20</f>
        <v>34</v>
      </c>
      <c r="H13" s="55">
        <f t="shared" si="6"/>
        <v>6883718.8728649002</v>
      </c>
      <c r="I13" s="56">
        <f t="shared" si="0"/>
        <v>5671962.1334864348</v>
      </c>
      <c r="J13" s="57">
        <f>References!$C$56*'Disposal Calc'!I13</f>
        <v>11060.326160298589</v>
      </c>
      <c r="K13" s="57">
        <f>J13/References!$G$59</f>
        <v>11287.198857330941</v>
      </c>
      <c r="L13" s="57">
        <f t="shared" si="2"/>
        <v>0.24158171801612968</v>
      </c>
      <c r="M13" s="58">
        <f>'Rate Sheet'!C13</f>
        <v>18.260000000000002</v>
      </c>
      <c r="N13" s="57">
        <f t="shared" si="4"/>
        <v>18.50158171801613</v>
      </c>
      <c r="O13" s="57">
        <f t="shared" si="5"/>
        <v>853145.06754646904</v>
      </c>
      <c r="P13" s="57">
        <f t="shared" si="3"/>
        <v>864432.26640380011</v>
      </c>
      <c r="Q13" s="57">
        <f t="shared" si="7"/>
        <v>11287.198857331066</v>
      </c>
      <c r="R13" s="109">
        <f t="shared" si="1"/>
        <v>1.255102688446641E-10</v>
      </c>
      <c r="S13" s="109"/>
      <c r="T13" s="146"/>
      <c r="U13" s="109"/>
    </row>
    <row r="14" spans="1:21" s="51" customFormat="1">
      <c r="A14" s="390"/>
      <c r="B14" s="52">
        <v>21</v>
      </c>
      <c r="C14" s="53" t="str">
        <f>'2180 (Reg.) - Price Out '!B17</f>
        <v>32 GL 1X WK NO RECY 2</v>
      </c>
      <c r="D14" s="161">
        <f>'2180 (Reg.) - Price Out '!I17</f>
        <v>51.995448398456325</v>
      </c>
      <c r="E14" s="54">
        <f>References!$B$11</f>
        <v>4.333333333333333</v>
      </c>
      <c r="F14" s="55">
        <f>D14*E14*References!$G$25</f>
        <v>2703.7633167197291</v>
      </c>
      <c r="G14" s="55">
        <f>References!$B$21</f>
        <v>51</v>
      </c>
      <c r="H14" s="55">
        <f t="shared" si="6"/>
        <v>137891.92915270617</v>
      </c>
      <c r="I14" s="56">
        <f t="shared" si="0"/>
        <v>113618.49824381889</v>
      </c>
      <c r="J14" s="57">
        <f>References!$C$56*'Disposal Calc'!I14</f>
        <v>221.55607157544767</v>
      </c>
      <c r="K14" s="57">
        <f>J14/References!$G$59</f>
        <v>226.1006955561258</v>
      </c>
      <c r="L14" s="57">
        <f t="shared" si="2"/>
        <v>0.36237257702419451</v>
      </c>
      <c r="M14" s="58">
        <f>'Rate Sheet'!C16</f>
        <v>28.9</v>
      </c>
      <c r="N14" s="57">
        <f t="shared" si="4"/>
        <v>29.262372577024195</v>
      </c>
      <c r="O14" s="57">
        <f t="shared" si="5"/>
        <v>18032.021504584653</v>
      </c>
      <c r="P14" s="57">
        <f t="shared" si="3"/>
        <v>18258.12220014078</v>
      </c>
      <c r="Q14" s="57">
        <f t="shared" si="7"/>
        <v>226.1006955561279</v>
      </c>
      <c r="R14" s="109">
        <f t="shared" si="1"/>
        <v>2.1032064978498966E-12</v>
      </c>
      <c r="S14" s="109"/>
      <c r="T14" s="146"/>
      <c r="U14" s="109"/>
    </row>
    <row r="15" spans="1:21" s="51" customFormat="1">
      <c r="A15" s="390"/>
      <c r="B15" s="52">
        <v>21</v>
      </c>
      <c r="C15" s="110" t="str">
        <f>'2180 (Reg.) - Price Out '!B18</f>
        <v>32 GL 1X WK W/RECY 2</v>
      </c>
      <c r="D15" s="161">
        <f>'2180 (Reg.) - Price Out '!I18</f>
        <v>600.79724849646243</v>
      </c>
      <c r="E15" s="54">
        <f>References!$B$11</f>
        <v>4.333333333333333</v>
      </c>
      <c r="F15" s="55">
        <f>D15*E15*References!$G$25</f>
        <v>31241.456921816047</v>
      </c>
      <c r="G15" s="55">
        <f>References!$B$21</f>
        <v>51</v>
      </c>
      <c r="H15" s="55">
        <f t="shared" si="6"/>
        <v>1593314.3030126183</v>
      </c>
      <c r="I15" s="56">
        <f t="shared" si="0"/>
        <v>1312839.5508790945</v>
      </c>
      <c r="J15" s="57">
        <f>References!$C$56*'Disposal Calc'!I15</f>
        <v>2560.0371242142437</v>
      </c>
      <c r="K15" s="57">
        <f>J15/References!$G$59</f>
        <v>2612.5493664805017</v>
      </c>
      <c r="L15" s="57">
        <f t="shared" si="2"/>
        <v>0.36237257702419451</v>
      </c>
      <c r="M15" s="58">
        <f>'Rate Sheet'!C15</f>
        <v>26.9</v>
      </c>
      <c r="N15" s="57">
        <f t="shared" si="4"/>
        <v>27.262372577024195</v>
      </c>
      <c r="O15" s="57">
        <f t="shared" si="5"/>
        <v>193937.35181465806</v>
      </c>
      <c r="P15" s="57">
        <f t="shared" si="3"/>
        <v>196549.90118113856</v>
      </c>
      <c r="Q15" s="57">
        <f t="shared" si="7"/>
        <v>2612.5493664804962</v>
      </c>
      <c r="R15" s="109">
        <f t="shared" si="1"/>
        <v>-5.4569682106375694E-12</v>
      </c>
      <c r="S15" s="109"/>
      <c r="T15" s="146"/>
      <c r="U15" s="109"/>
    </row>
    <row r="16" spans="1:21" s="51" customFormat="1">
      <c r="A16" s="390"/>
      <c r="B16" s="52">
        <v>21</v>
      </c>
      <c r="C16" s="53" t="str">
        <f>'2180 (Reg.) - Price Out '!B19</f>
        <v>32 GL 1X WK NO RECY 3</v>
      </c>
      <c r="D16" s="161">
        <f>'2180 (Reg.) - Price Out '!I19</f>
        <v>3.5324255191092391</v>
      </c>
      <c r="E16" s="54">
        <f>References!$B$11</f>
        <v>4.333333333333333</v>
      </c>
      <c r="F16" s="55">
        <f>D16*E16*References!$G$25</f>
        <v>183.6861269936804</v>
      </c>
      <c r="G16" s="55">
        <f>References!$B$22</f>
        <v>77</v>
      </c>
      <c r="H16" s="55">
        <f t="shared" si="6"/>
        <v>14143.831778513391</v>
      </c>
      <c r="I16" s="56">
        <f t="shared" si="0"/>
        <v>11654.060799368805</v>
      </c>
      <c r="J16" s="57">
        <f>References!$C$56*'Disposal Calc'!I16</f>
        <v>22.725418558769253</v>
      </c>
      <c r="K16" s="57">
        <f>J16/References!$G$59</f>
        <v>23.19156909763165</v>
      </c>
      <c r="L16" s="57">
        <f t="shared" si="2"/>
        <v>0.54711153786005839</v>
      </c>
      <c r="M16" s="58">
        <f>'Rate Sheet'!C18</f>
        <v>39.119999999999997</v>
      </c>
      <c r="N16" s="57">
        <f t="shared" si="4"/>
        <v>39.667111537860059</v>
      </c>
      <c r="O16" s="57">
        <f t="shared" si="5"/>
        <v>1658.2618356906412</v>
      </c>
      <c r="P16" s="57">
        <f t="shared" si="3"/>
        <v>1681.453404788273</v>
      </c>
      <c r="Q16" s="57">
        <f t="shared" si="7"/>
        <v>23.191569097631827</v>
      </c>
      <c r="R16" s="109">
        <f t="shared" si="1"/>
        <v>1.7763568394002505E-13</v>
      </c>
      <c r="S16" s="109"/>
      <c r="T16" s="146"/>
      <c r="U16" s="109"/>
    </row>
    <row r="17" spans="1:21" s="51" customFormat="1">
      <c r="A17" s="390"/>
      <c r="B17" s="52">
        <v>21</v>
      </c>
      <c r="C17" s="53" t="str">
        <f>'2180 (Reg.) - Price Out '!B20</f>
        <v>32 GL 1X WK W/RECY 3</v>
      </c>
      <c r="D17" s="161">
        <f>'2180 (Reg.) - Price Out '!I20</f>
        <v>32.862609989692686</v>
      </c>
      <c r="E17" s="54">
        <f>References!$B$11</f>
        <v>4.333333333333333</v>
      </c>
      <c r="F17" s="55">
        <f>D17*E17*References!$G$25</f>
        <v>1708.8557194640196</v>
      </c>
      <c r="G17" s="55">
        <f>References!$B$22</f>
        <v>77</v>
      </c>
      <c r="H17" s="59">
        <f>F17*G17</f>
        <v>131581.89039872951</v>
      </c>
      <c r="I17" s="56">
        <f t="shared" si="0"/>
        <v>108419.23000895964</v>
      </c>
      <c r="J17" s="57">
        <f>References!$C$56*'Disposal Calc'!I17</f>
        <v>211.4174985174721</v>
      </c>
      <c r="K17" s="57">
        <f>J17/References!$G$59</f>
        <v>215.75415707467303</v>
      </c>
      <c r="L17" s="57">
        <f t="shared" si="2"/>
        <v>0.54711153786005851</v>
      </c>
      <c r="M17" s="58">
        <f>'Rate Sheet'!C17</f>
        <v>36.119999999999997</v>
      </c>
      <c r="N17" s="57">
        <f t="shared" si="4"/>
        <v>36.667111537860059</v>
      </c>
      <c r="O17" s="57">
        <f t="shared" si="5"/>
        <v>14243.969673932397</v>
      </c>
      <c r="P17" s="57">
        <f t="shared" si="3"/>
        <v>14459.723831007072</v>
      </c>
      <c r="Q17" s="57">
        <f t="shared" si="7"/>
        <v>215.75415707467437</v>
      </c>
      <c r="R17" s="109">
        <f t="shared" si="1"/>
        <v>1.3358203432289883E-12</v>
      </c>
      <c r="S17" s="109"/>
      <c r="T17" s="146"/>
      <c r="U17" s="109"/>
    </row>
    <row r="18" spans="1:21" s="51" customFormat="1">
      <c r="A18" s="390"/>
      <c r="B18" s="52">
        <v>21</v>
      </c>
      <c r="C18" s="53" t="str">
        <f>'2180 (Reg.) - Price Out '!B21</f>
        <v>32 GL 1X WK NO RECY 4</v>
      </c>
      <c r="D18" s="161">
        <f>'2180 (Reg.) - Price Out '!I21</f>
        <v>0.91666666666666663</v>
      </c>
      <c r="E18" s="54">
        <f>References!$B$11</f>
        <v>4.333333333333333</v>
      </c>
      <c r="F18" s="55">
        <f>D18*E18*References!$G$25</f>
        <v>47.666666666666664</v>
      </c>
      <c r="G18" s="55">
        <f>References!$B$23</f>
        <v>97</v>
      </c>
      <c r="H18" s="55">
        <f t="shared" si="6"/>
        <v>4623.6666666666661</v>
      </c>
      <c r="I18" s="56">
        <f t="shared" si="0"/>
        <v>3809.7520737772688</v>
      </c>
      <c r="J18" s="57">
        <f>References!$C$56*'Disposal Calc'!I18</f>
        <v>7.4290165438657016</v>
      </c>
      <c r="K18" s="57">
        <f>J18/References!$G$59</f>
        <v>7.5814027389179524</v>
      </c>
      <c r="L18" s="57">
        <f t="shared" si="2"/>
        <v>0.68921843081072298</v>
      </c>
      <c r="M18" s="58">
        <f>'Rate Sheet'!C20</f>
        <v>48.87</v>
      </c>
      <c r="N18" s="57">
        <f t="shared" si="4"/>
        <v>49.559218430810724</v>
      </c>
      <c r="O18" s="57">
        <f t="shared" si="5"/>
        <v>537.56999999999994</v>
      </c>
      <c r="P18" s="57">
        <f t="shared" si="3"/>
        <v>545.15140273891802</v>
      </c>
      <c r="Q18" s="57">
        <f t="shared" si="7"/>
        <v>7.5814027389180865</v>
      </c>
      <c r="R18" s="109">
        <f t="shared" si="1"/>
        <v>1.3411494137471891E-13</v>
      </c>
      <c r="S18" s="109"/>
      <c r="T18" s="146"/>
      <c r="U18" s="109"/>
    </row>
    <row r="19" spans="1:21" s="51" customFormat="1">
      <c r="A19" s="390"/>
      <c r="B19" s="52">
        <v>21</v>
      </c>
      <c r="C19" s="53" t="str">
        <f>'2180 (Reg.) - Price Out '!B22</f>
        <v>32 GL 1X WK W/RECY 4</v>
      </c>
      <c r="D19" s="161">
        <f>'2180 (Reg.) - Price Out '!I22</f>
        <v>5.4530145865548372</v>
      </c>
      <c r="E19" s="54">
        <f>References!$B$11</f>
        <v>4.333333333333333</v>
      </c>
      <c r="F19" s="55">
        <f>D19*E19*References!$G$25</f>
        <v>283.55675850085152</v>
      </c>
      <c r="G19" s="55">
        <f>References!$B$23</f>
        <v>97</v>
      </c>
      <c r="H19" s="55">
        <f t="shared" si="6"/>
        <v>27505.005574582596</v>
      </c>
      <c r="I19" s="56">
        <f t="shared" si="0"/>
        <v>22663.236686689077</v>
      </c>
      <c r="J19" s="57">
        <f>References!$C$56*'Disposal Calc'!I19</f>
        <v>44.193311539043869</v>
      </c>
      <c r="K19" s="57">
        <f>J19/References!$G$59</f>
        <v>45.099817878399705</v>
      </c>
      <c r="L19" s="57">
        <f t="shared" si="2"/>
        <v>0.68921843081072309</v>
      </c>
      <c r="M19" s="58">
        <f>'Rate Sheet'!C19</f>
        <v>44.87</v>
      </c>
      <c r="N19" s="57">
        <f t="shared" si="4"/>
        <v>45.559218430810724</v>
      </c>
      <c r="O19" s="57">
        <f t="shared" si="5"/>
        <v>2936.1211739845862</v>
      </c>
      <c r="P19" s="57">
        <f t="shared" si="3"/>
        <v>2981.2209918629865</v>
      </c>
      <c r="Q19" s="57">
        <f t="shared" si="7"/>
        <v>45.099817878400245</v>
      </c>
      <c r="R19" s="109">
        <f t="shared" si="1"/>
        <v>5.4001247917767614E-13</v>
      </c>
      <c r="S19" s="109"/>
      <c r="T19" s="146"/>
      <c r="U19" s="109"/>
    </row>
    <row r="20" spans="1:21" s="51" customFormat="1">
      <c r="A20" s="390"/>
      <c r="B20" s="52">
        <v>21</v>
      </c>
      <c r="C20" s="53" t="str">
        <f>'2180 (Reg.) - Price Out '!B23</f>
        <v>32 GL 1X WK W/RECY 1</v>
      </c>
      <c r="D20" s="161">
        <f>'2180 (Reg.) - Price Out '!I23</f>
        <v>8.0790239534363106</v>
      </c>
      <c r="E20" s="54">
        <f>References!$B$11</f>
        <v>4.333333333333333</v>
      </c>
      <c r="F20" s="55">
        <f>D20*E20*References!$G$25</f>
        <v>420.10924557868816</v>
      </c>
      <c r="G20" s="55">
        <f>References!$B$20</f>
        <v>34</v>
      </c>
      <c r="H20" s="55">
        <f t="shared" si="6"/>
        <v>14283.714349675398</v>
      </c>
      <c r="I20" s="56">
        <f t="shared" si="0"/>
        <v>11769.319522367094</v>
      </c>
      <c r="J20" s="57">
        <f>References!$C$56*'Disposal Calc'!I20</f>
        <v>22.950173068615918</v>
      </c>
      <c r="K20" s="57">
        <f>J20/References!$G$59</f>
        <v>23.420933838775301</v>
      </c>
      <c r="L20" s="57">
        <f t="shared" si="2"/>
        <v>0.24158171801612971</v>
      </c>
      <c r="M20" s="58">
        <f>'Rate Sheet'!C13</f>
        <v>18.260000000000002</v>
      </c>
      <c r="N20" s="57">
        <f t="shared" si="4"/>
        <v>18.50158171801613</v>
      </c>
      <c r="O20" s="57">
        <f t="shared" si="5"/>
        <v>1770.2757286769645</v>
      </c>
      <c r="P20" s="57">
        <f t="shared" si="3"/>
        <v>1793.6966625157397</v>
      </c>
      <c r="Q20" s="57">
        <f t="shared" si="7"/>
        <v>23.420933838775227</v>
      </c>
      <c r="R20" s="109">
        <f t="shared" si="1"/>
        <v>-7.460698725481052E-14</v>
      </c>
      <c r="S20" s="109"/>
      <c r="T20" s="146"/>
      <c r="U20" s="109"/>
    </row>
    <row r="21" spans="1:21" s="51" customFormat="1">
      <c r="A21" s="390"/>
      <c r="B21" s="52">
        <v>21</v>
      </c>
      <c r="C21" s="53" t="str">
        <f>'2180 (Reg.) - Price Out '!B24</f>
        <v>35 GL 1X WK W/ RECY 1</v>
      </c>
      <c r="D21" s="161">
        <f>'2180 (Reg.) - Price Out '!I24</f>
        <v>7.6311909746261657</v>
      </c>
      <c r="E21" s="54">
        <f>References!$B$11</f>
        <v>4.333333333333333</v>
      </c>
      <c r="F21" s="55">
        <f>D21*E21*References!$G$25</f>
        <v>396.82193068056063</v>
      </c>
      <c r="G21" s="59">
        <f>References!$B$26</f>
        <v>37</v>
      </c>
      <c r="H21" s="59">
        <f t="shared" si="6"/>
        <v>14682.411435180744</v>
      </c>
      <c r="I21" s="56">
        <f t="shared" si="0"/>
        <v>12097.833050226573</v>
      </c>
      <c r="J21" s="57">
        <f>References!$C$56*'Disposal Calc'!I21</f>
        <v>23.590774447941904</v>
      </c>
      <c r="K21" s="57">
        <f>J21/References!$G$59</f>
        <v>24.074675423963573</v>
      </c>
      <c r="L21" s="57">
        <f t="shared" si="2"/>
        <v>0.26289775195872939</v>
      </c>
      <c r="M21" s="58">
        <f>'Rate Sheet'!C28</f>
        <v>18.48</v>
      </c>
      <c r="N21" s="57">
        <f t="shared" si="4"/>
        <v>18.742897751958729</v>
      </c>
      <c r="O21" s="57">
        <f t="shared" si="5"/>
        <v>1692.2929105330986</v>
      </c>
      <c r="P21" s="57">
        <f t="shared" si="3"/>
        <v>1716.3675859570621</v>
      </c>
      <c r="Q21" s="57">
        <f t="shared" si="7"/>
        <v>24.074675423963527</v>
      </c>
      <c r="R21" s="109">
        <f t="shared" si="1"/>
        <v>-4.6185277824406512E-14</v>
      </c>
      <c r="S21" s="109"/>
      <c r="T21" s="146"/>
      <c r="U21" s="109"/>
    </row>
    <row r="22" spans="1:21" s="51" customFormat="1">
      <c r="A22" s="390"/>
      <c r="B22" s="52">
        <v>22</v>
      </c>
      <c r="C22" s="110" t="str">
        <f>'2180 (Reg.) - Price Out '!B25</f>
        <v>35 GL 1X WK W/RECY 2</v>
      </c>
      <c r="D22" s="161">
        <f>'2180 (Reg.) - Price Out '!I25</f>
        <v>1.3750190868834939</v>
      </c>
      <c r="E22" s="54">
        <f>References!$B$11</f>
        <v>4.333333333333333</v>
      </c>
      <c r="F22" s="55">
        <f>D22*E22*References!$G$25</f>
        <v>71.500992517941683</v>
      </c>
      <c r="G22" s="59">
        <f>References!$B$26*2</f>
        <v>74</v>
      </c>
      <c r="H22" s="59">
        <f t="shared" si="6"/>
        <v>5291.0734463276849</v>
      </c>
      <c r="I22" s="56">
        <f t="shared" si="0"/>
        <v>4359.6737152306405</v>
      </c>
      <c r="J22" s="57">
        <f>References!$C$56*'Disposal Calc'!I22</f>
        <v>8.5013637446997805</v>
      </c>
      <c r="K22" s="57">
        <f>J22/References!$G$59</f>
        <v>8.6757462442083693</v>
      </c>
      <c r="L22" s="57">
        <f>(K22/F22*E22)</f>
        <v>0.52579550391745877</v>
      </c>
      <c r="M22" s="58">
        <f>M21*2</f>
        <v>36.96</v>
      </c>
      <c r="N22" s="57">
        <f>L22+M22</f>
        <v>37.485795503917458</v>
      </c>
      <c r="O22" s="57">
        <f>D22*M22*12</f>
        <v>609.84846541456727</v>
      </c>
      <c r="P22" s="57">
        <f t="shared" si="3"/>
        <v>618.52421165877558</v>
      </c>
      <c r="Q22" s="57">
        <f t="shared" si="7"/>
        <v>8.6757462442083124</v>
      </c>
      <c r="R22" s="109">
        <f t="shared" si="1"/>
        <v>-5.6843418860808015E-14</v>
      </c>
      <c r="S22" s="109"/>
      <c r="T22" s="146"/>
      <c r="U22" s="109"/>
    </row>
    <row r="23" spans="1:21" s="51" customFormat="1">
      <c r="A23" s="390"/>
      <c r="B23" s="52">
        <v>21</v>
      </c>
      <c r="C23" s="53" t="str">
        <f>'2180 (Reg.) - Price Out '!B26</f>
        <v>65 GL 1X MO NO RECY 1</v>
      </c>
      <c r="D23" s="161">
        <f>'2180 (Reg.) - Price Out '!I26</f>
        <v>41.842927360974009</v>
      </c>
      <c r="E23" s="54">
        <f>References!$B$13</f>
        <v>1</v>
      </c>
      <c r="F23" s="55">
        <f>D23*E23*References!$G$25</f>
        <v>502.11512833168808</v>
      </c>
      <c r="G23" s="59">
        <f>References!$B$27</f>
        <v>47</v>
      </c>
      <c r="H23" s="59">
        <f t="shared" si="6"/>
        <v>23599.411031589341</v>
      </c>
      <c r="I23" s="56">
        <f t="shared" si="0"/>
        <v>19445.15286227085</v>
      </c>
      <c r="J23" s="57">
        <f>References!$C$56*'Disposal Calc'!I23</f>
        <v>37.918048081428303</v>
      </c>
      <c r="K23" s="57">
        <f>J23/References!$G$59</f>
        <v>38.695834351901524</v>
      </c>
      <c r="L23" s="57">
        <f t="shared" si="2"/>
        <v>7.7065661177091169E-2</v>
      </c>
      <c r="M23" s="58">
        <f>'Rate Sheet'!C39</f>
        <v>11.2</v>
      </c>
      <c r="N23" s="57">
        <f t="shared" ref="N23:N36" si="8">L23+M23</f>
        <v>11.27706566117709</v>
      </c>
      <c r="O23" s="57">
        <f t="shared" si="5"/>
        <v>5623.6894373149062</v>
      </c>
      <c r="P23" s="57">
        <f t="shared" si="3"/>
        <v>5662.385271666808</v>
      </c>
      <c r="Q23" s="57">
        <f t="shared" ref="Q23:Q36" si="9">P23-O23</f>
        <v>38.695834351901794</v>
      </c>
      <c r="R23" s="109">
        <f t="shared" si="1"/>
        <v>2.7000623958883807E-13</v>
      </c>
      <c r="S23" s="109"/>
      <c r="T23" s="146"/>
      <c r="U23" s="109"/>
    </row>
    <row r="24" spans="1:21" s="51" customFormat="1">
      <c r="A24" s="390"/>
      <c r="B24" s="52">
        <v>21</v>
      </c>
      <c r="C24" s="53" t="str">
        <f>'2180 (Reg.) - Price Out '!B27</f>
        <v>65 GL 1X MO W/RECY 1</v>
      </c>
      <c r="D24" s="161">
        <f>'2180 (Reg.) - Price Out '!I27</f>
        <v>1299.3474641091107</v>
      </c>
      <c r="E24" s="54">
        <f>References!$B$13</f>
        <v>1</v>
      </c>
      <c r="F24" s="55">
        <f>D24*E24*References!$G$25</f>
        <v>15592.169569309328</v>
      </c>
      <c r="G24" s="59">
        <f>References!$B$27</f>
        <v>47</v>
      </c>
      <c r="H24" s="59">
        <f t="shared" si="6"/>
        <v>732831.96975753841</v>
      </c>
      <c r="I24" s="56">
        <f t="shared" si="0"/>
        <v>603829.88606028329</v>
      </c>
      <c r="J24" s="57">
        <f>References!$C$56*'Disposal Calc'!I24</f>
        <v>1177.4682778175568</v>
      </c>
      <c r="K24" s="57">
        <f>J24/References!$G$59</f>
        <v>1201.620857044144</v>
      </c>
      <c r="L24" s="57">
        <f t="shared" si="2"/>
        <v>7.7065661177091155E-2</v>
      </c>
      <c r="M24" s="58">
        <f>'Rate Sheet'!C38</f>
        <v>9.1999999999999993</v>
      </c>
      <c r="N24" s="57">
        <f t="shared" si="8"/>
        <v>9.2770656611770903</v>
      </c>
      <c r="O24" s="57">
        <f t="shared" si="5"/>
        <v>143447.9600376458</v>
      </c>
      <c r="P24" s="57">
        <f t="shared" si="3"/>
        <v>144649.58089468995</v>
      </c>
      <c r="Q24" s="57">
        <f t="shared" si="9"/>
        <v>1201.6208570441522</v>
      </c>
      <c r="R24" s="109">
        <f t="shared" si="1"/>
        <v>8.1854523159563541E-12</v>
      </c>
      <c r="S24" s="109"/>
      <c r="T24" s="146"/>
      <c r="U24" s="109"/>
    </row>
    <row r="25" spans="1:21" s="51" customFormat="1">
      <c r="A25" s="390"/>
      <c r="B25" s="52">
        <v>21</v>
      </c>
      <c r="C25" s="110" t="str">
        <f>'2180 (Reg.) - Price Out '!B28</f>
        <v>65 GL 1X WK NO RECY 1</v>
      </c>
      <c r="D25" s="161">
        <f>'2180 (Reg.) - Price Out '!I28</f>
        <v>766.02477699675262</v>
      </c>
      <c r="E25" s="54">
        <f>References!$B$11</f>
        <v>4.333333333333333</v>
      </c>
      <c r="F25" s="55">
        <f>D25*E25*References!$G$25</f>
        <v>39833.288403831131</v>
      </c>
      <c r="G25" s="59">
        <f>References!$B$27</f>
        <v>47</v>
      </c>
      <c r="H25" s="59">
        <f t="shared" si="6"/>
        <v>1872164.5549800631</v>
      </c>
      <c r="I25" s="56">
        <f t="shared" si="0"/>
        <v>1542603.156756022</v>
      </c>
      <c r="J25" s="57">
        <f>References!$C$56*'Disposal Calc'!I25</f>
        <v>3008.0761556742541</v>
      </c>
      <c r="K25" s="57">
        <f>J25/References!$G$59</f>
        <v>3069.7787076990039</v>
      </c>
      <c r="L25" s="57">
        <f t="shared" si="2"/>
        <v>0.33395119843406162</v>
      </c>
      <c r="M25" s="58">
        <f>'Rate Sheet'!C35</f>
        <v>27.66</v>
      </c>
      <c r="N25" s="57">
        <f t="shared" si="8"/>
        <v>27.993951198434061</v>
      </c>
      <c r="O25" s="57">
        <f t="shared" si="5"/>
        <v>254258.94398076212</v>
      </c>
      <c r="P25" s="57">
        <f t="shared" si="3"/>
        <v>257328.72268846113</v>
      </c>
      <c r="Q25" s="57">
        <f t="shared" si="9"/>
        <v>3069.7787076990062</v>
      </c>
      <c r="R25" s="109">
        <f t="shared" si="1"/>
        <v>0</v>
      </c>
      <c r="S25" s="109"/>
      <c r="T25" s="146"/>
      <c r="U25" s="109"/>
    </row>
    <row r="26" spans="1:21" s="51" customFormat="1">
      <c r="A26" s="390"/>
      <c r="B26" s="52">
        <v>21</v>
      </c>
      <c r="C26" s="110" t="str">
        <f>'2180 (Reg.) - Price Out '!B29</f>
        <v>65 GL 1X WK W/RECY 1</v>
      </c>
      <c r="D26" s="161">
        <f>'2180 (Reg.) - Price Out '!I29</f>
        <v>20918.699010575107</v>
      </c>
      <c r="E26" s="54">
        <f>References!$B$11</f>
        <v>4.333333333333333</v>
      </c>
      <c r="F26" s="55">
        <f>D26*E26*References!$G$25</f>
        <v>1087772.3485499055</v>
      </c>
      <c r="G26" s="59">
        <f>References!$B$27</f>
        <v>47</v>
      </c>
      <c r="H26" s="59">
        <f t="shared" si="6"/>
        <v>51125300.381845556</v>
      </c>
      <c r="I26" s="56">
        <f t="shared" si="0"/>
        <v>42125597.105952397</v>
      </c>
      <c r="J26" s="57">
        <f>References!$C$56*'Disposal Calc'!I26</f>
        <v>82144.914356607478</v>
      </c>
      <c r="K26" s="57">
        <f>J26/References!$G$59</f>
        <v>83829.895251155715</v>
      </c>
      <c r="L26" s="57">
        <f t="shared" si="2"/>
        <v>0.33395119843406162</v>
      </c>
      <c r="M26" s="58">
        <f>'Rate Sheet'!C34</f>
        <v>25.66</v>
      </c>
      <c r="N26" s="111">
        <f>(L26+M26)</f>
        <v>25.993951198434061</v>
      </c>
      <c r="O26" s="57">
        <f t="shared" si="5"/>
        <v>6441285.7993362872</v>
      </c>
      <c r="P26" s="57">
        <f>D26*N26*12</f>
        <v>6525115.694587443</v>
      </c>
      <c r="Q26" s="57">
        <f>P26-O26</f>
        <v>83829.895251155831</v>
      </c>
      <c r="R26" s="109">
        <f>Q26-K26</f>
        <v>1.1641532182693481E-10</v>
      </c>
      <c r="S26" s="109"/>
      <c r="T26" s="146"/>
      <c r="U26" s="109"/>
    </row>
    <row r="27" spans="1:21" s="51" customFormat="1">
      <c r="A27" s="390"/>
      <c r="B27" s="52">
        <v>21</v>
      </c>
      <c r="C27" s="53" t="str">
        <f>'2180 (Reg.) - Price Out '!B30</f>
        <v>65 GL EOW 1</v>
      </c>
      <c r="D27" s="161">
        <f>'2180 (Reg.) - Price Out '!I30</f>
        <v>4063.4742282667389</v>
      </c>
      <c r="E27" s="54">
        <f>References!$B$12</f>
        <v>2.1666666666666665</v>
      </c>
      <c r="F27" s="55">
        <f>D27*E27*References!$G$25</f>
        <v>105650.3299349352</v>
      </c>
      <c r="G27" s="59">
        <f>References!$B$27</f>
        <v>47</v>
      </c>
      <c r="H27" s="59">
        <f t="shared" si="6"/>
        <v>4965565.5069419546</v>
      </c>
      <c r="I27" s="56">
        <f t="shared" si="0"/>
        <v>4091465.6811078484</v>
      </c>
      <c r="J27" s="57">
        <f>References!$C$56*'Disposal Calc'!I27</f>
        <v>7978.3580781603341</v>
      </c>
      <c r="K27" s="57">
        <f>J27/References!$G$59</f>
        <v>8142.0125300136078</v>
      </c>
      <c r="L27" s="57">
        <f t="shared" si="2"/>
        <v>0.16697559921703081</v>
      </c>
      <c r="M27" s="58">
        <f>'Rate Sheet'!C36</f>
        <v>16.11</v>
      </c>
      <c r="N27" s="57">
        <f t="shared" si="8"/>
        <v>16.276975599217032</v>
      </c>
      <c r="O27" s="57">
        <f t="shared" si="5"/>
        <v>785550.83780852589</v>
      </c>
      <c r="P27" s="57">
        <f t="shared" si="3"/>
        <v>793692.85033853957</v>
      </c>
      <c r="Q27" s="57">
        <f t="shared" si="9"/>
        <v>8142.012530013686</v>
      </c>
      <c r="R27" s="109">
        <f t="shared" ref="R27:R37" si="10">Q27-K27</f>
        <v>7.8216544352471828E-11</v>
      </c>
      <c r="S27" s="109"/>
      <c r="T27" s="146"/>
      <c r="U27" s="109"/>
    </row>
    <row r="28" spans="1:21" s="51" customFormat="1">
      <c r="A28" s="390"/>
      <c r="B28" s="52">
        <v>21</v>
      </c>
      <c r="C28" s="53" t="str">
        <f>'2180 (Reg.) - Price Out '!B31</f>
        <v>65 GL EOW NO RECY 1</v>
      </c>
      <c r="D28" s="161">
        <f>'2180 (Reg.) - Price Out '!I31</f>
        <v>299.28684760619552</v>
      </c>
      <c r="E28" s="54">
        <f>References!$B$12</f>
        <v>2.1666666666666665</v>
      </c>
      <c r="F28" s="55">
        <f>D28*E28*References!$G$25</f>
        <v>7781.4580377610837</v>
      </c>
      <c r="G28" s="59">
        <f>References!$B$27</f>
        <v>47</v>
      </c>
      <c r="H28" s="59">
        <f t="shared" si="6"/>
        <v>365728.52777477092</v>
      </c>
      <c r="I28" s="56">
        <f t="shared" si="0"/>
        <v>301348.50056869176</v>
      </c>
      <c r="J28" s="57">
        <f>References!$C$56*'Disposal Calc'!I28</f>
        <v>587.62957610895114</v>
      </c>
      <c r="K28" s="57">
        <f>J28/References!$G$59</f>
        <v>599.68320860184826</v>
      </c>
      <c r="L28" s="57">
        <f t="shared" si="2"/>
        <v>0.16697559921703081</v>
      </c>
      <c r="M28" s="58">
        <f>'Rate Sheet'!C37</f>
        <v>18.11</v>
      </c>
      <c r="N28" s="57">
        <f t="shared" si="8"/>
        <v>18.276975599217032</v>
      </c>
      <c r="O28" s="57">
        <f t="shared" si="5"/>
        <v>65041.017721778408</v>
      </c>
      <c r="P28" s="57">
        <f t="shared" si="3"/>
        <v>65640.700930380262</v>
      </c>
      <c r="Q28" s="57">
        <f t="shared" si="9"/>
        <v>599.68320860185486</v>
      </c>
      <c r="R28" s="109">
        <f t="shared" si="10"/>
        <v>6.5938365878537297E-12</v>
      </c>
      <c r="S28" s="109"/>
      <c r="T28" s="146"/>
      <c r="U28" s="109"/>
    </row>
    <row r="29" spans="1:21" s="51" customFormat="1">
      <c r="A29" s="390"/>
      <c r="B29" s="52">
        <v>21</v>
      </c>
      <c r="C29" s="53" t="str">
        <f>'2180 (Reg.) - Price Out '!B32</f>
        <v>65 GL EOW W/RECY 1</v>
      </c>
      <c r="D29" s="161">
        <f>'2180 (Reg.) - Price Out '!I32</f>
        <v>4899.1577835082071</v>
      </c>
      <c r="E29" s="54">
        <f>References!$B$12</f>
        <v>2.1666666666666665</v>
      </c>
      <c r="F29" s="55">
        <f>D29*E29*References!$G$25</f>
        <v>127378.10237121338</v>
      </c>
      <c r="G29" s="59">
        <f>References!$B$27</f>
        <v>47</v>
      </c>
      <c r="H29" s="59">
        <f t="shared" si="6"/>
        <v>5986770.811447029</v>
      </c>
      <c r="I29" s="56">
        <f t="shared" si="0"/>
        <v>4932905.8858350972</v>
      </c>
      <c r="J29" s="57">
        <f>References!$C$56*'Disposal Calc'!I29</f>
        <v>9619.166477378476</v>
      </c>
      <c r="K29" s="57">
        <f>J29/References!$G$59</f>
        <v>9816.4776787207629</v>
      </c>
      <c r="L29" s="57">
        <f t="shared" si="2"/>
        <v>0.16697559921703087</v>
      </c>
      <c r="M29" s="58">
        <f>M27</f>
        <v>16.11</v>
      </c>
      <c r="N29" s="57">
        <f t="shared" si="8"/>
        <v>16.276975599217032</v>
      </c>
      <c r="O29" s="57">
        <f t="shared" si="5"/>
        <v>947105.18270780658</v>
      </c>
      <c r="P29" s="57">
        <f t="shared" si="3"/>
        <v>956921.66038652742</v>
      </c>
      <c r="Q29" s="57">
        <f t="shared" si="9"/>
        <v>9816.4776787208393</v>
      </c>
      <c r="R29" s="109">
        <f t="shared" si="10"/>
        <v>7.6397554948925972E-11</v>
      </c>
      <c r="S29" s="109"/>
      <c r="T29" s="146"/>
      <c r="U29" s="109"/>
    </row>
    <row r="30" spans="1:21" s="51" customFormat="1">
      <c r="A30" s="390"/>
      <c r="B30" s="52">
        <v>21</v>
      </c>
      <c r="C30" s="53" t="str">
        <f>'2180 (Reg.) - Price Out '!B33</f>
        <v>95 GL 1X MO NO RECY 1</v>
      </c>
      <c r="D30" s="161">
        <f>'2180 (Reg.) - Price Out '!I33</f>
        <v>194.1849505189476</v>
      </c>
      <c r="E30" s="54">
        <f>References!$B$13</f>
        <v>1</v>
      </c>
      <c r="F30" s="55">
        <f>D30*E30*References!$G$25</f>
        <v>2330.2194062273711</v>
      </c>
      <c r="G30" s="59">
        <f>References!$B$28</f>
        <v>68</v>
      </c>
      <c r="H30" s="59">
        <f t="shared" si="6"/>
        <v>158454.91962346123</v>
      </c>
      <c r="I30" s="56">
        <f t="shared" si="0"/>
        <v>130561.73858460643</v>
      </c>
      <c r="J30" s="57">
        <f>References!$C$56*'Disposal Calc'!I30</f>
        <v>254.59539023998349</v>
      </c>
      <c r="K30" s="57">
        <f>J30/References!$G$59</f>
        <v>259.817726543508</v>
      </c>
      <c r="L30" s="57">
        <f t="shared" si="2"/>
        <v>0.11149925446898296</v>
      </c>
      <c r="M30" s="58">
        <f>'Rate Sheet'!C45</f>
        <v>15.61</v>
      </c>
      <c r="N30" s="57">
        <f t="shared" si="8"/>
        <v>15.721499254468982</v>
      </c>
      <c r="O30" s="57">
        <f t="shared" si="5"/>
        <v>36374.724931209261</v>
      </c>
      <c r="P30" s="57">
        <f t="shared" si="3"/>
        <v>36634.542657752776</v>
      </c>
      <c r="Q30" s="57">
        <f t="shared" si="9"/>
        <v>259.81772654351516</v>
      </c>
      <c r="R30" s="109">
        <f t="shared" si="10"/>
        <v>7.1622707764618099E-12</v>
      </c>
      <c r="S30" s="109"/>
      <c r="T30" s="146"/>
      <c r="U30" s="109"/>
    </row>
    <row r="31" spans="1:21" s="51" customFormat="1">
      <c r="A31" s="390"/>
      <c r="B31" s="52">
        <v>21</v>
      </c>
      <c r="C31" s="53" t="str">
        <f>'2180 (Reg.) - Price Out '!B34</f>
        <v>95 GL 1X MO W/RECY 1</v>
      </c>
      <c r="D31" s="161">
        <f>'2180 (Reg.) - Price Out '!I34</f>
        <v>97.227892909549965</v>
      </c>
      <c r="E31" s="54">
        <f>References!$B$13</f>
        <v>1</v>
      </c>
      <c r="F31" s="55">
        <f>D31*E31*References!$G$25</f>
        <v>1166.7347149145996</v>
      </c>
      <c r="G31" s="59">
        <f>References!$B$28</f>
        <v>68</v>
      </c>
      <c r="H31" s="59">
        <f t="shared" si="6"/>
        <v>79337.96061419278</v>
      </c>
      <c r="I31" s="56">
        <f t="shared" si="0"/>
        <v>65371.918386384597</v>
      </c>
      <c r="J31" s="57">
        <f>References!$C$56*'Disposal Calc'!I31</f>
        <v>127.47524085345044</v>
      </c>
      <c r="K31" s="57">
        <f>J31/References!$G$59</f>
        <v>130.09005087605922</v>
      </c>
      <c r="L31" s="57">
        <f t="shared" si="2"/>
        <v>0.11149925446898296</v>
      </c>
      <c r="M31" s="58">
        <f>'Rate Sheet'!C44</f>
        <v>12.61</v>
      </c>
      <c r="N31" s="57">
        <f t="shared" si="8"/>
        <v>12.721499254468982</v>
      </c>
      <c r="O31" s="57">
        <f t="shared" si="5"/>
        <v>14712.5247550731</v>
      </c>
      <c r="P31" s="57">
        <f t="shared" si="3"/>
        <v>14842.614805949159</v>
      </c>
      <c r="Q31" s="57">
        <f t="shared" si="9"/>
        <v>130.09005087605874</v>
      </c>
      <c r="R31" s="109">
        <f t="shared" si="10"/>
        <v>-4.8316906031686813E-13</v>
      </c>
      <c r="S31" s="109"/>
      <c r="T31" s="146"/>
      <c r="U31" s="109"/>
    </row>
    <row r="32" spans="1:21" s="51" customFormat="1">
      <c r="A32" s="390"/>
      <c r="B32" s="52">
        <v>21</v>
      </c>
      <c r="C32" s="53" t="str">
        <f>'2180 (Reg.) - Price Out '!B35</f>
        <v>95 GL 1X WK NO RECY 1</v>
      </c>
      <c r="D32" s="161">
        <f>'2180 (Reg.) - Price Out '!I35</f>
        <v>82.960024211841855</v>
      </c>
      <c r="E32" s="54">
        <f>References!$B$11</f>
        <v>4.333333333333333</v>
      </c>
      <c r="F32" s="55">
        <f>D32*E32*References!$G$25</f>
        <v>4313.9212590157758</v>
      </c>
      <c r="G32" s="59">
        <f>References!$B$28</f>
        <v>68</v>
      </c>
      <c r="H32" s="59">
        <f t="shared" si="6"/>
        <v>293346.64561307273</v>
      </c>
      <c r="I32" s="56">
        <f t="shared" si="0"/>
        <v>241708.16627352234</v>
      </c>
      <c r="J32" s="57">
        <f>References!$C$56*'Disposal Calc'!I32</f>
        <v>471.3309242333703</v>
      </c>
      <c r="K32" s="57">
        <f>J32/References!$G$59</f>
        <v>480.99900421815522</v>
      </c>
      <c r="L32" s="57">
        <f t="shared" si="2"/>
        <v>0.48316343603225931</v>
      </c>
      <c r="M32" s="58">
        <f>'Rate Sheet'!C41</f>
        <v>36.9</v>
      </c>
      <c r="N32" s="57">
        <f t="shared" si="8"/>
        <v>37.383163436032255</v>
      </c>
      <c r="O32" s="57">
        <f t="shared" si="5"/>
        <v>36734.698721003573</v>
      </c>
      <c r="P32" s="57">
        <f t="shared" si="3"/>
        <v>37215.697725221718</v>
      </c>
      <c r="Q32" s="57">
        <f t="shared" si="9"/>
        <v>480.99900421814527</v>
      </c>
      <c r="R32" s="109">
        <f t="shared" si="10"/>
        <v>-9.9475983006414026E-12</v>
      </c>
      <c r="S32" s="109"/>
      <c r="T32" s="146"/>
      <c r="U32" s="109"/>
    </row>
    <row r="33" spans="1:21" s="51" customFormat="1">
      <c r="A33" s="390"/>
      <c r="B33" s="52">
        <v>21</v>
      </c>
      <c r="C33" s="110" t="str">
        <f>'2180 (Reg.) - Price Out '!B36</f>
        <v>95 GL 1X WK W/RECY 1</v>
      </c>
      <c r="D33" s="161">
        <f>'2180 (Reg.) - Price Out '!I36</f>
        <v>4943.176862989746</v>
      </c>
      <c r="E33" s="54">
        <f>References!$B$11</f>
        <v>4.333333333333333</v>
      </c>
      <c r="F33" s="55">
        <f>D33*E33*References!$G$25</f>
        <v>257045.19687546679</v>
      </c>
      <c r="G33" s="59">
        <f>References!$B$28</f>
        <v>68</v>
      </c>
      <c r="H33" s="59">
        <f t="shared" si="6"/>
        <v>17479073.387531742</v>
      </c>
      <c r="I33" s="56">
        <f t="shared" si="0"/>
        <v>14402192.218121434</v>
      </c>
      <c r="J33" s="57">
        <f>References!$C$56*'Disposal Calc'!I33</f>
        <v>28084.274825336899</v>
      </c>
      <c r="K33" s="57">
        <f>J33/References!$G$59</f>
        <v>28660.347816447495</v>
      </c>
      <c r="L33" s="57">
        <f t="shared" si="2"/>
        <v>0.48316343603225942</v>
      </c>
      <c r="M33" s="58">
        <f>'Rate Sheet'!C40</f>
        <v>33.9</v>
      </c>
      <c r="N33" s="111">
        <f>L33+M33</f>
        <v>34.383163436032255</v>
      </c>
      <c r="O33" s="57">
        <f t="shared" si="5"/>
        <v>2010884.3478642285</v>
      </c>
      <c r="P33" s="57">
        <f t="shared" si="3"/>
        <v>2039544.695680676</v>
      </c>
      <c r="Q33" s="57">
        <f t="shared" si="9"/>
        <v>28660.347816447495</v>
      </c>
      <c r="R33" s="109">
        <f t="shared" si="10"/>
        <v>0</v>
      </c>
      <c r="S33" s="109"/>
      <c r="T33" s="146"/>
      <c r="U33" s="109"/>
    </row>
    <row r="34" spans="1:21" s="51" customFormat="1">
      <c r="A34" s="390"/>
      <c r="B34" s="52">
        <v>21</v>
      </c>
      <c r="C34" s="53" t="str">
        <f>'2180 (Reg.) - Price Out '!B37</f>
        <v>95 GL EOW 1</v>
      </c>
      <c r="D34" s="161">
        <f>'2180 (Reg.) - Price Out '!I37</f>
        <v>273.15742320819112</v>
      </c>
      <c r="E34" s="54">
        <f>References!$B$12</f>
        <v>2.1666666666666665</v>
      </c>
      <c r="F34" s="55">
        <f>D34*E34*References!$G$25</f>
        <v>7102.0930034129688</v>
      </c>
      <c r="G34" s="59">
        <f>References!$B$28</f>
        <v>68</v>
      </c>
      <c r="H34" s="59">
        <f t="shared" si="6"/>
        <v>482942.32423208188</v>
      </c>
      <c r="I34" s="56">
        <f t="shared" si="0"/>
        <v>397928.8849955998</v>
      </c>
      <c r="J34" s="57">
        <f>References!$C$56*'Disposal Calc'!I34</f>
        <v>775.96132574142246</v>
      </c>
      <c r="K34" s="57">
        <f>J34/References!$G$59</f>
        <v>791.878075049926</v>
      </c>
      <c r="L34" s="57">
        <f t="shared" si="2"/>
        <v>0.24158171801612971</v>
      </c>
      <c r="M34" s="58">
        <f>'Rate Sheet'!C42</f>
        <v>21.09</v>
      </c>
      <c r="N34" s="57">
        <f t="shared" si="8"/>
        <v>21.331581718016128</v>
      </c>
      <c r="O34" s="57">
        <f t="shared" si="5"/>
        <v>69130.680665529013</v>
      </c>
      <c r="P34" s="57">
        <f t="shared" si="3"/>
        <v>69922.558740578927</v>
      </c>
      <c r="Q34" s="57">
        <f t="shared" si="9"/>
        <v>791.8780750499136</v>
      </c>
      <c r="R34" s="109">
        <f t="shared" si="10"/>
        <v>-1.2391865311656147E-11</v>
      </c>
      <c r="S34" s="109"/>
      <c r="T34" s="146"/>
      <c r="U34" s="109"/>
    </row>
    <row r="35" spans="1:21" s="51" customFormat="1">
      <c r="A35" s="390"/>
      <c r="B35" s="52">
        <v>21</v>
      </c>
      <c r="C35" s="53" t="str">
        <f>'2180 (Reg.) - Price Out '!B38</f>
        <v>95 GL EOW NO RECY 1</v>
      </c>
      <c r="D35" s="161">
        <f>'2180 (Reg.) - Price Out '!I38</f>
        <v>17.125</v>
      </c>
      <c r="E35" s="54">
        <f>References!$B$12</f>
        <v>2.1666666666666665</v>
      </c>
      <c r="F35" s="55">
        <f>D35*E35*References!$G$25</f>
        <v>445.25</v>
      </c>
      <c r="G35" s="59">
        <f>References!$B$28</f>
        <v>68</v>
      </c>
      <c r="H35" s="59">
        <f t="shared" si="6"/>
        <v>30277</v>
      </c>
      <c r="I35" s="56">
        <f t="shared" si="0"/>
        <v>24947.270608698949</v>
      </c>
      <c r="J35" s="57">
        <f>References!$C$56*'Disposal Calc'!I35</f>
        <v>48.647177686963133</v>
      </c>
      <c r="K35" s="57">
        <f>J35/References!$G$59</f>
        <v>49.645043052314655</v>
      </c>
      <c r="L35" s="57">
        <f t="shared" si="2"/>
        <v>0.24158171801612968</v>
      </c>
      <c r="M35" s="58">
        <f>'Rate Sheet'!C43</f>
        <v>24.09</v>
      </c>
      <c r="N35" s="57">
        <f t="shared" si="8"/>
        <v>24.331581718016128</v>
      </c>
      <c r="O35" s="57">
        <f t="shared" si="5"/>
        <v>4950.4949999999999</v>
      </c>
      <c r="P35" s="57">
        <f t="shared" si="3"/>
        <v>5000.1400430523145</v>
      </c>
      <c r="Q35" s="57">
        <f t="shared" si="9"/>
        <v>49.645043052314577</v>
      </c>
      <c r="R35" s="109">
        <f t="shared" si="10"/>
        <v>-7.815970093361102E-14</v>
      </c>
      <c r="S35" s="109"/>
      <c r="T35" s="146"/>
      <c r="U35" s="109"/>
    </row>
    <row r="36" spans="1:21" s="51" customFormat="1">
      <c r="A36" s="390"/>
      <c r="B36" s="52">
        <v>21</v>
      </c>
      <c r="C36" s="53" t="str">
        <f>'2180 (Reg.) - Price Out '!B39</f>
        <v>95 GL EOW W/RECY 1</v>
      </c>
      <c r="D36" s="161">
        <f>'2180 (Reg.) - Price Out '!I39</f>
        <v>387.80216532483155</v>
      </c>
      <c r="E36" s="54">
        <f>References!$B$12</f>
        <v>2.1666666666666665</v>
      </c>
      <c r="F36" s="55">
        <f>D36*E36*References!$G$25</f>
        <v>10082.856298445618</v>
      </c>
      <c r="G36" s="59">
        <f>References!$B$28</f>
        <v>68</v>
      </c>
      <c r="H36" s="59">
        <f t="shared" si="6"/>
        <v>685634.22829430201</v>
      </c>
      <c r="I36" s="56">
        <f t="shared" si="0"/>
        <v>564940.47071521042</v>
      </c>
      <c r="J36" s="57">
        <f>References!$C$56*'Disposal Calc'!I36</f>
        <v>1101.6339178946644</v>
      </c>
      <c r="K36" s="57">
        <f>J36/References!$G$59</f>
        <v>1124.2309601945753</v>
      </c>
      <c r="L36" s="57">
        <f t="shared" si="2"/>
        <v>0.24158171801612965</v>
      </c>
      <c r="M36" s="58">
        <f>M34</f>
        <v>21.09</v>
      </c>
      <c r="N36" s="57">
        <f t="shared" si="8"/>
        <v>21.331581718016128</v>
      </c>
      <c r="O36" s="57">
        <f t="shared" si="5"/>
        <v>98144.972000408365</v>
      </c>
      <c r="P36" s="57">
        <f t="shared" si="3"/>
        <v>99269.202960602939</v>
      </c>
      <c r="Q36" s="57">
        <f t="shared" si="9"/>
        <v>1124.2309601945744</v>
      </c>
      <c r="R36" s="109">
        <f t="shared" si="10"/>
        <v>0</v>
      </c>
      <c r="S36" s="109"/>
      <c r="T36" s="146"/>
      <c r="U36" s="109"/>
    </row>
    <row r="37" spans="1:21" s="51" customFormat="1">
      <c r="A37" s="390"/>
      <c r="B37" s="52">
        <v>26</v>
      </c>
      <c r="C37" s="53" t="str">
        <f>'2180 (Reg.) - Price Out '!B40</f>
        <v>BULKY ITEM PICK UP - RES</v>
      </c>
      <c r="D37" s="161">
        <f>'2180 (Reg.) - Price Out '!I40</f>
        <v>8.6666666666666661</v>
      </c>
      <c r="E37" s="54">
        <f>References!$B$13</f>
        <v>1</v>
      </c>
      <c r="F37" s="55">
        <f>D37*E37*References!$G$25</f>
        <v>104</v>
      </c>
      <c r="G37" s="59">
        <f>References!$B$49</f>
        <v>125</v>
      </c>
      <c r="H37" s="59">
        <f t="shared" ref="H37:H50" si="11">F37*G37</f>
        <v>13000</v>
      </c>
      <c r="I37" s="56">
        <f t="shared" si="0"/>
        <v>10711.580338642743</v>
      </c>
      <c r="J37" s="57">
        <f>References!$C$56*'Disposal Calc'!I37</f>
        <v>20.887581660353426</v>
      </c>
      <c r="K37" s="57">
        <f>J37/References!$G$59</f>
        <v>21.316033942599681</v>
      </c>
      <c r="L37" s="57">
        <f t="shared" si="2"/>
        <v>0.20496186483268924</v>
      </c>
      <c r="M37" s="58">
        <f>'Rate Sheet'!C98</f>
        <v>31.47</v>
      </c>
      <c r="N37" s="57">
        <f t="shared" ref="N37:N51" si="12">L37+M37</f>
        <v>31.674961864832689</v>
      </c>
      <c r="O37" s="57">
        <f>F37*M37</f>
        <v>3272.88</v>
      </c>
      <c r="P37" s="57">
        <f>F37*N37</f>
        <v>3294.1960339425996</v>
      </c>
      <c r="Q37" s="57">
        <f t="shared" ref="Q37:Q51" si="13">P37-O37</f>
        <v>21.316033942599461</v>
      </c>
      <c r="R37" s="109">
        <f t="shared" si="10"/>
        <v>-2.2026824808563106E-13</v>
      </c>
      <c r="S37" s="109"/>
      <c r="T37" s="146"/>
      <c r="U37" s="109"/>
    </row>
    <row r="38" spans="1:21" s="51" customFormat="1">
      <c r="A38" s="390"/>
      <c r="B38" s="52">
        <v>22</v>
      </c>
      <c r="C38" s="53" t="str">
        <f>'2180 (Reg.) - Price Out '!B41</f>
        <v>EXTRA PICK UP 96 GW - RES</v>
      </c>
      <c r="D38" s="161">
        <f>'2180 (Reg.) - Price Out '!I41</f>
        <v>37.666666666666664</v>
      </c>
      <c r="E38" s="54">
        <f>References!$B$13</f>
        <v>1</v>
      </c>
      <c r="F38" s="55">
        <f>D38*E38*References!$G$25</f>
        <v>452</v>
      </c>
      <c r="G38" s="59">
        <f>References!$B$28</f>
        <v>68</v>
      </c>
      <c r="H38" s="59">
        <f t="shared" si="11"/>
        <v>30736</v>
      </c>
      <c r="I38" s="56">
        <f t="shared" si="0"/>
        <v>25325.471791424876</v>
      </c>
      <c r="J38" s="57">
        <f>References!$C$56*'Disposal Calc'!I38</f>
        <v>49.384669993278692</v>
      </c>
      <c r="K38" s="57">
        <f>J38/References!$G$59</f>
        <v>50.3976630199803</v>
      </c>
      <c r="L38" s="57">
        <f t="shared" ref="L38" si="14">(K38/F38*E38)</f>
        <v>0.11149925446898297</v>
      </c>
      <c r="M38" s="58">
        <f>'Rate Sheet'!C99</f>
        <v>31.47</v>
      </c>
      <c r="N38" s="57">
        <f t="shared" ref="N38" si="15">L38+M38</f>
        <v>31.58149925446898</v>
      </c>
      <c r="O38" s="57">
        <f>F38*M38</f>
        <v>14224.439999999999</v>
      </c>
      <c r="P38" s="57">
        <f>F38*N38</f>
        <v>14274.837663019978</v>
      </c>
      <c r="Q38" s="57">
        <f t="shared" ref="Q38" si="16">P38-O38</f>
        <v>50.397663019979518</v>
      </c>
      <c r="R38" s="109">
        <f t="shared" ref="R38" si="17">Q38-K38</f>
        <v>-7.815970093361102E-13</v>
      </c>
      <c r="S38" s="109"/>
      <c r="T38" s="137"/>
      <c r="U38" s="109"/>
    </row>
    <row r="39" spans="1:21" s="51" customFormat="1">
      <c r="A39" s="390"/>
      <c r="B39" s="52">
        <v>22</v>
      </c>
      <c r="C39" s="53" t="str">
        <f>'2180 (Reg.) - Price Out '!B42</f>
        <v>EXTRA CAN, BAG, BOX - RES</v>
      </c>
      <c r="D39" s="161">
        <f>'2180 (Reg.) - Price Out '!I42</f>
        <v>2322.547729225711</v>
      </c>
      <c r="E39" s="54">
        <f>References!$B$13</f>
        <v>1</v>
      </c>
      <c r="F39" s="55">
        <f>D39*E39*References!$G$25</f>
        <v>27870.572750708532</v>
      </c>
      <c r="G39" s="55">
        <f>References!$B$20</f>
        <v>34</v>
      </c>
      <c r="H39" s="59">
        <f t="shared" si="11"/>
        <v>947599.47352409014</v>
      </c>
      <c r="I39" s="56">
        <f t="shared" si="0"/>
        <v>780791.37611606612</v>
      </c>
      <c r="J39" s="57">
        <f>References!$C$56*'Disposal Calc'!I39</f>
        <v>1522.5431834263347</v>
      </c>
      <c r="K39" s="57">
        <f>J39/References!$G$59</f>
        <v>1553.7740416637766</v>
      </c>
      <c r="L39" s="57">
        <f>(K39/F39)</f>
        <v>5.5749627234491485E-2</v>
      </c>
      <c r="M39" s="58">
        <f>'Rate Sheet'!C48</f>
        <v>4.2300000000000004</v>
      </c>
      <c r="N39" s="57">
        <f>L39+M39</f>
        <v>4.2857496272344919</v>
      </c>
      <c r="O39" s="57">
        <f t="shared" ref="O39:O51" si="18">F39*M39</f>
        <v>117892.5227354971</v>
      </c>
      <c r="P39" s="57">
        <f t="shared" ref="P39:P47" si="19">F39*N39</f>
        <v>119446.29677716088</v>
      </c>
      <c r="Q39" s="57">
        <f t="shared" si="13"/>
        <v>1553.7740416637826</v>
      </c>
      <c r="R39" s="109">
        <f t="shared" ref="R39:R47" si="20">Q39-K39</f>
        <v>5.9117155615240335E-12</v>
      </c>
      <c r="S39" s="109"/>
      <c r="T39" s="146"/>
      <c r="U39" s="109"/>
    </row>
    <row r="40" spans="1:21" s="51" customFormat="1">
      <c r="A40" s="390"/>
      <c r="B40" s="52">
        <v>26</v>
      </c>
      <c r="C40" s="53" t="str">
        <f>'2180 (Reg.) - Price Out '!B43</f>
        <v>EXTRA YARDAGE - RES</v>
      </c>
      <c r="D40" s="161">
        <f>'2180 (Reg.) - Price Out '!I43</f>
        <v>0.41666666666666669</v>
      </c>
      <c r="E40" s="54">
        <f>References!$B$13</f>
        <v>1</v>
      </c>
      <c r="F40" s="55">
        <f>D40*E40*References!$G$25</f>
        <v>5</v>
      </c>
      <c r="G40" s="59">
        <f>References!$B$49</f>
        <v>125</v>
      </c>
      <c r="H40" s="59">
        <f t="shared" si="11"/>
        <v>625</v>
      </c>
      <c r="I40" s="56">
        <f t="shared" si="0"/>
        <v>514.97982397320879</v>
      </c>
      <c r="J40" s="57">
        <f>References!$C$56*'Disposal Calc'!I40</f>
        <v>1.0042106567477609</v>
      </c>
      <c r="K40" s="57">
        <f>J40/References!$G$59</f>
        <v>1.0248093241634462</v>
      </c>
      <c r="L40" s="57">
        <f t="shared" ref="L40:L47" si="21">(K40/F40)</f>
        <v>0.20496186483268924</v>
      </c>
      <c r="M40" s="58">
        <f>'Rate Sheet'!C98</f>
        <v>31.47</v>
      </c>
      <c r="N40" s="57">
        <f t="shared" si="12"/>
        <v>31.674961864832689</v>
      </c>
      <c r="O40" s="57">
        <f t="shared" si="18"/>
        <v>157.35</v>
      </c>
      <c r="P40" s="57">
        <f t="shared" si="19"/>
        <v>158.37480932416344</v>
      </c>
      <c r="Q40" s="57">
        <f t="shared" si="13"/>
        <v>1.0248093241634422</v>
      </c>
      <c r="R40" s="109">
        <f t="shared" si="20"/>
        <v>-3.9968028886505635E-15</v>
      </c>
      <c r="S40" s="109"/>
      <c r="T40" s="146"/>
      <c r="U40" s="109"/>
    </row>
    <row r="41" spans="1:21" s="51" customFormat="1">
      <c r="A41" s="390"/>
      <c r="B41" s="52">
        <v>16</v>
      </c>
      <c r="C41" s="53" t="str">
        <f>'2180 (Reg.) - Price Out '!B44</f>
        <v>OVERSIZE CAN - RES</v>
      </c>
      <c r="D41" s="161">
        <f>'2180 (Reg.) - Price Out '!I44</f>
        <v>33.490811061938864</v>
      </c>
      <c r="E41" s="54">
        <f>References!$B$13</f>
        <v>1</v>
      </c>
      <c r="F41" s="55">
        <f>D41*E41*References!$G$25</f>
        <v>401.88973274326634</v>
      </c>
      <c r="G41" s="55">
        <f>References!$B$31</f>
        <v>40</v>
      </c>
      <c r="H41" s="59">
        <f t="shared" si="11"/>
        <v>16075.589309730654</v>
      </c>
      <c r="I41" s="56">
        <f t="shared" si="0"/>
        <v>13245.766644785104</v>
      </c>
      <c r="J41" s="57">
        <f>References!$C$56*'Disposal Calc'!I41</f>
        <v>25.829244957331049</v>
      </c>
      <c r="K41" s="57">
        <f>J41/References!$G$59</f>
        <v>26.359062105654708</v>
      </c>
      <c r="L41" s="57">
        <f t="shared" si="21"/>
        <v>6.5587796746460564E-2</v>
      </c>
      <c r="M41" s="58">
        <f>'Rate Sheet'!C8</f>
        <v>7.55</v>
      </c>
      <c r="N41" s="57">
        <f t="shared" si="12"/>
        <v>7.6155877967464605</v>
      </c>
      <c r="O41" s="57">
        <f t="shared" si="18"/>
        <v>3034.267482211661</v>
      </c>
      <c r="P41" s="57">
        <f t="shared" si="19"/>
        <v>3060.6265443173156</v>
      </c>
      <c r="Q41" s="57">
        <f t="shared" si="13"/>
        <v>26.35906210565463</v>
      </c>
      <c r="R41" s="109">
        <f t="shared" si="20"/>
        <v>-7.815970093361102E-14</v>
      </c>
      <c r="S41" s="109"/>
      <c r="T41" s="146"/>
      <c r="U41" s="109"/>
    </row>
    <row r="42" spans="1:21" s="51" customFormat="1">
      <c r="A42" s="390"/>
      <c r="B42" s="52">
        <v>16</v>
      </c>
      <c r="C42" s="53" t="str">
        <f>'2180 (Reg.) - Price Out '!B45</f>
        <v>OVERFILL / OVERWEIGHT CAN</v>
      </c>
      <c r="D42" s="161">
        <f>'2180 (Reg.) - Price Out '!I45</f>
        <v>21.38065682817782</v>
      </c>
      <c r="E42" s="54">
        <f>References!$B$13</f>
        <v>1</v>
      </c>
      <c r="F42" s="55">
        <f>D42*E42*References!$G$25</f>
        <v>256.56788193813384</v>
      </c>
      <c r="G42" s="55">
        <f>References!$B$31</f>
        <v>40</v>
      </c>
      <c r="H42" s="59">
        <f t="shared" si="11"/>
        <v>10262.715277525353</v>
      </c>
      <c r="I42" s="56">
        <f t="shared" si="0"/>
        <v>8456.1460913714673</v>
      </c>
      <c r="J42" s="57">
        <f>References!$C$56*'Disposal Calc'!I42</f>
        <v>16.489484878174423</v>
      </c>
      <c r="K42" s="57">
        <f>J42/References!$G$59</f>
        <v>16.82772209222821</v>
      </c>
      <c r="L42" s="57">
        <f t="shared" si="21"/>
        <v>6.558779674646055E-2</v>
      </c>
      <c r="M42" s="58">
        <f>'Rate Sheet'!C8</f>
        <v>7.55</v>
      </c>
      <c r="N42" s="57">
        <f t="shared" si="12"/>
        <v>7.6155877967464605</v>
      </c>
      <c r="O42" s="57">
        <f t="shared" si="18"/>
        <v>1937.0875086329104</v>
      </c>
      <c r="P42" s="57">
        <f t="shared" si="19"/>
        <v>1953.9152307251386</v>
      </c>
      <c r="Q42" s="57">
        <f t="shared" si="13"/>
        <v>16.827722092228214</v>
      </c>
      <c r="R42" s="109">
        <f t="shared" si="20"/>
        <v>0</v>
      </c>
      <c r="S42" s="109"/>
      <c r="T42" s="146"/>
      <c r="U42" s="109"/>
    </row>
    <row r="43" spans="1:21" s="51" customFormat="1">
      <c r="A43" s="390"/>
      <c r="B43" s="52">
        <v>34</v>
      </c>
      <c r="C43" s="53" t="str">
        <f>'2180 (Reg.) - Price Out '!B46</f>
        <v>SPECIAL 32 GL - RES</v>
      </c>
      <c r="D43" s="161">
        <f>'2180 (Reg.) - Price Out '!I46</f>
        <v>0.16666666666666666</v>
      </c>
      <c r="E43" s="54">
        <f>References!$B$13</f>
        <v>1</v>
      </c>
      <c r="F43" s="55">
        <f>D43*E43*References!$G$25</f>
        <v>2</v>
      </c>
      <c r="G43" s="55">
        <f>References!$B$20</f>
        <v>34</v>
      </c>
      <c r="H43" s="59">
        <f t="shared" si="11"/>
        <v>68</v>
      </c>
      <c r="I43" s="56">
        <f t="shared" si="0"/>
        <v>56.029804848285117</v>
      </c>
      <c r="J43" s="57">
        <f>References!$C$56*'Disposal Calc'!I43</f>
        <v>0.10925811945415638</v>
      </c>
      <c r="K43" s="57">
        <f>J43/References!$G$59</f>
        <v>0.11149925446898294</v>
      </c>
      <c r="L43" s="57">
        <f t="shared" si="21"/>
        <v>5.5749627234491471E-2</v>
      </c>
      <c r="M43" s="58">
        <f>'Rate Sheet'!C51</f>
        <v>7.73</v>
      </c>
      <c r="N43" s="57">
        <f t="shared" si="12"/>
        <v>7.7857496272344919</v>
      </c>
      <c r="O43" s="57">
        <f t="shared" si="18"/>
        <v>15.46</v>
      </c>
      <c r="P43" s="57">
        <f t="shared" si="19"/>
        <v>15.571499254468984</v>
      </c>
      <c r="Q43" s="57">
        <f t="shared" si="13"/>
        <v>0.11149925446898301</v>
      </c>
      <c r="R43" s="109">
        <f t="shared" si="20"/>
        <v>0</v>
      </c>
      <c r="S43" s="109"/>
      <c r="T43" s="146"/>
      <c r="U43" s="109"/>
    </row>
    <row r="44" spans="1:21" s="51" customFormat="1">
      <c r="A44" s="390"/>
      <c r="B44" s="52">
        <v>34</v>
      </c>
      <c r="C44" s="110" t="str">
        <f>'2180 (Reg.) - Price Out '!B47</f>
        <v>SPECIAL 65 GL - RES</v>
      </c>
      <c r="D44" s="161">
        <f>'2180 (Reg.) - Price Out '!I47</f>
        <v>20.114527027027023</v>
      </c>
      <c r="E44" s="54">
        <f>References!$B$13</f>
        <v>1</v>
      </c>
      <c r="F44" s="55">
        <f>D44*E44*References!$G$25</f>
        <v>241.37432432432428</v>
      </c>
      <c r="G44" s="59">
        <f>References!$B$27</f>
        <v>47</v>
      </c>
      <c r="H44" s="59">
        <f t="shared" si="11"/>
        <v>11344.593243243242</v>
      </c>
      <c r="I44" s="56">
        <f t="shared" si="0"/>
        <v>9347.5786103248938</v>
      </c>
      <c r="J44" s="57">
        <f>References!$C$56*'Disposal Calc'!I44</f>
        <v>18.22777829013361</v>
      </c>
      <c r="K44" s="57">
        <f>J44/References!$G$59</f>
        <v>18.601671895227685</v>
      </c>
      <c r="L44" s="57">
        <f t="shared" si="21"/>
        <v>7.7065661177091155E-2</v>
      </c>
      <c r="M44" s="58">
        <f>'Rate Sheet'!C49</f>
        <v>9.1</v>
      </c>
      <c r="N44" s="57">
        <f t="shared" si="12"/>
        <v>9.1770656611770907</v>
      </c>
      <c r="O44" s="57">
        <f t="shared" si="18"/>
        <v>2196.506351351351</v>
      </c>
      <c r="P44" s="57">
        <f t="shared" si="19"/>
        <v>2215.1080232465783</v>
      </c>
      <c r="Q44" s="57">
        <f t="shared" si="13"/>
        <v>18.601671895227355</v>
      </c>
      <c r="R44" s="109">
        <f t="shared" si="20"/>
        <v>-3.3040237212844659E-13</v>
      </c>
      <c r="S44" s="109"/>
      <c r="T44" s="146"/>
      <c r="U44" s="109"/>
    </row>
    <row r="45" spans="1:21" s="51" customFormat="1">
      <c r="A45" s="390"/>
      <c r="B45" s="52">
        <v>34</v>
      </c>
      <c r="C45" s="110" t="str">
        <f>'2180 (Reg.) - Price Out '!B48</f>
        <v>SPECIAL 95 GL - RES</v>
      </c>
      <c r="D45" s="161">
        <f>'2180 (Reg.) - Price Out '!I48</f>
        <v>13.407342024262176</v>
      </c>
      <c r="E45" s="54">
        <f>References!$B$13</f>
        <v>1</v>
      </c>
      <c r="F45" s="55">
        <f>D45*E45*References!$G$25</f>
        <v>160.88810429114611</v>
      </c>
      <c r="G45" s="59">
        <f>References!$B$28</f>
        <v>68</v>
      </c>
      <c r="H45" s="59">
        <f t="shared" si="11"/>
        <v>10940.391091797936</v>
      </c>
      <c r="I45" s="56">
        <f t="shared" si="0"/>
        <v>9014.5290858434601</v>
      </c>
      <c r="J45" s="57">
        <f>References!$C$56*'Disposal Calc'!I45</f>
        <v>17.578331717394814</v>
      </c>
      <c r="K45" s="57">
        <f>J45/References!$G$59</f>
        <v>17.938903681390769</v>
      </c>
      <c r="L45" s="57">
        <f t="shared" si="21"/>
        <v>0.11149925446898296</v>
      </c>
      <c r="M45" s="58">
        <f>'Rate Sheet'!C50</f>
        <v>11.96</v>
      </c>
      <c r="N45" s="57">
        <f t="shared" si="12"/>
        <v>12.071499254468984</v>
      </c>
      <c r="O45" s="57">
        <f t="shared" si="18"/>
        <v>1924.2217273221077</v>
      </c>
      <c r="P45" s="57">
        <f t="shared" si="19"/>
        <v>1942.1606310034983</v>
      </c>
      <c r="Q45" s="57">
        <f t="shared" si="13"/>
        <v>17.938903681390684</v>
      </c>
      <c r="R45" s="109">
        <f t="shared" si="20"/>
        <v>-8.5265128291212022E-14</v>
      </c>
      <c r="S45" s="109"/>
      <c r="T45" s="146"/>
      <c r="U45" s="109"/>
    </row>
    <row r="46" spans="1:21" s="51" customFormat="1">
      <c r="A46" s="390"/>
      <c r="B46" s="52">
        <v>34</v>
      </c>
      <c r="C46" s="110" t="str">
        <f>'2180 (Reg.) - Price Out '!B49</f>
        <v>SPECIAL PICK UP 65 GL - RES</v>
      </c>
      <c r="D46" s="161">
        <f>'2180 (Reg.) - Price Out '!I49</f>
        <v>0.33333333333333331</v>
      </c>
      <c r="E46" s="54">
        <f>References!$B$13</f>
        <v>1</v>
      </c>
      <c r="F46" s="55">
        <f>D46*E46*References!$G$25</f>
        <v>4</v>
      </c>
      <c r="G46" s="59">
        <f>References!$B$27</f>
        <v>47</v>
      </c>
      <c r="H46" s="59">
        <f t="shared" si="11"/>
        <v>188</v>
      </c>
      <c r="I46" s="56">
        <f t="shared" si="0"/>
        <v>154.90593105114121</v>
      </c>
      <c r="J46" s="57">
        <f>References!$C$56*'Disposal Calc'!I46</f>
        <v>0.3020665655497265</v>
      </c>
      <c r="K46" s="57">
        <f>J46/References!$G$59</f>
        <v>0.30826264470836462</v>
      </c>
      <c r="L46" s="57">
        <f t="shared" si="21"/>
        <v>7.7065661177091155E-2</v>
      </c>
      <c r="M46" s="58">
        <f>M44</f>
        <v>9.1</v>
      </c>
      <c r="N46" s="57">
        <f t="shared" si="12"/>
        <v>9.1770656611770907</v>
      </c>
      <c r="O46" s="57">
        <f t="shared" si="18"/>
        <v>36.4</v>
      </c>
      <c r="P46" s="57">
        <f t="shared" si="19"/>
        <v>36.708262644708363</v>
      </c>
      <c r="Q46" s="57">
        <f t="shared" si="13"/>
        <v>0.30826264470836406</v>
      </c>
      <c r="R46" s="109">
        <f t="shared" si="20"/>
        <v>-5.5511151231257827E-16</v>
      </c>
      <c r="S46" s="109"/>
      <c r="T46" s="146"/>
      <c r="U46" s="109"/>
    </row>
    <row r="47" spans="1:21" s="51" customFormat="1">
      <c r="A47" s="390"/>
      <c r="B47" s="52">
        <v>34</v>
      </c>
      <c r="C47" s="110" t="str">
        <f>'2180 (Reg.) - Price Out '!B50</f>
        <v>SPECIAL PICK UP 95 GL - R</v>
      </c>
      <c r="D47" s="161">
        <f>'2180 (Reg.) - Price Out '!I50</f>
        <v>0.18292456335934595</v>
      </c>
      <c r="E47" s="54">
        <f>References!$B$13</f>
        <v>1</v>
      </c>
      <c r="F47" s="55">
        <f>D47*E47*References!$G$25</f>
        <v>2.1950947603121516</v>
      </c>
      <c r="G47" s="59">
        <f>References!$B$28</f>
        <v>68</v>
      </c>
      <c r="H47" s="59">
        <f t="shared" si="11"/>
        <v>149.26644370122631</v>
      </c>
      <c r="I47" s="56">
        <f t="shared" si="0"/>
        <v>122.99073104378306</v>
      </c>
      <c r="J47" s="57">
        <f>References!$C$56*'Disposal Calc'!I47</f>
        <v>0.23983192553537785</v>
      </c>
      <c r="K47" s="57">
        <f>J47/References!$G$59</f>
        <v>0.24475142926357574</v>
      </c>
      <c r="L47" s="57">
        <f t="shared" si="21"/>
        <v>0.11149925446898296</v>
      </c>
      <c r="M47" s="58">
        <f>M45</f>
        <v>11.96</v>
      </c>
      <c r="N47" s="57">
        <f t="shared" si="12"/>
        <v>12.071499254468984</v>
      </c>
      <c r="O47" s="57">
        <f t="shared" si="18"/>
        <v>26.253333333333334</v>
      </c>
      <c r="P47" s="57">
        <f t="shared" si="19"/>
        <v>26.49808476259691</v>
      </c>
      <c r="Q47" s="57">
        <f t="shared" si="13"/>
        <v>0.24475142926357663</v>
      </c>
      <c r="R47" s="109">
        <f t="shared" si="20"/>
        <v>8.8817841970012523E-16</v>
      </c>
      <c r="S47" s="109"/>
      <c r="T47" s="146"/>
      <c r="U47" s="109"/>
    </row>
    <row r="48" spans="1:21" s="51" customFormat="1">
      <c r="A48" s="390"/>
      <c r="B48" s="52">
        <v>34</v>
      </c>
      <c r="C48" s="53" t="str">
        <f>'2180 (Reg.) - Price Out '!B51</f>
        <v>SPECIAL SERVICE - RES</v>
      </c>
      <c r="D48" s="161">
        <f>'2180 (Reg.) - Price Out '!I51</f>
        <v>0.13579408212560387</v>
      </c>
      <c r="E48" s="54">
        <f>References!$B$13</f>
        <v>1</v>
      </c>
      <c r="F48" s="55">
        <f>D48*E48*References!$G$25</f>
        <v>1.6295289855072466</v>
      </c>
      <c r="G48" s="55">
        <f>References!$B$20</f>
        <v>34</v>
      </c>
      <c r="H48" s="59">
        <f t="shared" ref="H48:H49" si="22">F48*G48</f>
        <v>55.403985507246382</v>
      </c>
      <c r="I48" s="56">
        <f t="shared" si="0"/>
        <v>45.651095526297524</v>
      </c>
      <c r="J48" s="57">
        <f>References!$C$56*'Disposal Calc'!I48</f>
        <v>8.9019636276280512E-2</v>
      </c>
      <c r="K48" s="57">
        <f>J48/References!$G$59</f>
        <v>9.084563350982805E-2</v>
      </c>
      <c r="L48" s="57">
        <f t="shared" ref="L48:L49" si="23">(K48/F48)</f>
        <v>5.5749627234491471E-2</v>
      </c>
      <c r="M48" s="58">
        <f t="shared" ref="M48:M49" si="24">M46</f>
        <v>9.1</v>
      </c>
      <c r="N48" s="57">
        <f t="shared" ref="N48:N49" si="25">L48+M48</f>
        <v>9.1557496272344903</v>
      </c>
      <c r="O48" s="57">
        <f t="shared" ref="O48:O49" si="26">F48*M48</f>
        <v>14.828713768115943</v>
      </c>
      <c r="P48" s="57">
        <f t="shared" ref="P48:P49" si="27">F48*N48</f>
        <v>14.91955940162577</v>
      </c>
      <c r="Q48" s="57">
        <f t="shared" ref="Q48:Q49" si="28">P48-O48</f>
        <v>9.084563350982755E-2</v>
      </c>
      <c r="S48" s="109"/>
      <c r="T48" s="137"/>
      <c r="U48" s="109"/>
    </row>
    <row r="49" spans="1:21" s="51" customFormat="1">
      <c r="A49" s="390"/>
      <c r="B49" s="52">
        <v>34</v>
      </c>
      <c r="C49" s="53" t="str">
        <f>'2180 (Reg.) - Price Out '!B52</f>
        <v>SPECIAL PICK UP RECYCLE - RES</v>
      </c>
      <c r="D49" s="161">
        <f>'2180 (Reg.) - Price Out '!I52</f>
        <v>0.30026809651474534</v>
      </c>
      <c r="E49" s="54">
        <f>References!$B$13</f>
        <v>1</v>
      </c>
      <c r="F49" s="55">
        <f>D49*E49*References!$G$25</f>
        <v>3.6032171581769443</v>
      </c>
      <c r="G49" s="55">
        <f>References!$B$20</f>
        <v>34</v>
      </c>
      <c r="H49" s="59">
        <f t="shared" si="22"/>
        <v>122.50938337801611</v>
      </c>
      <c r="I49" s="56">
        <f t="shared" si="0"/>
        <v>100.94377709932334</v>
      </c>
      <c r="J49" s="57">
        <f>References!$C$56*'Disposal Calc'!I49</f>
        <v>0.19684036534368124</v>
      </c>
      <c r="K49" s="57">
        <f>J49/References!$G$59</f>
        <v>0.20087801341328834</v>
      </c>
      <c r="L49" s="57">
        <f t="shared" si="23"/>
        <v>5.5749627234491471E-2</v>
      </c>
      <c r="M49" s="58">
        <f t="shared" si="24"/>
        <v>11.96</v>
      </c>
      <c r="N49" s="57">
        <f t="shared" si="25"/>
        <v>12.015749627234491</v>
      </c>
      <c r="O49" s="57">
        <f t="shared" si="26"/>
        <v>43.09447721179626</v>
      </c>
      <c r="P49" s="57">
        <f t="shared" si="27"/>
        <v>43.295355225209541</v>
      </c>
      <c r="Q49" s="57">
        <f t="shared" si="28"/>
        <v>0.2008780134132806</v>
      </c>
      <c r="S49" s="109"/>
    </row>
    <row r="50" spans="1:21" s="51" customFormat="1">
      <c r="A50" s="390"/>
      <c r="B50" s="52">
        <v>22</v>
      </c>
      <c r="C50" s="53" t="str">
        <f>'2180 (Reg.) - Price Out '!B63</f>
        <v>PREPAID BAG - RES</v>
      </c>
      <c r="D50" s="161">
        <f>'2180 (Reg.) - Price Out '!I63</f>
        <v>8.4583333333333321</v>
      </c>
      <c r="E50" s="54">
        <f>References!$B$13</f>
        <v>1</v>
      </c>
      <c r="F50" s="55">
        <f>D50*E50*References!$G$25</f>
        <v>101.49999999999999</v>
      </c>
      <c r="G50" s="59">
        <f>'2180 (Reg.) - Price Out '!L63</f>
        <v>34</v>
      </c>
      <c r="H50" s="59">
        <f t="shared" si="11"/>
        <v>3450.9999999999995</v>
      </c>
      <c r="I50" s="56">
        <f t="shared" si="0"/>
        <v>2843.5125960504693</v>
      </c>
      <c r="J50" s="57">
        <f>References!$C$56*'Disposal Calc'!I50</f>
        <v>5.5448495622984355</v>
      </c>
      <c r="K50" s="57">
        <f>J50/References!$G$59</f>
        <v>5.6585871643008829</v>
      </c>
      <c r="L50" s="57">
        <f t="shared" ref="L50" si="29">(K50/F50)</f>
        <v>5.5749627234491464E-2</v>
      </c>
      <c r="M50" s="58">
        <f>'Rate Sheet'!C52</f>
        <v>4.93</v>
      </c>
      <c r="N50" s="57">
        <f t="shared" si="12"/>
        <v>4.9857496272344912</v>
      </c>
      <c r="O50" s="57">
        <f t="shared" si="18"/>
        <v>500.39499999999992</v>
      </c>
      <c r="P50" s="57">
        <f t="shared" ref="P50" si="30">F50*N50</f>
        <v>506.05358716430078</v>
      </c>
      <c r="Q50" s="57">
        <f t="shared" si="13"/>
        <v>5.6585871643008545</v>
      </c>
      <c r="R50" s="109">
        <f>Q50-K50</f>
        <v>-2.8421709430404007E-14</v>
      </c>
      <c r="S50" s="109"/>
      <c r="T50" s="146"/>
      <c r="U50" s="109"/>
    </row>
    <row r="51" spans="1:21" s="51" customFormat="1">
      <c r="A51" s="390"/>
      <c r="B51" s="52">
        <v>22</v>
      </c>
      <c r="C51" s="53" t="str">
        <f>'2180 (Reg.) - Price Out '!B65</f>
        <v>ON CALL SERVICE - RES</v>
      </c>
      <c r="D51" s="161">
        <f>'2180 (Reg.) - Price Out '!I65</f>
        <v>76.388270243004627</v>
      </c>
      <c r="E51" s="54">
        <f>References!$B$13</f>
        <v>1</v>
      </c>
      <c r="F51" s="55">
        <f>D51*E51*References!$G$25</f>
        <v>916.65924291605552</v>
      </c>
      <c r="G51" s="59">
        <f>'2180 (Reg.) - Price Out '!L65</f>
        <v>34</v>
      </c>
      <c r="H51" s="59">
        <f t="shared" ref="H51" si="31">F51*G51</f>
        <v>31166.414259145888</v>
      </c>
      <c r="I51" s="56">
        <f t="shared" si="0"/>
        <v>25680.119246481689</v>
      </c>
      <c r="J51" s="57">
        <f>References!$C$56*'Disposal Calc'!I51</f>
        <v>50.07623253063948</v>
      </c>
      <c r="K51" s="57">
        <f>J51/References!$G$59</f>
        <v>51.103411093621268</v>
      </c>
      <c r="L51" s="57">
        <f t="shared" ref="L51" si="32">(K51/F51)</f>
        <v>5.5749627234491478E-2</v>
      </c>
      <c r="M51" s="58">
        <f>'Rate Sheet'!C51</f>
        <v>7.73</v>
      </c>
      <c r="N51" s="57">
        <f t="shared" si="12"/>
        <v>7.7857496272344919</v>
      </c>
      <c r="O51" s="57">
        <f t="shared" si="18"/>
        <v>7085.7759477411091</v>
      </c>
      <c r="P51" s="57">
        <f t="shared" ref="P51" si="33">F51*N51</f>
        <v>7136.8793588347307</v>
      </c>
      <c r="Q51" s="57">
        <f t="shared" si="13"/>
        <v>51.103411093621617</v>
      </c>
      <c r="R51" s="109">
        <f>Q51-K51</f>
        <v>3.4816594052244909E-13</v>
      </c>
      <c r="S51" s="109"/>
      <c r="T51" s="146"/>
      <c r="U51" s="109"/>
    </row>
    <row r="52" spans="1:21" s="51" customFormat="1">
      <c r="A52" s="66"/>
      <c r="B52" s="67"/>
      <c r="C52" s="68" t="s">
        <v>628</v>
      </c>
      <c r="D52" s="69">
        <f>SUM(D8:D51)</f>
        <v>46005.866896826643</v>
      </c>
      <c r="E52" s="70"/>
      <c r="F52" s="69">
        <f>SUM(F8:F51)</f>
        <v>1960733.6050085274</v>
      </c>
      <c r="G52" s="71"/>
      <c r="H52" s="69">
        <f>SUM(H8:H51)</f>
        <v>94969735.077808693</v>
      </c>
      <c r="I52" s="69">
        <f>SUM(I8:I51)</f>
        <v>78251995.925043553</v>
      </c>
      <c r="J52" s="69">
        <f>SUM(J8:J51)</f>
        <v>152591.39205383541</v>
      </c>
      <c r="K52" s="69">
        <f>SUM(K8:K51)</f>
        <v>155721.39203371303</v>
      </c>
      <c r="L52" s="72"/>
      <c r="M52" s="72"/>
      <c r="N52" s="72"/>
      <c r="O52" s="69">
        <f>SUM(O8:O51)</f>
        <v>12263206.960636962</v>
      </c>
      <c r="P52" s="69">
        <f>SUM(P8:P51)</f>
        <v>12418928.352670679</v>
      </c>
      <c r="Q52" s="69">
        <f>SUM(Q8:Q51)</f>
        <v>155721.3920337134</v>
      </c>
      <c r="R52" s="365">
        <f>Q52/O52</f>
        <v>1.2698260131591638E-2</v>
      </c>
      <c r="S52" s="149"/>
      <c r="T52" s="149"/>
    </row>
    <row r="53" spans="1:21" s="51" customFormat="1" ht="15.75" customHeight="1">
      <c r="A53" s="389" t="s">
        <v>617</v>
      </c>
      <c r="B53" s="52">
        <v>33</v>
      </c>
      <c r="C53" s="53" t="str">
        <f>'2180 (Reg.) - Price Out '!B80</f>
        <v>1 YD 1X WK 1</v>
      </c>
      <c r="D53" s="161">
        <f>'2180 (Reg.) - Price Out '!I80</f>
        <v>1437.0591780721722</v>
      </c>
      <c r="E53" s="54">
        <f>References!$B$11</f>
        <v>4.333333333333333</v>
      </c>
      <c r="F53" s="55">
        <f>D53*E53*References!$G$25</f>
        <v>74727.077259752943</v>
      </c>
      <c r="G53" s="55">
        <f>References!$B$34</f>
        <v>175</v>
      </c>
      <c r="H53" s="55">
        <f>F53*G53</f>
        <v>13077238.520456765</v>
      </c>
      <c r="I53" s="56">
        <f t="shared" ref="I53:I84" si="34">$D$157*H53</f>
        <v>10775222.386112785</v>
      </c>
      <c r="J53" s="57">
        <f>References!$C$56*'Disposal Calc'!I53</f>
        <v>21011.683652920008</v>
      </c>
      <c r="K53" s="57">
        <f>J53/References!$G$59</f>
        <v>21442.68155211757</v>
      </c>
      <c r="L53" s="57">
        <f>(K53/F53)</f>
        <v>0.28694661076576494</v>
      </c>
      <c r="M53" s="58">
        <f>'Rate Sheet'!$C$114</f>
        <v>30.93</v>
      </c>
      <c r="N53" s="57">
        <f t="shared" ref="N53:N109" si="35">L53+M53</f>
        <v>31.216946610765763</v>
      </c>
      <c r="O53" s="135">
        <f>(D53*M53*12)+D53*References!J11*12*'Rate Sheet'!C115</f>
        <v>1555990.1956494253</v>
      </c>
      <c r="P53" s="135">
        <f>(D53*N53*12)+D53*References!J11*12*'Rate Sheet'!E115</f>
        <v>1577608.3932424742</v>
      </c>
      <c r="Q53" s="135">
        <f>P53-O53</f>
        <v>21618.197593048913</v>
      </c>
      <c r="R53" s="109">
        <f t="shared" ref="R53:R84" si="36">Q53-K53</f>
        <v>175.51604093134301</v>
      </c>
      <c r="S53" s="166"/>
      <c r="T53" s="362"/>
      <c r="U53" s="363"/>
    </row>
    <row r="54" spans="1:21" s="51" customFormat="1">
      <c r="A54" s="390"/>
      <c r="B54" s="52">
        <v>33</v>
      </c>
      <c r="C54" s="53" t="str">
        <f>'2180 (Reg.) - Price Out '!B81</f>
        <v>1 YD 2X WK 1</v>
      </c>
      <c r="D54" s="161">
        <f>'2180 (Reg.) - Price Out '!I81</f>
        <v>6.2737218777247206</v>
      </c>
      <c r="E54" s="54">
        <f>References!$B$10</f>
        <v>8.6666666666666661</v>
      </c>
      <c r="F54" s="55">
        <f>D54*E54*References!$G$25</f>
        <v>652.46707528337083</v>
      </c>
      <c r="G54" s="55">
        <f>References!$B$34</f>
        <v>175</v>
      </c>
      <c r="H54" s="55">
        <f t="shared" ref="H54:H65" si="37">F54*G54</f>
        <v>114181.73817458989</v>
      </c>
      <c r="I54" s="56">
        <f t="shared" si="34"/>
        <v>94082.066281768508</v>
      </c>
      <c r="J54" s="57">
        <f>References!$C$56*'Disposal Calc'!I54</f>
        <v>183.46002924944926</v>
      </c>
      <c r="K54" s="57">
        <f>J54/References!$G$59</f>
        <v>187.22321588881442</v>
      </c>
      <c r="L54" s="57">
        <f t="shared" ref="L54:L84" si="38">(K54/F54)</f>
        <v>0.28694661076576489</v>
      </c>
      <c r="M54" s="58">
        <f>'Rate Sheet'!$C$114</f>
        <v>30.93</v>
      </c>
      <c r="N54" s="57">
        <f t="shared" si="35"/>
        <v>31.216946610765763</v>
      </c>
      <c r="O54" s="135">
        <f>(D54*M54*12)+D54*References!J10*12*'Rate Sheet'!C115</f>
        <v>12596.629734970804</v>
      </c>
      <c r="P54" s="135">
        <f>(N54*D54*12)+('Rate Sheet'!$E$115*References!$J$10*12*D54)</f>
        <v>12785.615313424898</v>
      </c>
      <c r="Q54" s="135">
        <f t="shared" ref="Q54:Q83" si="39">P54-O54</f>
        <v>188.98557845409414</v>
      </c>
      <c r="R54" s="109">
        <f t="shared" si="36"/>
        <v>1.7623625652797159</v>
      </c>
      <c r="S54" s="109"/>
      <c r="T54" s="362"/>
      <c r="U54" s="363"/>
    </row>
    <row r="55" spans="1:21" s="51" customFormat="1">
      <c r="A55" s="390"/>
      <c r="B55" s="52">
        <v>33</v>
      </c>
      <c r="C55" s="53" t="str">
        <f>'2180 (Reg.) - Price Out '!B82</f>
        <v>1 YD 3X WK 1</v>
      </c>
      <c r="D55" s="161">
        <f>'2180 (Reg.) - Price Out '!I82</f>
        <v>0.9999772080647501</v>
      </c>
      <c r="E55" s="54">
        <f>References!$B$9</f>
        <v>13</v>
      </c>
      <c r="F55" s="55">
        <f>D55*E55*References!$G$25</f>
        <v>155.99644445810102</v>
      </c>
      <c r="G55" s="55">
        <f>References!$B$34</f>
        <v>175</v>
      </c>
      <c r="H55" s="55">
        <f t="shared" si="37"/>
        <v>27299.377780167681</v>
      </c>
      <c r="I55" s="56">
        <f t="shared" si="34"/>
        <v>22493.80602209421</v>
      </c>
      <c r="J55" s="57">
        <f>References!$C$56*'Disposal Calc'!I55</f>
        <v>43.862921743083874</v>
      </c>
      <c r="K55" s="57">
        <f>J55/References!$G$59</f>
        <v>44.762651028761987</v>
      </c>
      <c r="L55" s="57">
        <f t="shared" si="38"/>
        <v>0.28694661076576494</v>
      </c>
      <c r="M55" s="58">
        <f>'Rate Sheet'!$C$114</f>
        <v>30.93</v>
      </c>
      <c r="N55" s="57">
        <f t="shared" si="35"/>
        <v>31.216946610765763</v>
      </c>
      <c r="O55" s="135">
        <f>(M55*D55*12)+('Rate Sheet'!$C$115*References!$J$9*12*D55)</f>
        <v>2932.8531530772671</v>
      </c>
      <c r="P55" s="135">
        <f>(N55*D55*12)+('Rate Sheet'!$E$115*References!$J$9*12*D55)</f>
        <v>2978.0554821344167</v>
      </c>
      <c r="Q55" s="135">
        <f t="shared" si="39"/>
        <v>45.202329057149655</v>
      </c>
      <c r="R55" s="109">
        <f t="shared" si="36"/>
        <v>0.43967802838766801</v>
      </c>
      <c r="S55" s="109"/>
      <c r="T55" s="362"/>
      <c r="U55" s="363"/>
    </row>
    <row r="56" spans="1:21" s="51" customFormat="1">
      <c r="A56" s="390"/>
      <c r="B56" s="52">
        <v>33</v>
      </c>
      <c r="C56" s="53" t="str">
        <f>'2180 (Reg.) - Price Out '!B83</f>
        <v>1.5 YD 1X WK 1</v>
      </c>
      <c r="D56" s="161">
        <f>'2180 (Reg.) - Price Out '!I83</f>
        <v>278.39138695827131</v>
      </c>
      <c r="E56" s="54">
        <f>References!$B$11</f>
        <v>4.333333333333333</v>
      </c>
      <c r="F56" s="55">
        <f>D56*E56*References!$G$25</f>
        <v>14476.352121830108</v>
      </c>
      <c r="G56" s="55">
        <f>References!$B$35</f>
        <v>250</v>
      </c>
      <c r="H56" s="55">
        <f t="shared" si="37"/>
        <v>3619088.0304575269</v>
      </c>
      <c r="I56" s="56">
        <f t="shared" si="34"/>
        <v>2982011.7069897028</v>
      </c>
      <c r="J56" s="57">
        <f>References!$C$56*'Disposal Calc'!I56</f>
        <v>5814.9228286299422</v>
      </c>
      <c r="K56" s="57">
        <f>J56/References!$G$59</f>
        <v>5934.2002537299131</v>
      </c>
      <c r="L56" s="57">
        <f t="shared" si="38"/>
        <v>0.40992372966537843</v>
      </c>
      <c r="M56" s="58">
        <f>'Rate Sheet'!$C$116</f>
        <v>42.28</v>
      </c>
      <c r="N56" s="57">
        <f t="shared" si="35"/>
        <v>42.689923729665381</v>
      </c>
      <c r="O56" s="135">
        <f>(M56*D56*12)+('Rate Sheet'!$C$117*References!$J$11*12*D56)</f>
        <v>412175.15187493816</v>
      </c>
      <c r="P56" s="135">
        <f>(N56*D56*12)+('Rate Sheet'!$E$117*References!$J$11*12*D56)</f>
        <v>418110.20144883764</v>
      </c>
      <c r="Q56" s="135">
        <f t="shared" si="39"/>
        <v>5935.0495738994796</v>
      </c>
      <c r="R56" s="109">
        <f t="shared" si="36"/>
        <v>0.84932016956645384</v>
      </c>
      <c r="S56" s="109"/>
      <c r="T56" s="362"/>
      <c r="U56" s="363"/>
    </row>
    <row r="57" spans="1:21" s="51" customFormat="1">
      <c r="A57" s="390"/>
      <c r="B57" s="52">
        <v>33</v>
      </c>
      <c r="C57" s="53" t="str">
        <f>'2180 (Reg.) - Price Out '!B84</f>
        <v>1.5 YD 2X WK 1</v>
      </c>
      <c r="D57" s="161">
        <f>'2180 (Reg.) - Price Out '!I84</f>
        <v>20.139808852796779</v>
      </c>
      <c r="E57" s="54">
        <f>References!$B$10</f>
        <v>8.6666666666666661</v>
      </c>
      <c r="F57" s="55">
        <f>D57*E57*References!$G$25</f>
        <v>2094.540120690865</v>
      </c>
      <c r="G57" s="55">
        <f>References!$B$35</f>
        <v>250</v>
      </c>
      <c r="H57" s="55">
        <f t="shared" si="37"/>
        <v>523635.03017271624</v>
      </c>
      <c r="I57" s="56">
        <f t="shared" si="34"/>
        <v>431458.36106328206</v>
      </c>
      <c r="J57" s="57">
        <f>References!$C$56*'Disposal Calc'!I57</f>
        <v>841.34380407340313</v>
      </c>
      <c r="K57" s="57">
        <f>J57/References!$G$59</f>
        <v>858.60169820737133</v>
      </c>
      <c r="L57" s="57">
        <f t="shared" si="38"/>
        <v>0.40992372966537843</v>
      </c>
      <c r="M57" s="58">
        <f>'Rate Sheet'!$C$116</f>
        <v>42.28</v>
      </c>
      <c r="N57" s="57">
        <f t="shared" si="35"/>
        <v>42.689923729665381</v>
      </c>
      <c r="O57" s="135">
        <f>(M57*D57*12)+('Rate Sheet'!$C$117*References!$J$10*12*D57)</f>
        <v>55298.275963301174</v>
      </c>
      <c r="P57" s="135">
        <f>(N57*D57*12)+('Rate Sheet'!$E$117*References!$J$10*12*D57)</f>
        <v>56157.0189799449</v>
      </c>
      <c r="Q57" s="135">
        <f t="shared" si="39"/>
        <v>858.74301664372615</v>
      </c>
      <c r="R57" s="109">
        <f t="shared" si="36"/>
        <v>0.14131843635482255</v>
      </c>
      <c r="S57" s="109"/>
      <c r="T57" s="362"/>
      <c r="U57" s="363"/>
    </row>
    <row r="58" spans="1:21" s="51" customFormat="1">
      <c r="A58" s="390"/>
      <c r="B58" s="52">
        <v>33</v>
      </c>
      <c r="C58" s="53" t="str">
        <f>'2180 (Reg.) - Price Out '!B85</f>
        <v>1.5 YD 3X WK 1</v>
      </c>
      <c r="D58" s="161">
        <f>'2180 (Reg.) - Price Out '!I85</f>
        <v>3.9999523120209197</v>
      </c>
      <c r="E58" s="54">
        <f>References!$B$9</f>
        <v>13</v>
      </c>
      <c r="F58" s="55">
        <f>D58*E58*References!$G$25</f>
        <v>623.99256067526358</v>
      </c>
      <c r="G58" s="55">
        <f>References!$B$35</f>
        <v>250</v>
      </c>
      <c r="H58" s="55">
        <f t="shared" si="37"/>
        <v>155998.14016881588</v>
      </c>
      <c r="I58" s="56">
        <f t="shared" si="34"/>
        <v>128537.43162285561</v>
      </c>
      <c r="J58" s="57">
        <f>References!$C$56*'Disposal Calc'!I58</f>
        <v>250.64799166456939</v>
      </c>
      <c r="K58" s="57">
        <f>J58/References!$G$59</f>
        <v>255.78935775545401</v>
      </c>
      <c r="L58" s="57">
        <f t="shared" si="38"/>
        <v>0.40992372966537843</v>
      </c>
      <c r="M58" s="58">
        <f>'Rate Sheet'!$C$116</f>
        <v>42.28</v>
      </c>
      <c r="N58" s="57">
        <f t="shared" si="35"/>
        <v>42.689923729665381</v>
      </c>
      <c r="O58" s="135">
        <f>(M58*D58*12)+('Rate Sheet'!$C$117*References!$J$9*12*D58)</f>
        <v>16043.328729238465</v>
      </c>
      <c r="P58" s="135">
        <f>(N58*D58*12)+('Rate Sheet'!$E$117*References!$J$9*12*D58)</f>
        <v>16299.162018182909</v>
      </c>
      <c r="Q58" s="135">
        <f t="shared" si="39"/>
        <v>255.83328894444458</v>
      </c>
      <c r="R58" s="109">
        <f t="shared" si="36"/>
        <v>4.3931188990569581E-2</v>
      </c>
      <c r="S58" s="109"/>
      <c r="T58" s="362"/>
      <c r="U58" s="363"/>
    </row>
    <row r="59" spans="1:21" s="51" customFormat="1">
      <c r="A59" s="390"/>
      <c r="B59" s="52">
        <v>33</v>
      </c>
      <c r="C59" s="53" t="str">
        <f>'2180 (Reg.) - Price Out '!B86</f>
        <v>2 YD 1X WK 1</v>
      </c>
      <c r="D59" s="161">
        <f>'2180 (Reg.) - Price Out '!I86</f>
        <v>393.9091225123164</v>
      </c>
      <c r="E59" s="54">
        <f>References!$B$11</f>
        <v>4.333333333333333</v>
      </c>
      <c r="F59" s="55">
        <f>D59*E59*References!$G$25</f>
        <v>20483.274370640451</v>
      </c>
      <c r="G59" s="55">
        <f>References!$B$36</f>
        <v>324</v>
      </c>
      <c r="H59" s="55">
        <f t="shared" si="37"/>
        <v>6636580.8960875059</v>
      </c>
      <c r="I59" s="56">
        <f t="shared" si="34"/>
        <v>5468328.4186417665</v>
      </c>
      <c r="J59" s="57">
        <f>References!$C$56*'Disposal Calc'!I59</f>
        <v>10663.240416351484</v>
      </c>
      <c r="K59" s="57">
        <f>J59/References!$G$59</f>
        <v>10881.96797260076</v>
      </c>
      <c r="L59" s="57">
        <f t="shared" si="38"/>
        <v>0.53126115364633053</v>
      </c>
      <c r="M59" s="58">
        <f>'Rate Sheet'!$C$118</f>
        <v>51.07</v>
      </c>
      <c r="N59" s="57">
        <f t="shared" si="35"/>
        <v>51.601261153646334</v>
      </c>
      <c r="O59" s="135">
        <f>(M59*D59*12)+('Rate Sheet'!$C$119*References!$J$11*12*D59)</f>
        <v>746552.32535024243</v>
      </c>
      <c r="P59" s="135">
        <f>(N59*D59*12)+('Rate Sheet'!$E$119*References!$J$11*12*D59)</f>
        <v>757414.42212579621</v>
      </c>
      <c r="Q59" s="135">
        <f t="shared" si="39"/>
        <v>10862.096775553771</v>
      </c>
      <c r="R59" s="109">
        <f t="shared" si="36"/>
        <v>-19.871197046988527</v>
      </c>
      <c r="S59" s="109"/>
      <c r="T59" s="362"/>
      <c r="U59" s="363"/>
    </row>
    <row r="60" spans="1:21" s="51" customFormat="1">
      <c r="A60" s="390"/>
      <c r="B60" s="52">
        <v>33</v>
      </c>
      <c r="C60" s="53" t="str">
        <f>'2180 (Reg.) - Price Out '!B87</f>
        <v>2 YD 2X WK 1</v>
      </c>
      <c r="D60" s="161">
        <f>'2180 (Reg.) - Price Out '!I87</f>
        <v>35.634253139634559</v>
      </c>
      <c r="E60" s="54">
        <f>References!$B$10</f>
        <v>8.6666666666666661</v>
      </c>
      <c r="F60" s="55">
        <f>D60*E60*References!$G$25</f>
        <v>3705.9623265219939</v>
      </c>
      <c r="G60" s="55">
        <f>References!$B$36</f>
        <v>324</v>
      </c>
      <c r="H60" s="55">
        <f t="shared" si="37"/>
        <v>1200731.793793126</v>
      </c>
      <c r="I60" s="56">
        <f t="shared" si="34"/>
        <v>989364.23649059085</v>
      </c>
      <c r="J60" s="57">
        <f>References!$C$56*'Disposal Calc'!I60</f>
        <v>1929.2602611566595</v>
      </c>
      <c r="K60" s="57">
        <f>J60/References!$G$59</f>
        <v>1968.8338209579135</v>
      </c>
      <c r="L60" s="57">
        <f t="shared" si="38"/>
        <v>0.53126115364633053</v>
      </c>
      <c r="M60" s="58">
        <f>'Rate Sheet'!$C$118</f>
        <v>51.07</v>
      </c>
      <c r="N60" s="57">
        <f t="shared" si="35"/>
        <v>51.601261153646334</v>
      </c>
      <c r="O60" s="135">
        <f>(M60*D60*12)+('Rate Sheet'!$C$119*References!$J$10*12*D60)</f>
        <v>126942.03801450857</v>
      </c>
      <c r="P60" s="135">
        <f>(N60*D60*12)+('Rate Sheet'!$E$119*References!$J$10*12*D60)</f>
        <v>128906.7373307846</v>
      </c>
      <c r="Q60" s="135">
        <f t="shared" si="39"/>
        <v>1964.6993162760336</v>
      </c>
      <c r="R60" s="109">
        <f t="shared" si="36"/>
        <v>-4.1345046818798892</v>
      </c>
      <c r="S60" s="109"/>
      <c r="T60" s="362"/>
      <c r="U60" s="363"/>
    </row>
    <row r="61" spans="1:21" s="51" customFormat="1">
      <c r="A61" s="390"/>
      <c r="B61" s="52">
        <v>33</v>
      </c>
      <c r="C61" s="53" t="str">
        <f>'2180 (Reg.) - Price Out '!B88</f>
        <v>2 YD 3X WK 1</v>
      </c>
      <c r="D61" s="161">
        <f>'2180 (Reg.) - Price Out '!I88</f>
        <v>12.997267078100712</v>
      </c>
      <c r="E61" s="54">
        <f>References!$B$9</f>
        <v>13</v>
      </c>
      <c r="F61" s="55">
        <f>D61*E61*References!$G$25</f>
        <v>2027.5736641837111</v>
      </c>
      <c r="G61" s="55">
        <f>References!$B$36</f>
        <v>324</v>
      </c>
      <c r="H61" s="55">
        <f t="shared" si="37"/>
        <v>656933.86719552241</v>
      </c>
      <c r="I61" s="56">
        <f t="shared" si="34"/>
        <v>541292.2996646231</v>
      </c>
      <c r="J61" s="57">
        <f>References!$C$56*'Disposal Calc'!I61</f>
        <v>1055.5199843460191</v>
      </c>
      <c r="K61" s="57">
        <f>J61/References!$G$59</f>
        <v>1077.1711239371559</v>
      </c>
      <c r="L61" s="57">
        <f t="shared" si="38"/>
        <v>0.53126115364633053</v>
      </c>
      <c r="M61" s="58">
        <f>'Rate Sheet'!$C$118</f>
        <v>51.07</v>
      </c>
      <c r="N61" s="57">
        <f t="shared" si="35"/>
        <v>51.601261153646334</v>
      </c>
      <c r="O61" s="135">
        <f>(M61*D61*12)+('Rate Sheet'!$C$119*References!$J$9*12*D61)</f>
        <v>67968.948239586127</v>
      </c>
      <c r="P61" s="135">
        <f>(N61*D61*12)+('Rate Sheet'!$E$119*References!$J$9*12*D61)</f>
        <v>69043.758980212704</v>
      </c>
      <c r="Q61" s="135">
        <f t="shared" si="39"/>
        <v>1074.8107406265772</v>
      </c>
      <c r="R61" s="109">
        <f t="shared" si="36"/>
        <v>-2.3603833105787544</v>
      </c>
      <c r="S61" s="109"/>
      <c r="T61" s="362"/>
      <c r="U61" s="363"/>
    </row>
    <row r="62" spans="1:21" s="51" customFormat="1">
      <c r="A62" s="390"/>
      <c r="B62" s="52">
        <v>33</v>
      </c>
      <c r="C62" s="53" t="str">
        <f>'2180 (Reg.) - Price Out '!B89</f>
        <v>3 YD 1X WK 1</v>
      </c>
      <c r="D62" s="161">
        <f>'2180 (Reg.) - Price Out '!I89</f>
        <v>153.85568312513101</v>
      </c>
      <c r="E62" s="54">
        <f>References!$B$11</f>
        <v>4.333333333333333</v>
      </c>
      <c r="F62" s="55">
        <f>D62*E62*References!$G$25</f>
        <v>8000.4955225068115</v>
      </c>
      <c r="G62" s="55">
        <f>References!$B$37</f>
        <v>473</v>
      </c>
      <c r="H62" s="55">
        <f t="shared" si="37"/>
        <v>3784234.3821457219</v>
      </c>
      <c r="I62" s="56">
        <f t="shared" si="34"/>
        <v>3118086.9695852296</v>
      </c>
      <c r="J62" s="57">
        <f>References!$C$56*'Disposal Calc'!I62</f>
        <v>6080.2695906912204</v>
      </c>
      <c r="K62" s="57">
        <f>J62/References!$G$59</f>
        <v>6204.9898874285336</v>
      </c>
      <c r="L62" s="57">
        <f t="shared" si="38"/>
        <v>0.77557569652689606</v>
      </c>
      <c r="M62" s="58">
        <f>'Rate Sheet'!$C$120</f>
        <v>69.12</v>
      </c>
      <c r="N62" s="57">
        <f t="shared" si="35"/>
        <v>69.895575696526905</v>
      </c>
      <c r="O62" s="135">
        <f>(M62*D62*12)+('Rate Sheet'!$C$121*References!$J$11*12*D62)</f>
        <v>406831.35154679639</v>
      </c>
      <c r="P62" s="135">
        <f>(N62*D62*12)+('Rate Sheet'!$E$121*References!$J$11*12*D62)</f>
        <v>413063.56960355327</v>
      </c>
      <c r="Q62" s="135">
        <f t="shared" si="39"/>
        <v>6232.2180567568867</v>
      </c>
      <c r="R62" s="109">
        <f t="shared" si="36"/>
        <v>27.228169328353033</v>
      </c>
      <c r="S62" s="109"/>
      <c r="T62" s="362"/>
      <c r="U62" s="363"/>
    </row>
    <row r="63" spans="1:21" s="51" customFormat="1">
      <c r="A63" s="390"/>
      <c r="B63" s="52">
        <v>33</v>
      </c>
      <c r="C63" s="53" t="str">
        <f>'2180 (Reg.) - Price Out '!B90</f>
        <v>3 YD 2X WK 1</v>
      </c>
      <c r="D63" s="161">
        <f>'2180 (Reg.) - Price Out '!I90</f>
        <v>18.900576793807414</v>
      </c>
      <c r="E63" s="54">
        <f>References!$B$10</f>
        <v>8.6666666666666661</v>
      </c>
      <c r="F63" s="55">
        <f>D63*E63*References!$G$25</f>
        <v>1965.659986555971</v>
      </c>
      <c r="G63" s="55">
        <f>References!$B$37</f>
        <v>473</v>
      </c>
      <c r="H63" s="59">
        <f t="shared" si="37"/>
        <v>929757.17364097433</v>
      </c>
      <c r="I63" s="56">
        <f t="shared" si="34"/>
        <v>766089.89699113136</v>
      </c>
      <c r="J63" s="57">
        <f>References!$C$56*'Disposal Calc'!I63</f>
        <v>1493.8752991327117</v>
      </c>
      <c r="K63" s="57">
        <f>J63/References!$G$59</f>
        <v>1524.5181132081964</v>
      </c>
      <c r="L63" s="57">
        <f t="shared" si="38"/>
        <v>0.77557569652689606</v>
      </c>
      <c r="M63" s="58">
        <f>'Rate Sheet'!$C$120</f>
        <v>69.12</v>
      </c>
      <c r="N63" s="57">
        <f t="shared" si="35"/>
        <v>69.895575696526905</v>
      </c>
      <c r="O63" s="135">
        <f>(M63*D63*12)+('Rate Sheet'!$C$121*References!$J$10*12*D63)</f>
        <v>94568.657976279515</v>
      </c>
      <c r="P63" s="135">
        <f>(N63*D63*12)+('Rate Sheet'!$E$121*References!$J$10*12*D63)</f>
        <v>96100.869303142536</v>
      </c>
      <c r="Q63" s="135">
        <f t="shared" si="39"/>
        <v>1532.2113268630201</v>
      </c>
      <c r="R63" s="109">
        <f t="shared" si="36"/>
        <v>7.693213654823694</v>
      </c>
      <c r="S63" s="109"/>
      <c r="T63" s="362"/>
      <c r="U63" s="363"/>
    </row>
    <row r="64" spans="1:21" s="51" customFormat="1">
      <c r="A64" s="390"/>
      <c r="B64" s="52">
        <v>33</v>
      </c>
      <c r="C64" s="53" t="str">
        <f>'2180 (Reg.) - Price Out '!B91</f>
        <v>3 YD 3X WK 1</v>
      </c>
      <c r="D64" s="161">
        <f>'2180 (Reg.) - Price Out '!I91</f>
        <v>4.7115612525580239</v>
      </c>
      <c r="E64" s="54">
        <f>References!$B$9</f>
        <v>13</v>
      </c>
      <c r="F64" s="55">
        <f>D64*E64*References!$G$25</f>
        <v>735.00355539905172</v>
      </c>
      <c r="G64" s="55">
        <f>References!$B$37</f>
        <v>473</v>
      </c>
      <c r="H64" s="55">
        <f t="shared" si="37"/>
        <v>347656.68170375144</v>
      </c>
      <c r="I64" s="56">
        <f t="shared" si="34"/>
        <v>286457.88279505249</v>
      </c>
      <c r="J64" s="57">
        <f>References!$C$56*'Disposal Calc'!I64</f>
        <v>558.59287145035444</v>
      </c>
      <c r="K64" s="57">
        <f>J64/References!$G$59</f>
        <v>570.05089442836459</v>
      </c>
      <c r="L64" s="57">
        <f t="shared" si="38"/>
        <v>0.77557569652689606</v>
      </c>
      <c r="M64" s="58">
        <f>'Rate Sheet'!$C$120</f>
        <v>69.12</v>
      </c>
      <c r="N64" s="57">
        <f t="shared" si="35"/>
        <v>69.895575696526905</v>
      </c>
      <c r="O64" s="135">
        <f>(M64*D64*12)+('Rate Sheet'!$C$121*References!$J$9*12*D64)</f>
        <v>34689.906265434009</v>
      </c>
      <c r="P64" s="135">
        <f>(N64*D64*12)+('Rate Sheet'!$E$121*References!$J$9*12*D64)</f>
        <v>35262.958894123512</v>
      </c>
      <c r="Q64" s="135">
        <f t="shared" si="39"/>
        <v>573.05262868950376</v>
      </c>
      <c r="R64" s="109">
        <f t="shared" si="36"/>
        <v>3.0017342611391769</v>
      </c>
      <c r="S64" s="109"/>
      <c r="T64" s="362"/>
      <c r="U64" s="363"/>
    </row>
    <row r="65" spans="1:21" s="51" customFormat="1">
      <c r="A65" s="390"/>
      <c r="B65" s="52">
        <v>33</v>
      </c>
      <c r="C65" s="53" t="str">
        <f>'2180 (Reg.) - Price Out '!B92</f>
        <v>3 YD 5X WK 1</v>
      </c>
      <c r="D65" s="161">
        <f>'2180 (Reg.) - Price Out '!I92</f>
        <v>8.3333835320197336E-2</v>
      </c>
      <c r="E65" s="54">
        <f>References!B7</f>
        <v>21.666666666666668</v>
      </c>
      <c r="F65" s="55">
        <f>D65*E65*References!$G$25</f>
        <v>21.666797183251308</v>
      </c>
      <c r="G65" s="55">
        <f>References!B37</f>
        <v>473</v>
      </c>
      <c r="H65" s="55">
        <f t="shared" si="37"/>
        <v>10248.39506767787</v>
      </c>
      <c r="I65" s="56">
        <f t="shared" si="34"/>
        <v>8444.3467007370418</v>
      </c>
      <c r="J65" s="57">
        <f>References!$C$56*'Disposal Calc'!I65</f>
        <v>16.466476066437291</v>
      </c>
      <c r="K65" s="57">
        <f>J65/References!$G$59</f>
        <v>16.804241316907124</v>
      </c>
      <c r="L65" s="57">
        <f t="shared" si="38"/>
        <v>0.77557569652689606</v>
      </c>
      <c r="M65" s="58">
        <f>'Rate Sheet'!$C$120</f>
        <v>69.12</v>
      </c>
      <c r="N65" s="57">
        <f t="shared" si="35"/>
        <v>69.895575696526905</v>
      </c>
      <c r="O65" s="135">
        <f>(M65*D65*12)+('Rate Sheet'!$C$121*References!$J$7*12*D65)</f>
        <v>1006.7727312703681</v>
      </c>
      <c r="P65" s="135">
        <f>(N65*D65*12)+('Rate Sheet'!$E$121*References!$J$7*12*D65)</f>
        <v>1023.6684087431797</v>
      </c>
      <c r="Q65" s="135">
        <f t="shared" si="39"/>
        <v>16.895677472811599</v>
      </c>
      <c r="R65" s="109">
        <f t="shared" si="36"/>
        <v>9.1436155904474958E-2</v>
      </c>
      <c r="S65" s="109"/>
      <c r="T65" s="362"/>
      <c r="U65" s="363"/>
    </row>
    <row r="66" spans="1:21" s="51" customFormat="1">
      <c r="A66" s="390"/>
      <c r="B66" s="52">
        <v>33</v>
      </c>
      <c r="C66" s="53" t="str">
        <f>'2180 (Reg.) - Price Out '!B93</f>
        <v>4 YD 1X WK 1</v>
      </c>
      <c r="D66" s="161">
        <f>'2180 (Reg.) - Price Out '!I93</f>
        <v>155.18927721968979</v>
      </c>
      <c r="E66" s="54">
        <f>References!$B$11</f>
        <v>4.333333333333333</v>
      </c>
      <c r="F66" s="55">
        <f>D66*E66*References!$G$25</f>
        <v>8069.8424154238674</v>
      </c>
      <c r="G66" s="55">
        <f>References!$B$38</f>
        <v>613</v>
      </c>
      <c r="H66" s="55">
        <f>F66*G66</f>
        <v>4946813.400654831</v>
      </c>
      <c r="I66" s="56">
        <f t="shared" si="34"/>
        <v>4076014.5508760568</v>
      </c>
      <c r="J66" s="57">
        <f>References!$C$56*'Disposal Calc'!I66</f>
        <v>7948.22837420834</v>
      </c>
      <c r="K66" s="57">
        <f>J66/References!$G$59</f>
        <v>8111.2647966204104</v>
      </c>
      <c r="L66" s="57">
        <f t="shared" si="38"/>
        <v>1.0051329851395081</v>
      </c>
      <c r="M66" s="57">
        <f>'Rate Sheet'!$C$122</f>
        <v>86.44</v>
      </c>
      <c r="N66" s="57">
        <f t="shared" si="35"/>
        <v>87.445132985139509</v>
      </c>
      <c r="O66" s="135">
        <f>(M66*D66*12)+('Rate Sheet'!$C$123*References!$J$11*12*D66)</f>
        <v>540257.32699936163</v>
      </c>
      <c r="P66" s="135">
        <f>(N66*D66*12)+('Rate Sheet'!$E$123*References!$J$11*12*D66)</f>
        <v>548398.80413671862</v>
      </c>
      <c r="Q66" s="135">
        <f t="shared" si="39"/>
        <v>8141.4771373569965</v>
      </c>
      <c r="R66" s="109">
        <f t="shared" si="36"/>
        <v>30.212340736586157</v>
      </c>
      <c r="S66" s="109"/>
      <c r="T66" s="362"/>
      <c r="U66" s="363"/>
    </row>
    <row r="67" spans="1:21" s="51" customFormat="1">
      <c r="A67" s="390"/>
      <c r="B67" s="52">
        <v>33</v>
      </c>
      <c r="C67" s="53" t="str">
        <f>'2180 (Reg.) - Price Out '!B94</f>
        <v>4 YD 2X WK 1</v>
      </c>
      <c r="D67" s="161">
        <f>'2180 (Reg.) - Price Out '!I94</f>
        <v>44.670398634407121</v>
      </c>
      <c r="E67" s="54">
        <f>References!$B$10</f>
        <v>8.6666666666666661</v>
      </c>
      <c r="F67" s="55">
        <f>D67*E67*References!$G$25</f>
        <v>4645.7214579783404</v>
      </c>
      <c r="G67" s="55">
        <f>References!$B$38</f>
        <v>613</v>
      </c>
      <c r="H67" s="55">
        <f t="shared" ref="H67:H83" si="40">F67*G67</f>
        <v>2847827.2537407228</v>
      </c>
      <c r="I67" s="56">
        <f t="shared" si="34"/>
        <v>2346517.7245400064</v>
      </c>
      <c r="J67" s="57">
        <f>References!$C$56*'Disposal Calc'!I67</f>
        <v>4575.7095628530296</v>
      </c>
      <c r="K67" s="57">
        <f>J67/References!$G$59</f>
        <v>4669.5678771844368</v>
      </c>
      <c r="L67" s="57">
        <f t="shared" si="38"/>
        <v>1.0051329851395081</v>
      </c>
      <c r="M67" s="57">
        <f>'Rate Sheet'!$C$122</f>
        <v>86.44</v>
      </c>
      <c r="N67" s="57">
        <f t="shared" si="35"/>
        <v>87.445132985139509</v>
      </c>
      <c r="O67" s="135">
        <f>(M67*D67*12)+('Rate Sheet'!$C$123*References!$J$10*12*D67)</f>
        <v>297436.95589922706</v>
      </c>
      <c r="P67" s="135">
        <f>(N67*D67*12)+('Rate Sheet'!$E$123*References!$J$10*12*D67)</f>
        <v>302126.52563385747</v>
      </c>
      <c r="Q67" s="135">
        <f t="shared" si="39"/>
        <v>4689.5697346304078</v>
      </c>
      <c r="R67" s="109">
        <f t="shared" si="36"/>
        <v>20.001857445970927</v>
      </c>
      <c r="S67" s="109"/>
      <c r="T67" s="362"/>
      <c r="U67" s="363"/>
    </row>
    <row r="68" spans="1:21" s="51" customFormat="1">
      <c r="A68" s="390"/>
      <c r="B68" s="52">
        <v>33</v>
      </c>
      <c r="C68" s="53" t="str">
        <f>'2180 (Reg.) - Price Out '!B95</f>
        <v>4 YD 3X WK 1</v>
      </c>
      <c r="D68" s="161">
        <f>'2180 (Reg.) - Price Out '!I95</f>
        <v>6.4772205158308438</v>
      </c>
      <c r="E68" s="54">
        <f>References!$B$9</f>
        <v>13</v>
      </c>
      <c r="F68" s="55">
        <f>D68*E68*References!$G$25</f>
        <v>1010.4464004696117</v>
      </c>
      <c r="G68" s="55">
        <f>References!$B$38</f>
        <v>613</v>
      </c>
      <c r="H68" s="55">
        <f t="shared" si="40"/>
        <v>619403.64348787197</v>
      </c>
      <c r="I68" s="56">
        <f t="shared" si="34"/>
        <v>510368.60686679761</v>
      </c>
      <c r="J68" s="57">
        <f>References!$C$56*'Disposal Calc'!I68</f>
        <v>995.21878339025909</v>
      </c>
      <c r="K68" s="57">
        <f>J68/References!$G$59</f>
        <v>1015.6330068274917</v>
      </c>
      <c r="L68" s="57">
        <f t="shared" si="38"/>
        <v>1.0051329851395081</v>
      </c>
      <c r="M68" s="57">
        <f>'Rate Sheet'!$C$122</f>
        <v>86.44</v>
      </c>
      <c r="N68" s="57">
        <f t="shared" si="35"/>
        <v>87.445132985139509</v>
      </c>
      <c r="O68" s="135">
        <f>(M68*D68*12)+('Rate Sheet'!$C$123*References!$J$9*12*D68)</f>
        <v>63707.868283147123</v>
      </c>
      <c r="P68" s="135">
        <f>(N68*D68*12)+('Rate Sheet'!$E$123*References!$J$9*12*D68)</f>
        <v>64728.040850879355</v>
      </c>
      <c r="Q68" s="135">
        <f t="shared" si="39"/>
        <v>1020.172567732232</v>
      </c>
      <c r="R68" s="109">
        <f t="shared" si="36"/>
        <v>4.5395609047402559</v>
      </c>
      <c r="S68" s="109"/>
      <c r="T68" s="362"/>
      <c r="U68" s="363"/>
    </row>
    <row r="69" spans="1:21" s="51" customFormat="1">
      <c r="A69" s="390"/>
      <c r="B69" s="52">
        <v>33</v>
      </c>
      <c r="C69" s="53" t="str">
        <f>'2180 (Reg.) - Price Out '!B96</f>
        <v>6 YD 1X WK 1</v>
      </c>
      <c r="D69" s="161">
        <f>'2180 (Reg.) - Price Out '!I96</f>
        <v>156.25340375058201</v>
      </c>
      <c r="E69" s="54">
        <f>References!$B$11</f>
        <v>4.333333333333333</v>
      </c>
      <c r="F69" s="55">
        <f>D69*E69*References!$G$25</f>
        <v>8125.1769950302642</v>
      </c>
      <c r="G69" s="55">
        <f>References!$B$39</f>
        <v>840</v>
      </c>
      <c r="H69" s="55">
        <f t="shared" si="40"/>
        <v>6825148.6758254217</v>
      </c>
      <c r="I69" s="56">
        <f t="shared" si="34"/>
        <v>5623702.1818680875</v>
      </c>
      <c r="J69" s="57">
        <f>References!$C$56*'Disposal Calc'!I69</f>
        <v>10966.219254642812</v>
      </c>
      <c r="K69" s="57">
        <f>J69/References!$G$59</f>
        <v>11191.161602860304</v>
      </c>
      <c r="L69" s="57">
        <f t="shared" si="38"/>
        <v>1.3773437316756716</v>
      </c>
      <c r="M69" s="57">
        <f>'Rate Sheet'!$C$124</f>
        <v>116.04</v>
      </c>
      <c r="N69" s="57">
        <f t="shared" si="35"/>
        <v>117.41734373167567</v>
      </c>
      <c r="O69" s="135">
        <f>(M69*D69*12)+('Rate Sheet'!$C$125*References!$J$11*12*D69)</f>
        <v>744841.22527057445</v>
      </c>
      <c r="P69" s="135">
        <f>(N69*D69*12)+('Rate Sheet'!$E$125*References!$J$11*12*D69)</f>
        <v>756048.98891211266</v>
      </c>
      <c r="Q69" s="135">
        <f t="shared" si="39"/>
        <v>11207.763641538215</v>
      </c>
      <c r="R69" s="109">
        <f t="shared" si="36"/>
        <v>16.602038677910969</v>
      </c>
      <c r="S69" s="109"/>
      <c r="T69" s="362"/>
      <c r="U69" s="363"/>
    </row>
    <row r="70" spans="1:21" s="51" customFormat="1">
      <c r="A70" s="390"/>
      <c r="B70" s="52">
        <v>33</v>
      </c>
      <c r="C70" s="53" t="str">
        <f>'2180 (Reg.) - Price Out '!B97</f>
        <v>6 YD 1X WK 2</v>
      </c>
      <c r="D70" s="161">
        <f>'2180 (Reg.) - Price Out '!I97</f>
        <v>0.65158765371556138</v>
      </c>
      <c r="E70" s="54">
        <f>References!B11</f>
        <v>4.333333333333333</v>
      </c>
      <c r="F70" s="55">
        <f>D70*E70*References!$G$25</f>
        <v>33.88255799320919</v>
      </c>
      <c r="G70" s="55">
        <f>References!$B$39*2</f>
        <v>1680</v>
      </c>
      <c r="H70" s="55">
        <f>F70*G70</f>
        <v>56922.69742859144</v>
      </c>
      <c r="I70" s="56">
        <f t="shared" si="34"/>
        <v>46902.465122969996</v>
      </c>
      <c r="J70" s="57">
        <f>References!$C$56*'Disposal Calc'!I70</f>
        <v>91.459806989791829</v>
      </c>
      <c r="K70" s="57">
        <f>J70/References!$G$59</f>
        <v>93.335857730168215</v>
      </c>
      <c r="L70" s="57">
        <f>(K70/F70/2)</f>
        <v>1.3773437316756718</v>
      </c>
      <c r="M70" s="57">
        <f>'Rate Sheet'!$C$124</f>
        <v>116.04</v>
      </c>
      <c r="N70" s="57">
        <f t="shared" si="35"/>
        <v>117.41734373167567</v>
      </c>
      <c r="O70" s="135">
        <f>(M70*D70*12*2)+('Rate Sheet'!$C$125*References!$J$11*12*2*D70)</f>
        <v>6212.0803094872699</v>
      </c>
      <c r="P70" s="135">
        <f>(N70*D70*12*2)+('Rate Sheet'!$E$125*References!$J$11*12*2*D70)</f>
        <v>6305.5546305490452</v>
      </c>
      <c r="Q70" s="135">
        <f t="shared" si="39"/>
        <v>93.474321061775299</v>
      </c>
      <c r="R70" s="109">
        <f t="shared" si="36"/>
        <v>0.13846333160708468</v>
      </c>
      <c r="S70" s="109"/>
      <c r="T70" s="362"/>
      <c r="U70" s="363"/>
    </row>
    <row r="71" spans="1:21" s="51" customFormat="1">
      <c r="A71" s="390"/>
      <c r="B71" s="52">
        <v>33</v>
      </c>
      <c r="C71" s="53" t="str">
        <f>'2180 (Reg.) - Price Out '!B98</f>
        <v>6 YD 2X WK 1</v>
      </c>
      <c r="D71" s="161">
        <f>'2180 (Reg.) - Price Out '!I98</f>
        <v>98.798935071878859</v>
      </c>
      <c r="E71" s="54">
        <f>References!B10</f>
        <v>8.6666666666666661</v>
      </c>
      <c r="F71" s="55">
        <f>D71*E71*References!$G$25</f>
        <v>10275.0892474754</v>
      </c>
      <c r="G71" s="55">
        <f>References!$B$39</f>
        <v>840</v>
      </c>
      <c r="H71" s="55">
        <f t="shared" si="40"/>
        <v>8631074.9678793363</v>
      </c>
      <c r="I71" s="56">
        <f t="shared" si="34"/>
        <v>7111727.1482529109</v>
      </c>
      <c r="J71" s="57">
        <f>References!$C$56*'Disposal Calc'!I71</f>
        <v>13867.867939093228</v>
      </c>
      <c r="K71" s="57">
        <f>J71/References!$G$59</f>
        <v>14152.329767418338</v>
      </c>
      <c r="L71" s="57">
        <f t="shared" si="38"/>
        <v>1.3773437316756718</v>
      </c>
      <c r="M71" s="57">
        <f>'Rate Sheet'!$C$124</f>
        <v>116.04</v>
      </c>
      <c r="N71" s="57">
        <f t="shared" si="35"/>
        <v>117.41734373167567</v>
      </c>
      <c r="O71" s="135">
        <f>(M71*D71*12)+('Rate Sheet'!$C$125*References!$J$10*12*D71)</f>
        <v>904365.9320739503</v>
      </c>
      <c r="P71" s="135">
        <f>(N71*D71*12)+('Rate Sheet'!$E$125*References!$J$10*12*D71)</f>
        <v>918542.40599768574</v>
      </c>
      <c r="Q71" s="135">
        <f t="shared" si="39"/>
        <v>14176.473923735437</v>
      </c>
      <c r="R71" s="109">
        <f t="shared" si="36"/>
        <v>24.144156317099259</v>
      </c>
      <c r="S71" s="109"/>
      <c r="T71" s="362"/>
      <c r="U71" s="363"/>
    </row>
    <row r="72" spans="1:21" s="51" customFormat="1">
      <c r="A72" s="390"/>
      <c r="B72" s="52">
        <v>33</v>
      </c>
      <c r="C72" s="53" t="str">
        <f>'2180 (Reg.) - Price Out '!B99</f>
        <v>6 YD 3X WK 1</v>
      </c>
      <c r="D72" s="161">
        <f>'2180 (Reg.) - Price Out '!I99</f>
        <v>20.113174143317508</v>
      </c>
      <c r="E72" s="54">
        <f>References!$B$9</f>
        <v>13</v>
      </c>
      <c r="F72" s="55">
        <f>D72*E72*References!$G$25</f>
        <v>3137.655166357531</v>
      </c>
      <c r="G72" s="55">
        <f>References!$B$39</f>
        <v>840</v>
      </c>
      <c r="H72" s="55">
        <f t="shared" si="40"/>
        <v>2635630.3397403262</v>
      </c>
      <c r="I72" s="56">
        <f t="shared" si="34"/>
        <v>2171674.3174686749</v>
      </c>
      <c r="J72" s="57">
        <f>References!$C$56*'Disposal Calc'!I72</f>
        <v>4234.7649190639322</v>
      </c>
      <c r="K72" s="57">
        <f>J72/References!$G$59</f>
        <v>4321.6296755423327</v>
      </c>
      <c r="L72" s="57">
        <f t="shared" si="38"/>
        <v>1.3773437316756718</v>
      </c>
      <c r="M72" s="57">
        <f>'Rate Sheet'!$C$124</f>
        <v>116.04</v>
      </c>
      <c r="N72" s="57">
        <f t="shared" si="35"/>
        <v>117.41734373167567</v>
      </c>
      <c r="O72" s="135">
        <f>(M72*D72*12)+('Rate Sheet'!$C$125*References!$J$9*12*D72)</f>
        <v>272338.8141162449</v>
      </c>
      <c r="P72" s="135">
        <f>(N72*D72*12)+('Rate Sheet'!$E$125*References!$J$9*12*D72)</f>
        <v>276668.13713396969</v>
      </c>
      <c r="Q72" s="135">
        <f t="shared" si="39"/>
        <v>4329.3230177247897</v>
      </c>
      <c r="R72" s="109">
        <f t="shared" si="36"/>
        <v>7.693342182456945</v>
      </c>
      <c r="S72" s="109"/>
      <c r="T72" s="362"/>
      <c r="U72" s="363"/>
    </row>
    <row r="73" spans="1:21" s="51" customFormat="1">
      <c r="A73" s="390"/>
      <c r="B73" s="52">
        <v>33</v>
      </c>
      <c r="C73" s="53" t="str">
        <f>'2180 (Reg.) - Price Out '!B100</f>
        <v>6 YD 4X WK 1</v>
      </c>
      <c r="D73" s="161">
        <f>'2180 (Reg.) - Price Out '!I100</f>
        <v>0.83333974019641932</v>
      </c>
      <c r="E73" s="54">
        <f>References!$B$8</f>
        <v>17.333333333333332</v>
      </c>
      <c r="F73" s="55">
        <f>D73*E73*References!$G$25</f>
        <v>173.3346659608552</v>
      </c>
      <c r="G73" s="55">
        <f>References!$B$39</f>
        <v>840</v>
      </c>
      <c r="H73" s="55">
        <f t="shared" si="40"/>
        <v>145601.11940711839</v>
      </c>
      <c r="I73" s="56">
        <f t="shared" si="34"/>
        <v>119970.62214812798</v>
      </c>
      <c r="J73" s="57">
        <f>References!$C$56*'Disposal Calc'!I73</f>
        <v>233.94271318885043</v>
      </c>
      <c r="K73" s="57">
        <f>J73/References!$G$59</f>
        <v>238.74141564328036</v>
      </c>
      <c r="L73" s="57">
        <f t="shared" si="38"/>
        <v>1.3773437316756718</v>
      </c>
      <c r="M73" s="57">
        <f>'Rate Sheet'!$C$124</f>
        <v>116.04</v>
      </c>
      <c r="N73" s="57">
        <f t="shared" si="35"/>
        <v>117.41734373167567</v>
      </c>
      <c r="O73" s="135">
        <f>(M73*D73*12)+('Rate Sheet'!$C$125*References!$J$8*12*D73)</f>
        <v>14939.314856090816</v>
      </c>
      <c r="P73" s="135">
        <f>(N73*D73*12)+('Rate Sheet'!$E$125*References!$J$8*12*D73)</f>
        <v>15178.490132229332</v>
      </c>
      <c r="Q73" s="135">
        <f t="shared" si="39"/>
        <v>239.17527613851598</v>
      </c>
      <c r="R73" s="109">
        <f t="shared" si="36"/>
        <v>0.43386049523562065</v>
      </c>
      <c r="S73" s="109"/>
      <c r="T73" s="362"/>
      <c r="U73" s="363"/>
    </row>
    <row r="74" spans="1:21" s="51" customFormat="1">
      <c r="A74" s="390"/>
      <c r="B74" s="52">
        <v>33</v>
      </c>
      <c r="C74" s="53" t="str">
        <f>'2180 (Reg.) - Price Out '!B101</f>
        <v>6 YD 5X WK 1</v>
      </c>
      <c r="D74" s="161">
        <f>'2180 (Reg.) - Price Out '!I101</f>
        <v>2.1621168187608548</v>
      </c>
      <c r="E74" s="54">
        <f>References!B7</f>
        <v>21.666666666666668</v>
      </c>
      <c r="F74" s="55">
        <f>D74*E74*References!$G$25</f>
        <v>562.15037287782229</v>
      </c>
      <c r="G74" s="55">
        <f>References!$B$39</f>
        <v>840</v>
      </c>
      <c r="H74" s="55">
        <f t="shared" si="40"/>
        <v>472206.31321737071</v>
      </c>
      <c r="I74" s="56">
        <f t="shared" si="34"/>
        <v>389082.75849555118</v>
      </c>
      <c r="J74" s="57">
        <f>References!$C$56*'Disposal Calc'!I74</f>
        <v>758.71137906632759</v>
      </c>
      <c r="K74" s="57">
        <f>J74/References!$G$59</f>
        <v>774.27429234241004</v>
      </c>
      <c r="L74" s="57">
        <f t="shared" si="38"/>
        <v>1.3773437316756716</v>
      </c>
      <c r="M74" s="57">
        <f>'Rate Sheet'!$C$124</f>
        <v>116.04</v>
      </c>
      <c r="N74" s="57">
        <f t="shared" si="35"/>
        <v>117.41734373167567</v>
      </c>
      <c r="O74" s="135">
        <f>(M74*D74*12)+('Rate Sheet'!$C$125*References!$J$7*12*D74)</f>
        <v>48244.955785793209</v>
      </c>
      <c r="P74" s="135">
        <f>(N74*D74*12)+('Rate Sheet'!$E$125*References!$J$7*12*D74)</f>
        <v>49020.654382415581</v>
      </c>
      <c r="Q74" s="135">
        <f t="shared" si="39"/>
        <v>775.69859662237286</v>
      </c>
      <c r="R74" s="109">
        <f t="shared" si="36"/>
        <v>1.4243042799628256</v>
      </c>
      <c r="S74" s="109"/>
      <c r="T74" s="362"/>
      <c r="U74" s="363"/>
    </row>
    <row r="75" spans="1:21" s="51" customFormat="1">
      <c r="A75" s="390"/>
      <c r="B75" s="52">
        <v>35</v>
      </c>
      <c r="C75" s="53" t="str">
        <f>'2180 (Reg.) - Price Out '!B102</f>
        <v>2 YD 1X WK COMP 1</v>
      </c>
      <c r="D75" s="161">
        <f>'2180 (Reg.) - Price Out '!I102</f>
        <v>0.99999713800571721</v>
      </c>
      <c r="E75" s="54">
        <f>References!$B$11</f>
        <v>4.333333333333333</v>
      </c>
      <c r="F75" s="55">
        <f>D75*E75*References!$G$25</f>
        <v>51.999851176297291</v>
      </c>
      <c r="G75" s="55">
        <f>References!B43</f>
        <v>892</v>
      </c>
      <c r="H75" s="55">
        <f t="shared" si="40"/>
        <v>46383.867249257186</v>
      </c>
      <c r="I75" s="56">
        <f t="shared" si="34"/>
        <v>38218.809265950644</v>
      </c>
      <c r="J75" s="57">
        <f>References!$C$56*'Disposal Calc'!I75</f>
        <v>74.526678068604028</v>
      </c>
      <c r="K75" s="57">
        <f>J75/References!$G$59</f>
        <v>76.055391436477223</v>
      </c>
      <c r="L75" s="57">
        <f t="shared" si="38"/>
        <v>1.4626078674460705</v>
      </c>
      <c r="M75" s="57">
        <f>'Rate Sheet'!C160</f>
        <v>99.14</v>
      </c>
      <c r="N75" s="57">
        <f t="shared" si="35"/>
        <v>100.60260786744607</v>
      </c>
      <c r="O75" s="57">
        <f>F75*M75</f>
        <v>5155.2652456181131</v>
      </c>
      <c r="P75" s="57">
        <f>F75*N75</f>
        <v>5231.3206370545904</v>
      </c>
      <c r="Q75" s="57">
        <f t="shared" si="39"/>
        <v>76.055391436477294</v>
      </c>
      <c r="R75" s="109">
        <f t="shared" si="36"/>
        <v>0</v>
      </c>
      <c r="S75" s="109"/>
      <c r="T75" s="362"/>
      <c r="U75" s="109"/>
    </row>
    <row r="76" spans="1:21" s="51" customFormat="1">
      <c r="A76" s="390"/>
      <c r="B76" s="52">
        <v>35</v>
      </c>
      <c r="C76" s="53" t="str">
        <f>'2180 (Reg.) - Price Out '!B103</f>
        <v>3 YD 2X WK COMP 1</v>
      </c>
      <c r="D76" s="161">
        <f>'2180 (Reg.) - Price Out '!I103</f>
        <v>4.0000250935163626</v>
      </c>
      <c r="E76" s="54">
        <f>References!$B$10</f>
        <v>8.6666666666666661</v>
      </c>
      <c r="F76" s="55">
        <f>D76*E76*References!$G$25</f>
        <v>416.00260972570169</v>
      </c>
      <c r="G76" s="55">
        <f>References!B44</f>
        <v>1301</v>
      </c>
      <c r="H76" s="55">
        <f t="shared" si="40"/>
        <v>541219.39525313792</v>
      </c>
      <c r="I76" s="56">
        <f t="shared" si="34"/>
        <v>445947.310237356</v>
      </c>
      <c r="J76" s="57">
        <f>References!$C$56*'Disposal Calc'!I76</f>
        <v>869.59725496284739</v>
      </c>
      <c r="K76" s="57">
        <f>J76/References!$G$59</f>
        <v>887.43469227762773</v>
      </c>
      <c r="L76" s="57">
        <f t="shared" si="38"/>
        <v>2.1332430891786296</v>
      </c>
      <c r="M76" s="57">
        <f>'Rate Sheet'!C161</f>
        <v>139.03</v>
      </c>
      <c r="N76" s="57">
        <f t="shared" si="35"/>
        <v>141.16324308917862</v>
      </c>
      <c r="O76" s="57">
        <f>F76*M76</f>
        <v>57836.842830164307</v>
      </c>
      <c r="P76" s="57">
        <f t="shared" ref="P76:P84" si="41">F76*N76</f>
        <v>58724.277522441931</v>
      </c>
      <c r="Q76" s="57">
        <f t="shared" si="39"/>
        <v>887.43469227762398</v>
      </c>
      <c r="R76" s="109">
        <f t="shared" si="36"/>
        <v>-3.751665644813329E-12</v>
      </c>
      <c r="S76" s="109"/>
      <c r="T76" s="146"/>
      <c r="U76" s="109"/>
    </row>
    <row r="77" spans="1:21" s="51" customFormat="1">
      <c r="A77" s="390"/>
      <c r="B77" s="52">
        <v>35</v>
      </c>
      <c r="C77" s="53" t="str">
        <f>'2180 (Reg.) - Price Out '!B104</f>
        <v>4 YD 1X WK COMP 1</v>
      </c>
      <c r="D77" s="161">
        <f>'2180 (Reg.) - Price Out '!I104</f>
        <v>3.000008975973786</v>
      </c>
      <c r="E77" s="54">
        <f>References!$B$11</f>
        <v>4.333333333333333</v>
      </c>
      <c r="F77" s="55">
        <f>D77*E77*References!$G$25</f>
        <v>156.00046675063686</v>
      </c>
      <c r="G77" s="55">
        <f>References!B45</f>
        <v>1686</v>
      </c>
      <c r="H77" s="55">
        <f t="shared" si="40"/>
        <v>263016.78694157372</v>
      </c>
      <c r="I77" s="56">
        <f t="shared" si="34"/>
        <v>216717.34182587298</v>
      </c>
      <c r="J77" s="57">
        <f>References!$C$56*'Disposal Calc'!I77</f>
        <v>422.59881656045388</v>
      </c>
      <c r="K77" s="57">
        <f>J77/References!$G$59</f>
        <v>431.26728907077649</v>
      </c>
      <c r="L77" s="57">
        <f t="shared" si="38"/>
        <v>2.7645256328633123</v>
      </c>
      <c r="M77" s="57">
        <f>'Rate Sheet'!$C$162</f>
        <v>183.29</v>
      </c>
      <c r="N77" s="57">
        <f t="shared" si="35"/>
        <v>186.05452563286332</v>
      </c>
      <c r="O77" s="57">
        <f t="shared" ref="O77:O84" si="42">F77*M77</f>
        <v>28593.325550724228</v>
      </c>
      <c r="P77" s="57">
        <f t="shared" si="41"/>
        <v>29024.592839795008</v>
      </c>
      <c r="Q77" s="57">
        <f t="shared" si="39"/>
        <v>431.26728907077995</v>
      </c>
      <c r="R77" s="109">
        <f t="shared" si="36"/>
        <v>3.4674485505092889E-12</v>
      </c>
      <c r="S77" s="109"/>
      <c r="T77" s="146"/>
      <c r="U77" s="109"/>
    </row>
    <row r="78" spans="1:21" s="51" customFormat="1">
      <c r="A78" s="390"/>
      <c r="B78" s="52">
        <v>35</v>
      </c>
      <c r="C78" s="53" t="str">
        <f>'2180 (Reg.) - Price Out '!B105</f>
        <v>4 YD 2X WK COMP 1</v>
      </c>
      <c r="D78" s="161">
        <f>'2180 (Reg.) - Price Out '!I105</f>
        <v>1.0000029919912621</v>
      </c>
      <c r="E78" s="54">
        <f>References!$B$10</f>
        <v>8.6666666666666661</v>
      </c>
      <c r="F78" s="55">
        <f>D78*E78*References!$G$25</f>
        <v>104.00031116709125</v>
      </c>
      <c r="G78" s="55">
        <f>References!B45</f>
        <v>1686</v>
      </c>
      <c r="H78" s="55">
        <f t="shared" si="40"/>
        <v>175344.52462771584</v>
      </c>
      <c r="I78" s="56">
        <f t="shared" si="34"/>
        <v>144478.22788391533</v>
      </c>
      <c r="J78" s="57">
        <f>References!$C$56*'Disposal Calc'!I78</f>
        <v>281.73254437363596</v>
      </c>
      <c r="K78" s="57">
        <f>J78/References!$G$59</f>
        <v>287.51152604718436</v>
      </c>
      <c r="L78" s="57">
        <f t="shared" si="38"/>
        <v>2.7645256328633123</v>
      </c>
      <c r="M78" s="57">
        <f>'Rate Sheet'!$C$162</f>
        <v>183.29</v>
      </c>
      <c r="N78" s="57">
        <f t="shared" si="35"/>
        <v>186.05452563286332</v>
      </c>
      <c r="O78" s="57">
        <f t="shared" si="42"/>
        <v>19062.217033816156</v>
      </c>
      <c r="P78" s="57">
        <f t="shared" si="41"/>
        <v>19349.728559863343</v>
      </c>
      <c r="Q78" s="57">
        <f t="shared" si="39"/>
        <v>287.51152604718663</v>
      </c>
      <c r="R78" s="109">
        <f t="shared" si="36"/>
        <v>2.2737367544323206E-12</v>
      </c>
      <c r="S78" s="109"/>
      <c r="T78" s="146"/>
      <c r="U78" s="109"/>
    </row>
    <row r="79" spans="1:21" s="51" customFormat="1">
      <c r="A79" s="390"/>
      <c r="B79" s="52">
        <v>33</v>
      </c>
      <c r="C79" s="53" t="str">
        <f>'2180 (Reg.) - Price Out '!B106</f>
        <v>1 YD TEMP</v>
      </c>
      <c r="D79" s="161">
        <f>'2180 (Reg.) - Price Out '!I106</f>
        <v>4.5833333333333339</v>
      </c>
      <c r="E79" s="54">
        <f>References!$B$13</f>
        <v>1</v>
      </c>
      <c r="F79" s="55">
        <f>D79*E79*References!$G$25</f>
        <v>55.000000000000007</v>
      </c>
      <c r="G79" s="55">
        <f>G55</f>
        <v>175</v>
      </c>
      <c r="H79" s="55">
        <f t="shared" si="40"/>
        <v>9625.0000000000018</v>
      </c>
      <c r="I79" s="56">
        <f t="shared" si="34"/>
        <v>7930.6892891874177</v>
      </c>
      <c r="J79" s="57">
        <f>References!$C$56*'Disposal Calc'!I79</f>
        <v>15.464844113915522</v>
      </c>
      <c r="K79" s="57">
        <f>J79/References!$G$59</f>
        <v>15.782063592117074</v>
      </c>
      <c r="L79" s="57">
        <f t="shared" si="38"/>
        <v>0.28694661076576494</v>
      </c>
      <c r="M79" s="57">
        <f>'Rate Sheet'!C136</f>
        <v>22.58</v>
      </c>
      <c r="N79" s="57">
        <f t="shared" si="35"/>
        <v>22.866946610765762</v>
      </c>
      <c r="O79" s="57">
        <f t="shared" si="42"/>
        <v>1241.9000000000001</v>
      </c>
      <c r="P79" s="57">
        <f t="shared" si="41"/>
        <v>1257.6820635921172</v>
      </c>
      <c r="Q79" s="57">
        <f t="shared" si="39"/>
        <v>15.782063592117083</v>
      </c>
      <c r="R79" s="109">
        <f t="shared" si="36"/>
        <v>0</v>
      </c>
      <c r="S79" s="109"/>
      <c r="T79" s="146"/>
      <c r="U79" s="109"/>
    </row>
    <row r="80" spans="1:21" s="51" customFormat="1">
      <c r="A80" s="390"/>
      <c r="B80" s="52">
        <v>33</v>
      </c>
      <c r="C80" s="53" t="str">
        <f>'2180 (Reg.) - Price Out '!B107</f>
        <v>1.5 YD TEMP</v>
      </c>
      <c r="D80" s="161">
        <f>'2180 (Reg.) - Price Out '!I107</f>
        <v>3.9166666666666674</v>
      </c>
      <c r="E80" s="54">
        <f>References!$B$13</f>
        <v>1</v>
      </c>
      <c r="F80" s="55">
        <f>D80*E80*References!$G$25</f>
        <v>47.000000000000007</v>
      </c>
      <c r="G80" s="55">
        <f>G56</f>
        <v>250</v>
      </c>
      <c r="H80" s="55">
        <f t="shared" si="40"/>
        <v>11750.000000000002</v>
      </c>
      <c r="I80" s="56">
        <f t="shared" si="34"/>
        <v>9681.6206906963271</v>
      </c>
      <c r="J80" s="57">
        <f>References!$C$56*'Disposal Calc'!I80</f>
        <v>18.879160346857908</v>
      </c>
      <c r="K80" s="57">
        <f>J80/References!$G$59</f>
        <v>19.266415294272793</v>
      </c>
      <c r="L80" s="57">
        <f t="shared" si="38"/>
        <v>0.40992372966537849</v>
      </c>
      <c r="M80" s="57">
        <f>'Rate Sheet'!C137</f>
        <v>30.06</v>
      </c>
      <c r="N80" s="57">
        <f t="shared" si="35"/>
        <v>30.469923729665378</v>
      </c>
      <c r="O80" s="57">
        <f t="shared" si="42"/>
        <v>1412.8200000000002</v>
      </c>
      <c r="P80" s="57">
        <f t="shared" si="41"/>
        <v>1432.0864152942729</v>
      </c>
      <c r="Q80" s="57">
        <f t="shared" si="39"/>
        <v>19.266415294272747</v>
      </c>
      <c r="R80" s="109">
        <f t="shared" si="36"/>
        <v>-4.6185277824406512E-14</v>
      </c>
      <c r="S80" s="109"/>
      <c r="T80" s="146"/>
      <c r="U80" s="109"/>
    </row>
    <row r="81" spans="1:23" s="51" customFormat="1">
      <c r="A81" s="390"/>
      <c r="B81" s="52">
        <v>33</v>
      </c>
      <c r="C81" s="53" t="str">
        <f>'2180 (Reg.) - Price Out '!B108</f>
        <v>2 YD TEMP</v>
      </c>
      <c r="D81" s="161">
        <f>'2180 (Reg.) - Price Out '!I108</f>
        <v>50.022965973834204</v>
      </c>
      <c r="E81" s="54">
        <f>References!$B$13</f>
        <v>1</v>
      </c>
      <c r="F81" s="55">
        <f>D81*E81*References!$G$25</f>
        <v>600.27559168601044</v>
      </c>
      <c r="G81" s="55">
        <f>G59</f>
        <v>324</v>
      </c>
      <c r="H81" s="55">
        <f t="shared" si="40"/>
        <v>194489.2917062674</v>
      </c>
      <c r="I81" s="56">
        <f t="shared" si="34"/>
        <v>160252.89793210823</v>
      </c>
      <c r="J81" s="57">
        <f>References!$C$56*'Disposal Calc'!I81</f>
        <v>312.49315096761222</v>
      </c>
      <c r="K81" s="57">
        <f>J81/References!$G$59</f>
        <v>318.9031033448436</v>
      </c>
      <c r="L81" s="57">
        <f t="shared" si="38"/>
        <v>0.53126115364633064</v>
      </c>
      <c r="M81" s="57">
        <f>'Rate Sheet'!C138</f>
        <v>36.57</v>
      </c>
      <c r="N81" s="57">
        <f t="shared" si="35"/>
        <v>37.101261153646334</v>
      </c>
      <c r="O81" s="57">
        <f t="shared" si="42"/>
        <v>21952.078387957401</v>
      </c>
      <c r="P81" s="57">
        <f t="shared" si="41"/>
        <v>22270.981491302249</v>
      </c>
      <c r="Q81" s="57">
        <f t="shared" si="39"/>
        <v>318.9031033448482</v>
      </c>
      <c r="R81" s="109">
        <f t="shared" si="36"/>
        <v>4.6043169277254492E-12</v>
      </c>
      <c r="S81" s="109"/>
      <c r="T81" s="146"/>
      <c r="U81" s="109"/>
    </row>
    <row r="82" spans="1:23" s="51" customFormat="1">
      <c r="A82" s="390"/>
      <c r="B82" s="52">
        <v>33</v>
      </c>
      <c r="C82" s="53" t="str">
        <f>'2180 (Reg.) - Price Out '!B109</f>
        <v>3 YD TEMP</v>
      </c>
      <c r="D82" s="161">
        <f>'2180 (Reg.) - Price Out '!I109</f>
        <v>0.91666666666666663</v>
      </c>
      <c r="E82" s="54">
        <f>References!$B$13</f>
        <v>1</v>
      </c>
      <c r="F82" s="55">
        <f>D82*E82*References!$G$25</f>
        <v>11</v>
      </c>
      <c r="G82" s="55">
        <f>G62</f>
        <v>473</v>
      </c>
      <c r="H82" s="55">
        <f t="shared" si="40"/>
        <v>5203</v>
      </c>
      <c r="I82" s="56">
        <f t="shared" si="34"/>
        <v>4287.1040386121686</v>
      </c>
      <c r="J82" s="57">
        <f>References!$C$56*'Disposal Calc'!I82</f>
        <v>8.3598528752937593</v>
      </c>
      <c r="K82" s="57">
        <f>J82/References!$G$59</f>
        <v>8.5313326617958563</v>
      </c>
      <c r="L82" s="57">
        <f t="shared" si="38"/>
        <v>0.77557569652689606</v>
      </c>
      <c r="M82" s="57">
        <f>'Rate Sheet'!C139</f>
        <v>51.27</v>
      </c>
      <c r="N82" s="57">
        <f t="shared" si="35"/>
        <v>52.045575696526896</v>
      </c>
      <c r="O82" s="57">
        <f t="shared" si="42"/>
        <v>563.97</v>
      </c>
      <c r="P82" s="57">
        <f t="shared" si="41"/>
        <v>572.50133266179591</v>
      </c>
      <c r="Q82" s="57">
        <f t="shared" si="39"/>
        <v>8.5313326617958865</v>
      </c>
      <c r="R82" s="109">
        <f t="shared" si="36"/>
        <v>3.0198066269804258E-14</v>
      </c>
      <c r="S82" s="109"/>
      <c r="T82" s="146"/>
      <c r="U82" s="109"/>
    </row>
    <row r="83" spans="1:23" s="51" customFormat="1">
      <c r="A83" s="390"/>
      <c r="B83" s="52">
        <v>33</v>
      </c>
      <c r="C83" s="53" t="str">
        <f>'2180 (Reg.) - Price Out '!B110</f>
        <v>4 YD TEMP 1</v>
      </c>
      <c r="D83" s="161">
        <f>'2180 (Reg.) - Price Out '!I110</f>
        <v>0.41666666666666669</v>
      </c>
      <c r="E83" s="54">
        <f>References!$B$13</f>
        <v>1</v>
      </c>
      <c r="F83" s="55">
        <f>D83*E83*References!$G$25</f>
        <v>5</v>
      </c>
      <c r="G83" s="55">
        <f>G66</f>
        <v>613</v>
      </c>
      <c r="H83" s="55">
        <f t="shared" si="40"/>
        <v>3065</v>
      </c>
      <c r="I83" s="56">
        <f t="shared" si="34"/>
        <v>2525.4610567646159</v>
      </c>
      <c r="J83" s="57">
        <f>References!$C$56*'Disposal Calc'!I83</f>
        <v>4.9246490606910198</v>
      </c>
      <c r="K83" s="57">
        <f>J83/References!$G$59</f>
        <v>5.0256649256975408</v>
      </c>
      <c r="L83" s="57">
        <f t="shared" si="38"/>
        <v>1.0051329851395081</v>
      </c>
      <c r="M83" s="57">
        <f>'Rate Sheet'!C140</f>
        <v>66.069999999999993</v>
      </c>
      <c r="N83" s="57">
        <f t="shared" si="35"/>
        <v>67.075132985139504</v>
      </c>
      <c r="O83" s="57">
        <f t="shared" si="42"/>
        <v>330.34999999999997</v>
      </c>
      <c r="P83" s="57">
        <f t="shared" si="41"/>
        <v>335.37566492569749</v>
      </c>
      <c r="Q83" s="57">
        <f t="shared" si="39"/>
        <v>5.0256649256975265</v>
      </c>
      <c r="R83" s="109">
        <f t="shared" si="36"/>
        <v>-1.4210854715202004E-14</v>
      </c>
      <c r="S83" s="109"/>
      <c r="T83" s="146"/>
      <c r="U83" s="109"/>
    </row>
    <row r="84" spans="1:23" s="51" customFormat="1">
      <c r="A84" s="390"/>
      <c r="B84" s="52">
        <v>33</v>
      </c>
      <c r="C84" s="53" t="str">
        <f>'2180 (Reg.) - Price Out '!B111</f>
        <v>6 YD TEMP 1</v>
      </c>
      <c r="D84" s="161">
        <f>'2180 (Reg.) - Price Out '!I111</f>
        <v>1.1961139638086575</v>
      </c>
      <c r="E84" s="54">
        <f>References!$B$13</f>
        <v>1</v>
      </c>
      <c r="F84" s="55">
        <f>D84*E84*References!$G$25</f>
        <v>14.353367565703891</v>
      </c>
      <c r="G84" s="55">
        <f>G69</f>
        <v>840</v>
      </c>
      <c r="H84" s="55">
        <f t="shared" ref="H84" si="43">F84*G84</f>
        <v>12056.828755191269</v>
      </c>
      <c r="I84" s="56">
        <f t="shared" si="34"/>
        <v>9934.4376800376358</v>
      </c>
      <c r="J84" s="57">
        <f>References!$C$56*'Disposal Calc'!I84</f>
        <v>19.372153476073461</v>
      </c>
      <c r="K84" s="57">
        <f>J84/References!$G$59</f>
        <v>19.769520845059148</v>
      </c>
      <c r="L84" s="57">
        <f t="shared" si="38"/>
        <v>1.3773437316756716</v>
      </c>
      <c r="M84" s="57">
        <f>'Rate Sheet'!C141</f>
        <v>92.07</v>
      </c>
      <c r="N84" s="57">
        <f t="shared" si="35"/>
        <v>93.447343731675659</v>
      </c>
      <c r="O84" s="57">
        <f t="shared" si="42"/>
        <v>1321.5145517743572</v>
      </c>
      <c r="P84" s="57">
        <f t="shared" si="41"/>
        <v>1341.2840726194163</v>
      </c>
      <c r="Q84" s="57">
        <f t="shared" ref="Q84" si="44">P84-O84</f>
        <v>19.769520845059105</v>
      </c>
      <c r="R84" s="109">
        <f t="shared" si="36"/>
        <v>-4.2632564145606011E-14</v>
      </c>
      <c r="S84" s="109"/>
      <c r="T84" s="146"/>
      <c r="U84" s="109"/>
    </row>
    <row r="85" spans="1:23" s="51" customFormat="1">
      <c r="A85" s="390"/>
      <c r="B85" s="52">
        <v>34</v>
      </c>
      <c r="C85" s="110" t="str">
        <f>'2180 (Reg.) - Price Out '!B118</f>
        <v>20 GL 1X WK COMM 1</v>
      </c>
      <c r="D85" s="161">
        <f>'2180 (Reg.) - Price Out '!I118</f>
        <v>1.3610867659947414</v>
      </c>
      <c r="E85" s="54">
        <f>References!$B$11</f>
        <v>4.333333333333333</v>
      </c>
      <c r="F85" s="55">
        <f>D85*E85*References!$G$25</f>
        <v>70.776511831726538</v>
      </c>
      <c r="G85" s="55">
        <f>References!B19</f>
        <v>20</v>
      </c>
      <c r="H85" s="55">
        <f t="shared" ref="H85:H114" si="45">F85*G85</f>
        <v>1415.5302366345309</v>
      </c>
      <c r="I85" s="56">
        <f t="shared" ref="I85:I116" si="46">$D$157*H85</f>
        <v>1166.3512193452884</v>
      </c>
      <c r="J85" s="57">
        <f>References!$C$56*'Disposal Calc'!I85</f>
        <v>2.2743848777233211</v>
      </c>
      <c r="K85" s="57">
        <f>J85/References!$G$59</f>
        <v>2.3210377362213706</v>
      </c>
      <c r="L85" s="57">
        <f>(K85/F85*E85)</f>
        <v>0.14210689295066453</v>
      </c>
      <c r="M85" s="57">
        <f>M8</f>
        <v>13.56</v>
      </c>
      <c r="N85" s="57">
        <f t="shared" si="35"/>
        <v>13.702106892950665</v>
      </c>
      <c r="O85" s="57">
        <f>D85*M85*12</f>
        <v>221.47603856266431</v>
      </c>
      <c r="P85" s="57">
        <f>D85*N85*12</f>
        <v>223.79707629888568</v>
      </c>
      <c r="Q85" s="57">
        <f t="shared" ref="Q85:Q114" si="47">P85-O85</f>
        <v>2.3210377362213706</v>
      </c>
      <c r="R85" s="109">
        <f t="shared" ref="R85:R109" si="48">Q85-K85</f>
        <v>0</v>
      </c>
      <c r="S85" s="109"/>
      <c r="T85" s="146"/>
      <c r="U85" s="109"/>
    </row>
    <row r="86" spans="1:23" s="367" customFormat="1">
      <c r="A86" s="390"/>
      <c r="B86" s="368">
        <v>34</v>
      </c>
      <c r="C86" s="360" t="str">
        <f>'2180 (Reg.) - Price Out '!B119</f>
        <v>32 GL 1X WK NO RECY COMM</v>
      </c>
      <c r="D86" s="369">
        <f>'2180 (Reg.) - Price Out '!I119</f>
        <v>7.5806783639691266</v>
      </c>
      <c r="E86" s="370">
        <f>References!$B$11</f>
        <v>4.333333333333333</v>
      </c>
      <c r="F86" s="361">
        <f>D86*E86*References!$G$25</f>
        <v>394.19527492639452</v>
      </c>
      <c r="G86" s="361">
        <f>References!$B$33</f>
        <v>29</v>
      </c>
      <c r="H86" s="361">
        <f t="shared" si="45"/>
        <v>11431.662972865441</v>
      </c>
      <c r="I86" s="371">
        <f t="shared" si="46"/>
        <v>9419.3212567796691</v>
      </c>
      <c r="J86" s="372">
        <f>References!$C$56*'Disposal Calc'!I86</f>
        <v>18.367676450720424</v>
      </c>
      <c r="K86" s="372">
        <f>J86/References!$G$59</f>
        <v>18.744439688458439</v>
      </c>
      <c r="L86" s="372">
        <f t="shared" ref="L86:L87" si="49">(K86/F86*E86)</f>
        <v>0.20605499477846356</v>
      </c>
      <c r="M86" s="372">
        <f>'Rate Sheet'!$C$147</f>
        <v>17.23</v>
      </c>
      <c r="N86" s="372">
        <f t="shared" si="35"/>
        <v>17.436054994778463</v>
      </c>
      <c r="O86" s="372">
        <f t="shared" ref="O86:O87" si="50">D86*M86*12</f>
        <v>1567.3810585342567</v>
      </c>
      <c r="P86" s="372">
        <f t="shared" ref="P86:P87" si="51">D86*N86*12</f>
        <v>1586.1254982227151</v>
      </c>
      <c r="Q86" s="372">
        <f t="shared" si="47"/>
        <v>18.744439688458442</v>
      </c>
      <c r="R86" s="373">
        <f t="shared" si="48"/>
        <v>0</v>
      </c>
      <c r="S86" s="366"/>
      <c r="T86" s="146"/>
      <c r="U86" s="109"/>
      <c r="V86" s="51"/>
      <c r="W86" s="366"/>
    </row>
    <row r="87" spans="1:23" s="367" customFormat="1">
      <c r="A87" s="390"/>
      <c r="B87" s="368">
        <v>34</v>
      </c>
      <c r="C87" s="360" t="str">
        <f>'2180 (Reg.) - Price Out '!B120</f>
        <v>32 GL 1X WK W/RECY COMM 1</v>
      </c>
      <c r="D87" s="369">
        <f>'2180 (Reg.) - Price Out '!I120</f>
        <v>52.164141004217392</v>
      </c>
      <c r="E87" s="370">
        <f>References!$B$11</f>
        <v>4.333333333333333</v>
      </c>
      <c r="F87" s="361">
        <f>D87*E87*References!$G$25</f>
        <v>2712.5353322193041</v>
      </c>
      <c r="G87" s="361">
        <f>References!$B$33</f>
        <v>29</v>
      </c>
      <c r="H87" s="361">
        <f t="shared" si="45"/>
        <v>78663.524634359812</v>
      </c>
      <c r="I87" s="371">
        <f t="shared" si="46"/>
        <v>64816.204910903667</v>
      </c>
      <c r="J87" s="372">
        <f>References!$C$56*'Disposal Calc'!I87</f>
        <v>126.39159957626262</v>
      </c>
      <c r="K87" s="372">
        <f>J87/References!$G$59</f>
        <v>128.98418162696461</v>
      </c>
      <c r="L87" s="372">
        <f t="shared" si="49"/>
        <v>0.20605499477846356</v>
      </c>
      <c r="M87" s="372">
        <f>'Rate Sheet'!$C$147</f>
        <v>17.23</v>
      </c>
      <c r="N87" s="372">
        <f t="shared" si="35"/>
        <v>17.436054994778463</v>
      </c>
      <c r="O87" s="372">
        <f t="shared" si="50"/>
        <v>10785.457794031987</v>
      </c>
      <c r="P87" s="372">
        <f t="shared" si="51"/>
        <v>10914.441975658952</v>
      </c>
      <c r="Q87" s="372">
        <f t="shared" si="47"/>
        <v>128.98418162696544</v>
      </c>
      <c r="R87" s="373">
        <f t="shared" si="48"/>
        <v>8.2422957348171622E-13</v>
      </c>
      <c r="S87" s="366"/>
      <c r="T87" s="146"/>
      <c r="U87" s="109"/>
      <c r="V87" s="51"/>
      <c r="W87" s="366"/>
    </row>
    <row r="88" spans="1:23" s="51" customFormat="1">
      <c r="A88" s="390"/>
      <c r="B88" s="368">
        <v>34</v>
      </c>
      <c r="C88" s="360" t="str">
        <f>'2180 (Reg.) - Price Out '!B121</f>
        <v>32 GL 1X WK NO RECY COMM</v>
      </c>
      <c r="D88" s="369">
        <f>'2180 (Reg.) - Price Out '!I121</f>
        <v>9.297284239491761</v>
      </c>
      <c r="E88" s="370">
        <f>References!$B$10</f>
        <v>8.6666666666666661</v>
      </c>
      <c r="F88" s="361">
        <f>D88*E88*References!$G$25</f>
        <v>966.91756090714307</v>
      </c>
      <c r="G88" s="361">
        <f>References!$B$33</f>
        <v>29</v>
      </c>
      <c r="H88" s="361">
        <f t="shared" si="45"/>
        <v>28040.60926630715</v>
      </c>
      <c r="I88" s="371">
        <f t="shared" si="46"/>
        <v>23104.556838503016</v>
      </c>
      <c r="J88" s="372">
        <f>References!$C$56*'Disposal Calc'!I88</f>
        <v>45.053885835081047</v>
      </c>
      <c r="K88" s="372">
        <f>J88/References!$G$59</f>
        <v>45.978044530136799</v>
      </c>
      <c r="L88" s="372">
        <f>(K88/F88)</f>
        <v>4.7551152641183911E-2</v>
      </c>
      <c r="M88" s="372">
        <f>'Rate Sheet'!$C$144</f>
        <v>3.21</v>
      </c>
      <c r="N88" s="372">
        <f>L88+M88</f>
        <v>3.257551152641184</v>
      </c>
      <c r="O88" s="372">
        <f>M88*F88</f>
        <v>3103.8053705119291</v>
      </c>
      <c r="P88" s="372">
        <f>N88*F88</f>
        <v>3149.7834150420663</v>
      </c>
      <c r="Q88" s="372">
        <f t="shared" si="47"/>
        <v>45.97804453013714</v>
      </c>
      <c r="R88" s="373">
        <f t="shared" si="48"/>
        <v>3.4106051316484809E-13</v>
      </c>
      <c r="S88" s="109"/>
      <c r="T88" s="146"/>
      <c r="U88" s="109"/>
      <c r="W88" s="366"/>
    </row>
    <row r="89" spans="1:23" s="51" customFormat="1">
      <c r="A89" s="390"/>
      <c r="B89" s="368">
        <v>34</v>
      </c>
      <c r="C89" s="360" t="str">
        <f>'2180 (Reg.) - Price Out '!B122</f>
        <v>32 GL 1X WK W/RECY COMM 2</v>
      </c>
      <c r="D89" s="369">
        <f>'2180 (Reg.) - Price Out '!I122</f>
        <v>1.5758469347777257</v>
      </c>
      <c r="E89" s="370">
        <f>References!$B$10</f>
        <v>8.6666666666666661</v>
      </c>
      <c r="F89" s="361">
        <f>D89*E89*References!$G$25</f>
        <v>163.88808121688345</v>
      </c>
      <c r="G89" s="361">
        <f>References!$B$33</f>
        <v>29</v>
      </c>
      <c r="H89" s="361">
        <f t="shared" si="45"/>
        <v>4752.7543552896204</v>
      </c>
      <c r="I89" s="371">
        <f t="shared" si="46"/>
        <v>3916.1161620399207</v>
      </c>
      <c r="J89" s="372">
        <f>References!$C$56*'Disposal Calc'!I89</f>
        <v>7.6364265159778739</v>
      </c>
      <c r="K89" s="372">
        <f>J89/References!$G$59</f>
        <v>7.7930671660147706</v>
      </c>
      <c r="L89" s="372">
        <f t="shared" ref="L89:L102" si="52">(K89/F89)</f>
        <v>4.7551152641183911E-2</v>
      </c>
      <c r="M89" s="372">
        <f>'Rate Sheet'!$C$144</f>
        <v>3.21</v>
      </c>
      <c r="N89" s="372">
        <f>L89+M89</f>
        <v>3.257551152641184</v>
      </c>
      <c r="O89" s="372">
        <f t="shared" ref="O89:O93" si="53">M89*F89</f>
        <v>526.08074070619591</v>
      </c>
      <c r="P89" s="372">
        <f t="shared" ref="P89:P93" si="54">N89*F89</f>
        <v>533.8738078722107</v>
      </c>
      <c r="Q89" s="372">
        <f t="shared" si="47"/>
        <v>7.7930671660147937</v>
      </c>
      <c r="R89" s="373">
        <f t="shared" si="48"/>
        <v>2.3092638912203256E-14</v>
      </c>
      <c r="S89" s="109"/>
      <c r="T89" s="146"/>
      <c r="U89" s="109"/>
      <c r="W89" s="366"/>
    </row>
    <row r="90" spans="1:23" s="51" customFormat="1">
      <c r="A90" s="390"/>
      <c r="B90" s="368">
        <v>34</v>
      </c>
      <c r="C90" s="360" t="str">
        <f>'2180 (Reg.) - Price Out '!B123</f>
        <v>32 GL 1X WK NO RECY COMM</v>
      </c>
      <c r="D90" s="369">
        <f>'2180 (Reg.) - Price Out '!I123</f>
        <v>0.3124575465290042</v>
      </c>
      <c r="E90" s="370">
        <f>References!$B$10</f>
        <v>8.6666666666666661</v>
      </c>
      <c r="F90" s="361">
        <f>D90*E90*References!$G$25</f>
        <v>32.495584839016438</v>
      </c>
      <c r="G90" s="361">
        <f>References!$B$33</f>
        <v>29</v>
      </c>
      <c r="H90" s="361">
        <f t="shared" si="45"/>
        <v>942.37196033147666</v>
      </c>
      <c r="I90" s="371">
        <f t="shared" si="46"/>
        <v>776.48407399806649</v>
      </c>
      <c r="J90" s="372">
        <f>References!$C$56*'Disposal Calc'!I90</f>
        <v>1.5141439442962352</v>
      </c>
      <c r="K90" s="372">
        <f>J90/References!$G$59</f>
        <v>1.545202514844612</v>
      </c>
      <c r="L90" s="372">
        <f t="shared" si="52"/>
        <v>4.7551152641183904E-2</v>
      </c>
      <c r="M90" s="372">
        <f>'Rate Sheet'!$C$144</f>
        <v>3.21</v>
      </c>
      <c r="N90" s="372">
        <f t="shared" si="35"/>
        <v>3.257551152641184</v>
      </c>
      <c r="O90" s="372">
        <f t="shared" si="53"/>
        <v>104.31082733324277</v>
      </c>
      <c r="P90" s="372">
        <f t="shared" si="54"/>
        <v>105.85602984808737</v>
      </c>
      <c r="Q90" s="372">
        <f t="shared" si="47"/>
        <v>1.545202514844604</v>
      </c>
      <c r="R90" s="373">
        <f t="shared" si="48"/>
        <v>-7.9936057773011271E-15</v>
      </c>
      <c r="S90" s="109"/>
      <c r="T90" s="146"/>
      <c r="U90" s="109"/>
      <c r="W90" s="366"/>
    </row>
    <row r="91" spans="1:23" s="51" customFormat="1">
      <c r="A91" s="390"/>
      <c r="B91" s="368">
        <v>34</v>
      </c>
      <c r="C91" s="360" t="str">
        <f>'2180 (Reg.) - Price Out '!B124</f>
        <v>32 GL 1X WK W/RECY COMM 3</v>
      </c>
      <c r="D91" s="369">
        <f>'2180 (Reg.) - Price Out '!I124</f>
        <v>0.8163975665754909</v>
      </c>
      <c r="E91" s="370">
        <f>References!$B$9</f>
        <v>13</v>
      </c>
      <c r="F91" s="361">
        <f>D91*E91*References!$G$25</f>
        <v>127.35802038577658</v>
      </c>
      <c r="G91" s="361">
        <f>References!$B$33</f>
        <v>29</v>
      </c>
      <c r="H91" s="361">
        <f t="shared" si="45"/>
        <v>3693.382591187521</v>
      </c>
      <c r="I91" s="371">
        <f t="shared" si="46"/>
        <v>3043.2280266807416</v>
      </c>
      <c r="J91" s="372">
        <f>References!$C$56*'Disposal Calc'!I91</f>
        <v>5.934294652027468</v>
      </c>
      <c r="K91" s="372">
        <f>J91/References!$G$59</f>
        <v>6.0560206674430734</v>
      </c>
      <c r="L91" s="372">
        <f t="shared" si="52"/>
        <v>4.7551152641183904E-2</v>
      </c>
      <c r="M91" s="372">
        <f>'Rate Sheet'!$C$144</f>
        <v>3.21</v>
      </c>
      <c r="N91" s="372">
        <f t="shared" si="35"/>
        <v>3.257551152641184</v>
      </c>
      <c r="O91" s="372">
        <f t="shared" si="53"/>
        <v>408.81924543834282</v>
      </c>
      <c r="P91" s="372">
        <f t="shared" si="54"/>
        <v>414.8752661057859</v>
      </c>
      <c r="Q91" s="372">
        <f t="shared" si="47"/>
        <v>6.0560206674430788</v>
      </c>
      <c r="R91" s="373">
        <f t="shared" si="48"/>
        <v>0</v>
      </c>
      <c r="S91" s="109"/>
      <c r="T91" s="146"/>
      <c r="U91" s="109"/>
      <c r="W91" s="366"/>
    </row>
    <row r="92" spans="1:23" s="51" customFormat="1">
      <c r="A92" s="390"/>
      <c r="B92" s="368">
        <v>34</v>
      </c>
      <c r="C92" s="360" t="str">
        <f>'2180 (Reg.) - Price Out '!B125</f>
        <v>32 GL 1X WK W/RECY COMM 4</v>
      </c>
      <c r="D92" s="369">
        <f>'2180 (Reg.) - Price Out '!I125</f>
        <v>4.840296660067863</v>
      </c>
      <c r="E92" s="370">
        <f>References!$B$8</f>
        <v>17.333333333333332</v>
      </c>
      <c r="F92" s="361">
        <f>D92*E92*References!$G$25</f>
        <v>1006.7817052941155</v>
      </c>
      <c r="G92" s="361">
        <f>References!$B$33</f>
        <v>29</v>
      </c>
      <c r="H92" s="361">
        <f t="shared" si="45"/>
        <v>29196.66945352935</v>
      </c>
      <c r="I92" s="371">
        <f t="shared" si="46"/>
        <v>24057.113113252013</v>
      </c>
      <c r="J92" s="372">
        <f>References!$C$56*'Disposal Calc'!I92</f>
        <v>46.911370570841598</v>
      </c>
      <c r="K92" s="372">
        <f>J92/References!$G$59</f>
        <v>47.873630544791915</v>
      </c>
      <c r="L92" s="372">
        <f t="shared" si="52"/>
        <v>4.7551152641183904E-2</v>
      </c>
      <c r="M92" s="372">
        <f>'Rate Sheet'!$C$144</f>
        <v>3.21</v>
      </c>
      <c r="N92" s="372">
        <f t="shared" si="35"/>
        <v>3.257551152641184</v>
      </c>
      <c r="O92" s="372">
        <f t="shared" si="53"/>
        <v>3231.7692739941108</v>
      </c>
      <c r="P92" s="372">
        <f t="shared" si="54"/>
        <v>3279.6429045389027</v>
      </c>
      <c r="Q92" s="372">
        <f t="shared" si="47"/>
        <v>47.873630544791922</v>
      </c>
      <c r="R92" s="373">
        <f t="shared" si="48"/>
        <v>0</v>
      </c>
      <c r="S92" s="109"/>
      <c r="T92" s="146"/>
      <c r="U92" s="109"/>
      <c r="W92" s="366"/>
    </row>
    <row r="93" spans="1:23" s="375" customFormat="1">
      <c r="A93" s="390"/>
      <c r="B93" s="368">
        <v>34</v>
      </c>
      <c r="C93" s="360" t="str">
        <f>'2180 (Reg.) - Price Out '!B126</f>
        <v>32 GL 1X WK W/RECY COMM 5</v>
      </c>
      <c r="D93" s="369">
        <f>'2180 (Reg.) - Price Out '!I126</f>
        <v>0.49985096930778794</v>
      </c>
      <c r="E93" s="370">
        <f>References!B26</f>
        <v>37</v>
      </c>
      <c r="F93" s="361">
        <f>D93*E93*References!$G$25</f>
        <v>221.93383037265784</v>
      </c>
      <c r="G93" s="361">
        <f>References!$B$33</f>
        <v>29</v>
      </c>
      <c r="H93" s="361">
        <f t="shared" si="45"/>
        <v>6436.0810808070773</v>
      </c>
      <c r="I93" s="371">
        <f t="shared" si="46"/>
        <v>5303.1230433141254</v>
      </c>
      <c r="J93" s="372">
        <f>References!$C$56*'Disposal Calc'!I93</f>
        <v>10.341089934462584</v>
      </c>
      <c r="K93" s="372">
        <f>J93/References!$G$59</f>
        <v>10.55320944429287</v>
      </c>
      <c r="L93" s="372">
        <f t="shared" si="52"/>
        <v>4.7551152641183904E-2</v>
      </c>
      <c r="M93" s="372">
        <f>'Rate Sheet'!$C$144</f>
        <v>3.21</v>
      </c>
      <c r="N93" s="372">
        <f t="shared" si="35"/>
        <v>3.257551152641184</v>
      </c>
      <c r="O93" s="372">
        <f t="shared" si="53"/>
        <v>712.40759549623169</v>
      </c>
      <c r="P93" s="372">
        <f t="shared" si="54"/>
        <v>722.96080494052455</v>
      </c>
      <c r="Q93" s="372">
        <f t="shared" si="47"/>
        <v>10.553209444292861</v>
      </c>
      <c r="R93" s="373">
        <f t="shared" si="48"/>
        <v>0</v>
      </c>
      <c r="S93" s="374"/>
      <c r="T93" s="146"/>
      <c r="U93" s="109"/>
      <c r="V93" s="51"/>
      <c r="W93" s="366"/>
    </row>
    <row r="94" spans="1:23" s="367" customFormat="1">
      <c r="A94" s="390"/>
      <c r="B94" s="368">
        <v>34</v>
      </c>
      <c r="C94" s="360" t="str">
        <f>'2180 (Reg.) - Price Out '!B127</f>
        <v>65 GL 1X WK NO RECY COMM</v>
      </c>
      <c r="D94" s="369">
        <f>'2180 (Reg.) - Price Out '!I127</f>
        <v>34.345711534544776</v>
      </c>
      <c r="E94" s="370">
        <f>References!$B$11</f>
        <v>4.333333333333333</v>
      </c>
      <c r="F94" s="361">
        <f>D94*E94*References!$G$25</f>
        <v>1785.9769997963281</v>
      </c>
      <c r="G94" s="361">
        <f>References!$B$27</f>
        <v>47</v>
      </c>
      <c r="H94" s="361">
        <f t="shared" si="45"/>
        <v>83940.918990427424</v>
      </c>
      <c r="I94" s="371">
        <f t="shared" si="46"/>
        <v>69164.607497343517</v>
      </c>
      <c r="J94" s="372">
        <f>References!$C$56*'Disposal Calc'!I94</f>
        <v>134.87098461982035</v>
      </c>
      <c r="K94" s="372">
        <f>J94/References!$G$59</f>
        <v>137.63749833638161</v>
      </c>
      <c r="L94" s="372">
        <f>(K94/F94*E94)</f>
        <v>0.33395119843406162</v>
      </c>
      <c r="M94" s="372">
        <f>+'Rate Sheet'!C154</f>
        <v>19.97</v>
      </c>
      <c r="N94" s="372">
        <f>L94+M94</f>
        <v>20.30395119843406</v>
      </c>
      <c r="O94" s="372">
        <f t="shared" ref="O94:O95" si="55">D94*M94*12</f>
        <v>8230.6063121383104</v>
      </c>
      <c r="P94" s="372">
        <f t="shared" ref="P94:P95" si="56">D94*N94*12</f>
        <v>8368.2438104746907</v>
      </c>
      <c r="Q94" s="372">
        <f t="shared" si="47"/>
        <v>137.6374983363803</v>
      </c>
      <c r="R94" s="373">
        <f t="shared" si="48"/>
        <v>-1.3073986337985843E-12</v>
      </c>
      <c r="S94" s="366"/>
      <c r="T94" s="146"/>
      <c r="U94" s="109"/>
      <c r="V94" s="51"/>
      <c r="W94" s="366"/>
    </row>
    <row r="95" spans="1:23" s="51" customFormat="1">
      <c r="A95" s="390"/>
      <c r="B95" s="368">
        <v>34</v>
      </c>
      <c r="C95" s="360" t="str">
        <f>'2180 (Reg.) - Price Out '!B128</f>
        <v>65 GL 1X WK W/RECY COMM 1</v>
      </c>
      <c r="D95" s="369">
        <f>'2180 (Reg.) - Price Out '!I128</f>
        <v>438.00540818226574</v>
      </c>
      <c r="E95" s="370">
        <f>References!$B$11</f>
        <v>4.333333333333333</v>
      </c>
      <c r="F95" s="361">
        <f>D95*E95*References!$G$25</f>
        <v>22776.281225477818</v>
      </c>
      <c r="G95" s="361">
        <f>References!$B$27</f>
        <v>47</v>
      </c>
      <c r="H95" s="361">
        <f t="shared" si="45"/>
        <v>1070485.2175974573</v>
      </c>
      <c r="I95" s="371">
        <f t="shared" si="46"/>
        <v>882045.26227881713</v>
      </c>
      <c r="J95" s="372">
        <f>References!$C$56*'Disposal Calc'!I95</f>
        <v>1719.9882614436999</v>
      </c>
      <c r="K95" s="372">
        <f>J95/References!$G$59</f>
        <v>1755.269171796816</v>
      </c>
      <c r="L95" s="372">
        <f>(K95/F95)*E95</f>
        <v>0.33395119843406162</v>
      </c>
      <c r="M95" s="372">
        <f>+'Rate Sheet'!C154</f>
        <v>19.97</v>
      </c>
      <c r="N95" s="372">
        <f t="shared" si="35"/>
        <v>20.30395119843406</v>
      </c>
      <c r="O95" s="372">
        <f t="shared" si="55"/>
        <v>104963.61601679816</v>
      </c>
      <c r="P95" s="372">
        <f t="shared" si="56"/>
        <v>106718.88518859497</v>
      </c>
      <c r="Q95" s="372">
        <f t="shared" si="47"/>
        <v>1755.2691717968119</v>
      </c>
      <c r="R95" s="373">
        <f t="shared" si="48"/>
        <v>-4.0927261579781771E-12</v>
      </c>
      <c r="S95" s="109"/>
      <c r="T95" s="146"/>
      <c r="U95" s="109"/>
      <c r="W95" s="366"/>
    </row>
    <row r="96" spans="1:23" s="51" customFormat="1">
      <c r="A96" s="390"/>
      <c r="B96" s="368">
        <v>34</v>
      </c>
      <c r="C96" s="360" t="str">
        <f>'2180 (Reg.) - Price Out '!B129</f>
        <v>65 GL 1X WK NO REC COMM 2</v>
      </c>
      <c r="D96" s="369">
        <f>'2180 (Reg.) - Price Out '!I129</f>
        <v>5.2092244083262046E-2</v>
      </c>
      <c r="E96" s="370">
        <f>References!$B$10</f>
        <v>8.6666666666666661</v>
      </c>
      <c r="F96" s="361">
        <f>D96*E96*References!$G$25</f>
        <v>5.4175933846592521</v>
      </c>
      <c r="G96" s="361">
        <f>References!$B$27</f>
        <v>47</v>
      </c>
      <c r="H96" s="361">
        <f t="shared" si="45"/>
        <v>254.62688907898485</v>
      </c>
      <c r="I96" s="371">
        <f t="shared" si="46"/>
        <v>209.80433682678623</v>
      </c>
      <c r="J96" s="372">
        <f>References!$C$56*'Disposal Calc'!I96</f>
        <v>0.40911845681223469</v>
      </c>
      <c r="K96" s="372">
        <f>J96/References!$G$59</f>
        <v>0.41751041617740042</v>
      </c>
      <c r="L96" s="372">
        <f t="shared" si="52"/>
        <v>7.7065661177091155E-2</v>
      </c>
      <c r="M96" s="372">
        <f>'Rate Sheet'!$C$153</f>
        <v>6.52</v>
      </c>
      <c r="N96" s="372">
        <f t="shared" si="35"/>
        <v>6.5970656611770906</v>
      </c>
      <c r="O96" s="372">
        <f t="shared" ref="O96:O102" si="57">M96*F96</f>
        <v>35.322708867978321</v>
      </c>
      <c r="P96" s="372">
        <f t="shared" ref="P96:P102" si="58">N96*F96</f>
        <v>35.740219284155721</v>
      </c>
      <c r="Q96" s="372">
        <f t="shared" si="47"/>
        <v>0.41751041617740015</v>
      </c>
      <c r="R96" s="373">
        <f t="shared" si="48"/>
        <v>0</v>
      </c>
      <c r="S96" s="109"/>
      <c r="T96" s="376"/>
      <c r="U96" s="109"/>
      <c r="W96" s="366"/>
    </row>
    <row r="97" spans="1:23" s="51" customFormat="1">
      <c r="A97" s="390"/>
      <c r="B97" s="368">
        <v>34</v>
      </c>
      <c r="C97" s="360" t="str">
        <f>'2180 (Reg.) - Price Out '!B130</f>
        <v>65 GL EOW NO RECY COMM 1</v>
      </c>
      <c r="D97" s="369">
        <f>'2180 (Reg.) - Price Out '!I130</f>
        <v>5.5416921197312163</v>
      </c>
      <c r="E97" s="370">
        <f>References!$B$12</f>
        <v>2.1666666666666665</v>
      </c>
      <c r="F97" s="361">
        <f>D97*E97*References!$G$25</f>
        <v>144.08399511301161</v>
      </c>
      <c r="G97" s="361">
        <f>References!$B$27</f>
        <v>47</v>
      </c>
      <c r="H97" s="361">
        <f t="shared" si="45"/>
        <v>6771.9477703115454</v>
      </c>
      <c r="I97" s="371">
        <f t="shared" si="46"/>
        <v>5579.8663531372858</v>
      </c>
      <c r="J97" s="372">
        <f>References!$C$56*'Disposal Calc'!I97</f>
        <v>10.880739388617748</v>
      </c>
      <c r="K97" s="372">
        <f>J97/References!$G$59</f>
        <v>11.103928348421011</v>
      </c>
      <c r="L97" s="372">
        <f t="shared" si="52"/>
        <v>7.7065661177091155E-2</v>
      </c>
      <c r="M97" s="372">
        <f>'Rate Sheet'!$C$153</f>
        <v>6.52</v>
      </c>
      <c r="N97" s="372">
        <f>L97+M97</f>
        <v>6.5970656611770906</v>
      </c>
      <c r="O97" s="372">
        <f t="shared" si="57"/>
        <v>939.42764813683561</v>
      </c>
      <c r="P97" s="372">
        <f t="shared" si="58"/>
        <v>950.53157648525666</v>
      </c>
      <c r="Q97" s="372">
        <f t="shared" si="47"/>
        <v>11.10392834842105</v>
      </c>
      <c r="R97" s="373">
        <f t="shared" si="48"/>
        <v>3.907985046680551E-14</v>
      </c>
      <c r="S97" s="109"/>
      <c r="T97" s="146"/>
      <c r="U97" s="109"/>
      <c r="W97" s="366"/>
    </row>
    <row r="98" spans="1:23" s="51" customFormat="1">
      <c r="A98" s="390"/>
      <c r="B98" s="368">
        <v>34</v>
      </c>
      <c r="C98" s="360" t="str">
        <f>'2180 (Reg.) - Price Out '!B131</f>
        <v>65 GL EOW W/RECY COMM 1</v>
      </c>
      <c r="D98" s="369">
        <f>'2180 (Reg.) - Price Out '!I131</f>
        <v>126.16722663408673</v>
      </c>
      <c r="E98" s="370">
        <f>References!$B$12</f>
        <v>2.1666666666666665</v>
      </c>
      <c r="F98" s="361">
        <f>D98*E98*References!$G$25</f>
        <v>3280.3478924862548</v>
      </c>
      <c r="G98" s="361">
        <f>References!$B$27</f>
        <v>47</v>
      </c>
      <c r="H98" s="361">
        <f t="shared" si="45"/>
        <v>154176.35094685399</v>
      </c>
      <c r="I98" s="371">
        <f t="shared" si="46"/>
        <v>127036.33611430805</v>
      </c>
      <c r="J98" s="372">
        <f>References!$C$56*'Disposal Calc'!I98</f>
        <v>247.72085542290162</v>
      </c>
      <c r="K98" s="372">
        <f>J98/References!$G$59</f>
        <v>252.80217922533078</v>
      </c>
      <c r="L98" s="372">
        <f t="shared" si="52"/>
        <v>7.7065661177091169E-2</v>
      </c>
      <c r="M98" s="372">
        <f>'Rate Sheet'!$C$153</f>
        <v>6.52</v>
      </c>
      <c r="N98" s="372">
        <f t="shared" si="35"/>
        <v>6.5970656611770906</v>
      </c>
      <c r="O98" s="372">
        <f t="shared" si="57"/>
        <v>21387.868259010378</v>
      </c>
      <c r="P98" s="372">
        <f t="shared" si="58"/>
        <v>21640.670438235709</v>
      </c>
      <c r="Q98" s="372">
        <f t="shared" si="47"/>
        <v>252.8021792253312</v>
      </c>
      <c r="R98" s="373">
        <f t="shared" si="48"/>
        <v>4.2632564145606011E-13</v>
      </c>
      <c r="S98" s="109"/>
      <c r="T98" s="146"/>
      <c r="U98" s="109"/>
      <c r="W98" s="366"/>
    </row>
    <row r="99" spans="1:23" s="51" customFormat="1">
      <c r="A99" s="390"/>
      <c r="B99" s="368">
        <v>34</v>
      </c>
      <c r="C99" s="360" t="str">
        <f>'2180 (Reg.) - Price Out '!B132</f>
        <v>95 GL 1X WK NO RECY COMM</v>
      </c>
      <c r="D99" s="369">
        <f>'2180 (Reg.) - Price Out '!I132</f>
        <v>39.304775634009765</v>
      </c>
      <c r="E99" s="370">
        <f>References!$B$11</f>
        <v>4.333333333333333</v>
      </c>
      <c r="F99" s="361">
        <f>D99*E99*References!$G$25</f>
        <v>2043.8483329685075</v>
      </c>
      <c r="G99" s="361">
        <f>References!$B$28</f>
        <v>68</v>
      </c>
      <c r="H99" s="361">
        <f t="shared" si="45"/>
        <v>138981.68664185851</v>
      </c>
      <c r="I99" s="371">
        <f t="shared" si="46"/>
        <v>114516.42323571835</v>
      </c>
      <c r="J99" s="372">
        <f>References!$C$56*'Disposal Calc'!I99</f>
        <v>223.30702530965161</v>
      </c>
      <c r="K99" s="372">
        <f>J99/References!$G$59</f>
        <v>227.88756537366223</v>
      </c>
      <c r="L99" s="372">
        <f>(K99/F99)*E99</f>
        <v>0.48316343603225942</v>
      </c>
      <c r="M99" s="372">
        <f>+'Rate Sheet'!C157</f>
        <v>25.47</v>
      </c>
      <c r="N99" s="372">
        <f t="shared" si="35"/>
        <v>25.953163436032259</v>
      </c>
      <c r="O99" s="372">
        <f t="shared" ref="O99:O100" si="59">D99*M99*12</f>
        <v>12013.111624778745</v>
      </c>
      <c r="P99" s="372">
        <f t="shared" ref="P99:P100" si="60">D99*N99*12</f>
        <v>12240.999190152406</v>
      </c>
      <c r="Q99" s="372">
        <f t="shared" si="47"/>
        <v>227.88756537366135</v>
      </c>
      <c r="R99" s="373">
        <f t="shared" si="48"/>
        <v>-8.8107299234252423E-13</v>
      </c>
      <c r="S99" s="109"/>
      <c r="T99" s="146"/>
      <c r="U99" s="109"/>
      <c r="W99" s="366"/>
    </row>
    <row r="100" spans="1:23" s="51" customFormat="1">
      <c r="A100" s="390"/>
      <c r="B100" s="368">
        <v>34</v>
      </c>
      <c r="C100" s="360" t="str">
        <f>'2180 (Reg.) - Price Out '!B133</f>
        <v>95 GL 1X WK W/RECY COMM 1</v>
      </c>
      <c r="D100" s="369">
        <f>'2180 (Reg.) - Price Out '!I133</f>
        <v>185.15988184976209</v>
      </c>
      <c r="E100" s="370">
        <f>References!$B$11</f>
        <v>4.333333333333333</v>
      </c>
      <c r="F100" s="361">
        <f>D100*E100*References!$G$25</f>
        <v>9628.3138561876276</v>
      </c>
      <c r="G100" s="361">
        <f>References!$B$28</f>
        <v>68</v>
      </c>
      <c r="H100" s="361">
        <f t="shared" si="45"/>
        <v>654725.34222075867</v>
      </c>
      <c r="I100" s="371">
        <f t="shared" si="46"/>
        <v>539472.54638023232</v>
      </c>
      <c r="J100" s="372">
        <f>References!$C$56*'Disposal Calc'!I100</f>
        <v>1051.971465441457</v>
      </c>
      <c r="K100" s="372">
        <f>J100/References!$G$59</f>
        <v>1073.5498167582989</v>
      </c>
      <c r="L100" s="372">
        <f>(K100/F100)*E100</f>
        <v>0.48316343603225942</v>
      </c>
      <c r="M100" s="372">
        <f>+'Rate Sheet'!C157</f>
        <v>25.47</v>
      </c>
      <c r="N100" s="372">
        <f t="shared" si="35"/>
        <v>25.953163436032259</v>
      </c>
      <c r="O100" s="372">
        <f t="shared" si="59"/>
        <v>56592.266288561281</v>
      </c>
      <c r="P100" s="372">
        <f t="shared" si="60"/>
        <v>57665.81610531958</v>
      </c>
      <c r="Q100" s="372">
        <f t="shared" si="47"/>
        <v>1073.5498167582991</v>
      </c>
      <c r="R100" s="373">
        <f t="shared" si="48"/>
        <v>0</v>
      </c>
      <c r="S100" s="109"/>
      <c r="T100" s="146"/>
      <c r="U100" s="109"/>
      <c r="W100" s="366"/>
    </row>
    <row r="101" spans="1:23" s="51" customFormat="1">
      <c r="A101" s="390"/>
      <c r="B101" s="368">
        <v>34</v>
      </c>
      <c r="C101" s="360" t="str">
        <f>'2180 (Reg.) - Price Out '!B134</f>
        <v>95 GL EOW NO RECY COMM 1</v>
      </c>
      <c r="D101" s="369">
        <f>'2180 (Reg.) - Price Out '!I134</f>
        <v>3.7541867566698812</v>
      </c>
      <c r="E101" s="370">
        <f>References!$B$12</f>
        <v>2.1666666666666665</v>
      </c>
      <c r="F101" s="361">
        <f>D101*E101*References!$G$25</f>
        <v>97.608855673416912</v>
      </c>
      <c r="G101" s="361">
        <f>References!$B$28</f>
        <v>68</v>
      </c>
      <c r="H101" s="361">
        <f t="shared" si="45"/>
        <v>6637.4021857923499</v>
      </c>
      <c r="I101" s="371">
        <f t="shared" si="46"/>
        <v>5469.0051348459774</v>
      </c>
      <c r="J101" s="372">
        <f>References!$C$56*'Disposal Calc'!I101</f>
        <v>10.664560012949696</v>
      </c>
      <c r="K101" s="372">
        <f>J101/References!$G$59</f>
        <v>10.883314637156543</v>
      </c>
      <c r="L101" s="372">
        <f t="shared" si="52"/>
        <v>0.11149925446898296</v>
      </c>
      <c r="M101" s="372">
        <f>'Rate Sheet'!$C$156</f>
        <v>8.2899999999999991</v>
      </c>
      <c r="N101" s="372">
        <f t="shared" si="35"/>
        <v>8.4014992544689822</v>
      </c>
      <c r="O101" s="372">
        <f t="shared" si="57"/>
        <v>809.17741353262613</v>
      </c>
      <c r="P101" s="372">
        <f t="shared" si="58"/>
        <v>820.06072816978269</v>
      </c>
      <c r="Q101" s="372">
        <f t="shared" si="47"/>
        <v>10.883314637156559</v>
      </c>
      <c r="R101" s="373">
        <f t="shared" si="48"/>
        <v>1.5987211554602254E-14</v>
      </c>
      <c r="S101" s="109"/>
      <c r="T101" s="376"/>
      <c r="U101" s="109"/>
      <c r="W101" s="366"/>
    </row>
    <row r="102" spans="1:23" s="51" customFormat="1">
      <c r="A102" s="390"/>
      <c r="B102" s="368">
        <v>34</v>
      </c>
      <c r="C102" s="360" t="str">
        <f>'2180 (Reg.) - Price Out '!B135</f>
        <v>95 GL EOW W/RECY COMM 1</v>
      </c>
      <c r="D102" s="369">
        <f>'2180 (Reg.) - Price Out '!I135</f>
        <v>14.145853423336547</v>
      </c>
      <c r="E102" s="370">
        <f>References!$B$12</f>
        <v>2.1666666666666665</v>
      </c>
      <c r="F102" s="361">
        <f>D102*E102*References!$G$25</f>
        <v>367.79218900675016</v>
      </c>
      <c r="G102" s="361">
        <f>References!$B$28</f>
        <v>68</v>
      </c>
      <c r="H102" s="361">
        <f t="shared" si="45"/>
        <v>25009.868852459011</v>
      </c>
      <c r="I102" s="371">
        <f t="shared" si="46"/>
        <v>20607.324574771807</v>
      </c>
      <c r="J102" s="372">
        <f>References!$C$56*'Disposal Calc'!I102</f>
        <v>40.184282920805174</v>
      </c>
      <c r="K102" s="372">
        <f>J102/References!$G$59</f>
        <v>41.008554873767906</v>
      </c>
      <c r="L102" s="372">
        <f t="shared" si="52"/>
        <v>0.11149925446898294</v>
      </c>
      <c r="M102" s="372">
        <f>'Rate Sheet'!$C$156</f>
        <v>8.2899999999999991</v>
      </c>
      <c r="N102" s="372">
        <f t="shared" si="35"/>
        <v>8.4014992544689822</v>
      </c>
      <c r="O102" s="372">
        <f t="shared" si="57"/>
        <v>3048.9972468659585</v>
      </c>
      <c r="P102" s="372">
        <f t="shared" si="58"/>
        <v>3090.0058017397264</v>
      </c>
      <c r="Q102" s="372">
        <f t="shared" si="47"/>
        <v>41.008554873767935</v>
      </c>
      <c r="R102" s="373">
        <f t="shared" si="48"/>
        <v>0</v>
      </c>
      <c r="S102" s="109"/>
      <c r="T102" s="146"/>
      <c r="U102" s="109"/>
      <c r="W102" s="366"/>
    </row>
    <row r="103" spans="1:23" s="51" customFormat="1">
      <c r="A103" s="390"/>
      <c r="B103" s="52">
        <v>34</v>
      </c>
      <c r="C103" s="53" t="str">
        <f>'2180 (Reg.) - Price Out '!B136</f>
        <v>CAN COUNT 65 GL - COMM</v>
      </c>
      <c r="D103" s="161">
        <f>'2180 (Reg.) - Price Out '!I136</f>
        <v>313.75673400673395</v>
      </c>
      <c r="E103" s="54">
        <f>References!$B$13</f>
        <v>1</v>
      </c>
      <c r="F103" s="55">
        <f>D103*E103*References!$G$25</f>
        <v>3765.0808080808074</v>
      </c>
      <c r="G103" s="59">
        <f>G94</f>
        <v>47</v>
      </c>
      <c r="H103" s="59">
        <f t="shared" si="45"/>
        <v>176958.79797979794</v>
      </c>
      <c r="I103" s="56">
        <f t="shared" si="46"/>
        <v>145808.33701463515</v>
      </c>
      <c r="J103" s="57">
        <f>References!$C$56*'Disposal Calc'!I103</f>
        <v>284.32625717853961</v>
      </c>
      <c r="K103" s="57">
        <f>J103/References!$G$59</f>
        <v>290.1584418599241</v>
      </c>
      <c r="L103" s="57">
        <f>(K103/F103)</f>
        <v>7.7065661177091155E-2</v>
      </c>
      <c r="M103" s="57">
        <f>'Rate Sheet'!C153</f>
        <v>6.52</v>
      </c>
      <c r="N103" s="57">
        <f t="shared" si="35"/>
        <v>6.5970656611770906</v>
      </c>
      <c r="O103" s="57">
        <f t="shared" ref="O103:O114" si="61">F103*M103</f>
        <v>24548.326868686861</v>
      </c>
      <c r="P103" s="57">
        <f>F103*N103</f>
        <v>24838.485310546785</v>
      </c>
      <c r="Q103" s="57">
        <f t="shared" si="47"/>
        <v>290.15844185992319</v>
      </c>
      <c r="R103" s="109">
        <f t="shared" si="48"/>
        <v>-9.0949470177292824E-13</v>
      </c>
      <c r="S103" s="109"/>
      <c r="T103" s="146"/>
      <c r="U103" s="109"/>
    </row>
    <row r="104" spans="1:23" s="51" customFormat="1">
      <c r="A104" s="390"/>
      <c r="B104" s="52">
        <v>34</v>
      </c>
      <c r="C104" s="53" t="str">
        <f>'2180 (Reg.) - Price Out '!B137</f>
        <v>CAN COUNT 95 GL - COMM</v>
      </c>
      <c r="D104" s="161">
        <f>'2180 (Reg.) - Price Out '!I137</f>
        <v>666.5964079869342</v>
      </c>
      <c r="E104" s="54">
        <f>References!$B$13</f>
        <v>1</v>
      </c>
      <c r="F104" s="55">
        <f>D104*E104*References!$G$25</f>
        <v>7999.1568958432108</v>
      </c>
      <c r="G104" s="59">
        <f>References!$B$28</f>
        <v>68</v>
      </c>
      <c r="H104" s="59">
        <f t="shared" si="45"/>
        <v>543942.66891733836</v>
      </c>
      <c r="I104" s="56">
        <f t="shared" si="46"/>
        <v>448191.19982490933</v>
      </c>
      <c r="J104" s="57">
        <f>References!$C$56*'Disposal Calc'!I104</f>
        <v>873.9728396585765</v>
      </c>
      <c r="K104" s="57">
        <f>J104/References!$G$59</f>
        <v>891.90003026694205</v>
      </c>
      <c r="L104" s="57">
        <f t="shared" ref="L104:L105" si="62">(K104/F104)</f>
        <v>0.11149925446898297</v>
      </c>
      <c r="M104" s="57">
        <f>'Rate Sheet'!C156</f>
        <v>8.2899999999999991</v>
      </c>
      <c r="N104" s="57">
        <f t="shared" si="35"/>
        <v>8.4014992544689822</v>
      </c>
      <c r="O104" s="57">
        <f t="shared" si="61"/>
        <v>66313.010666540213</v>
      </c>
      <c r="P104" s="57">
        <f t="shared" ref="P104:P105" si="63">F104*N104</f>
        <v>67204.910696807157</v>
      </c>
      <c r="Q104" s="57">
        <f t="shared" si="47"/>
        <v>891.90003026694467</v>
      </c>
      <c r="R104" s="109">
        <f t="shared" si="48"/>
        <v>2.6147972675971687E-12</v>
      </c>
      <c r="S104" s="109"/>
      <c r="T104" s="146"/>
      <c r="U104" s="109"/>
    </row>
    <row r="105" spans="1:23" s="51" customFormat="1">
      <c r="A105" s="390"/>
      <c r="B105" s="52">
        <v>34</v>
      </c>
      <c r="C105" s="53" t="str">
        <f>'2180 (Reg.) - Price Out '!B138</f>
        <v>CAN COUNT - COMM</v>
      </c>
      <c r="D105" s="161">
        <f>'2180 (Reg.) - Price Out '!I138</f>
        <v>7090.5353306994439</v>
      </c>
      <c r="E105" s="54">
        <f>References!$B$13</f>
        <v>1</v>
      </c>
      <c r="F105" s="55">
        <f>D105*E105*References!$G$25</f>
        <v>85086.423968393327</v>
      </c>
      <c r="G105" s="55">
        <f>References!$B$33</f>
        <v>29</v>
      </c>
      <c r="H105" s="59">
        <f t="shared" si="45"/>
        <v>2467506.2950834064</v>
      </c>
      <c r="I105" s="56">
        <f t="shared" si="46"/>
        <v>2033145.5319917398</v>
      </c>
      <c r="J105" s="57">
        <f>References!$C$56*'Disposal Calc'!I105</f>
        <v>3964.6337873839075</v>
      </c>
      <c r="K105" s="57">
        <f>J105/References!$G$59</f>
        <v>4045.9575338135601</v>
      </c>
      <c r="L105" s="57">
        <f t="shared" si="62"/>
        <v>4.7551152641183911E-2</v>
      </c>
      <c r="M105" s="57">
        <f>'Rate Sheet'!C144</f>
        <v>3.21</v>
      </c>
      <c r="N105" s="111">
        <f t="shared" si="35"/>
        <v>3.257551152641184</v>
      </c>
      <c r="O105" s="57">
        <f t="shared" si="61"/>
        <v>273127.42093854258</v>
      </c>
      <c r="P105" s="57">
        <f t="shared" si="63"/>
        <v>277173.37847235613</v>
      </c>
      <c r="Q105" s="57">
        <f t="shared" si="47"/>
        <v>4045.9575338135473</v>
      </c>
      <c r="R105" s="109">
        <f t="shared" si="48"/>
        <v>-1.2732925824820995E-11</v>
      </c>
      <c r="S105" s="109"/>
      <c r="T105" s="146"/>
      <c r="U105" s="109"/>
    </row>
    <row r="106" spans="1:23" s="51" customFormat="1">
      <c r="A106" s="390"/>
      <c r="B106" s="52">
        <v>34</v>
      </c>
      <c r="C106" s="53" t="str">
        <f>'2180 (Reg.) - Price Out '!B139</f>
        <v>DISTRIBUTED 4 CANS - COMM</v>
      </c>
      <c r="D106" s="161">
        <f>'2180 (Reg.) - Price Out '!I139</f>
        <v>3.9991321750167788</v>
      </c>
      <c r="E106" s="54">
        <f>References!$B$11</f>
        <v>4.333333333333333</v>
      </c>
      <c r="F106" s="55">
        <f>D106*E106*References!$G$25</f>
        <v>207.95487310087248</v>
      </c>
      <c r="G106" s="55">
        <f>References!$E$33</f>
        <v>116</v>
      </c>
      <c r="H106" s="55">
        <f t="shared" si="45"/>
        <v>24122.765279701209</v>
      </c>
      <c r="I106" s="56">
        <f t="shared" si="46"/>
        <v>19876.3798679801</v>
      </c>
      <c r="J106" s="57">
        <f>References!$C$56*'Disposal Calc'!I106</f>
        <v>38.758940742561343</v>
      </c>
      <c r="K106" s="57">
        <f>J106/References!$G$59</f>
        <v>39.55397565319047</v>
      </c>
      <c r="L106" s="57">
        <f>(K106/F106*E106)</f>
        <v>0.82421997911385436</v>
      </c>
      <c r="M106" s="57">
        <f>'Rate Sheet'!$C$146*References!$B$11*4</f>
        <v>55.639999999999993</v>
      </c>
      <c r="N106" s="57">
        <f t="shared" si="35"/>
        <v>56.464219979113849</v>
      </c>
      <c r="O106" s="57">
        <f>D106*M106*12</f>
        <v>2670.1405706152023</v>
      </c>
      <c r="P106" s="57">
        <f>D106*N106*12</f>
        <v>2709.694546268393</v>
      </c>
      <c r="Q106" s="57">
        <f t="shared" si="47"/>
        <v>39.553975653190719</v>
      </c>
      <c r="R106" s="109">
        <f t="shared" si="48"/>
        <v>2.4868995751603507E-13</v>
      </c>
      <c r="S106" s="109"/>
      <c r="T106" s="146"/>
      <c r="U106" s="109"/>
    </row>
    <row r="107" spans="1:23" s="51" customFormat="1">
      <c r="A107" s="390"/>
      <c r="B107" s="52">
        <v>34</v>
      </c>
      <c r="C107" s="53" t="str">
        <f>'2180 (Reg.) - Price Out '!B140</f>
        <v>DISTRIBUTED 5 CANS - COMM</v>
      </c>
      <c r="D107" s="161">
        <f>'2180 (Reg.) - Price Out '!I140</f>
        <v>1.9995660875083896</v>
      </c>
      <c r="E107" s="54">
        <f>References!$B$11</f>
        <v>4.333333333333333</v>
      </c>
      <c r="F107" s="55">
        <f>D107*E107*References!$G$25</f>
        <v>103.97743655043624</v>
      </c>
      <c r="G107" s="55">
        <f>References!$F$33</f>
        <v>145</v>
      </c>
      <c r="H107" s="55">
        <f t="shared" si="45"/>
        <v>15076.728299813254</v>
      </c>
      <c r="I107" s="56">
        <f t="shared" si="46"/>
        <v>12422.73741748756</v>
      </c>
      <c r="J107" s="57">
        <f>References!$C$56*'Disposal Calc'!I107</f>
        <v>24.224337964100833</v>
      </c>
      <c r="K107" s="57">
        <f>J107/References!$G$59</f>
        <v>24.721234783244039</v>
      </c>
      <c r="L107" s="57">
        <f>(K107/F107*E107)</f>
        <v>1.0302749738923178</v>
      </c>
      <c r="M107" s="57">
        <f>'Rate Sheet'!$C$146*References!$B$11*5</f>
        <v>69.55</v>
      </c>
      <c r="N107" s="57">
        <f t="shared" si="35"/>
        <v>70.580274973892315</v>
      </c>
      <c r="O107" s="57">
        <f>D107*M107*12</f>
        <v>1668.837856634502</v>
      </c>
      <c r="P107" s="57">
        <f>D107*N107*12</f>
        <v>1693.5590914177458</v>
      </c>
      <c r="Q107" s="57">
        <f t="shared" si="47"/>
        <v>24.721234783243744</v>
      </c>
      <c r="R107" s="109">
        <f t="shared" si="48"/>
        <v>-2.9487523534044158E-13</v>
      </c>
      <c r="S107" s="109"/>
      <c r="T107" s="146"/>
      <c r="U107" s="109"/>
    </row>
    <row r="108" spans="1:23" s="51" customFormat="1">
      <c r="A108" s="390"/>
      <c r="B108" s="52">
        <v>34</v>
      </c>
      <c r="C108" s="53" t="str">
        <f>'2180 (Reg.) - Price Out '!B141</f>
        <v>ADDITIONAL 32 GL COMM</v>
      </c>
      <c r="D108" s="161">
        <f>'2180 (Reg.) - Price Out '!I141</f>
        <v>8</v>
      </c>
      <c r="E108" s="54">
        <f>References!$B$13</f>
        <v>1</v>
      </c>
      <c r="F108" s="55">
        <f>D108*E108*References!$G$25</f>
        <v>96</v>
      </c>
      <c r="G108" s="55">
        <f>References!$B$33</f>
        <v>29</v>
      </c>
      <c r="H108" s="55">
        <f t="shared" si="45"/>
        <v>2784</v>
      </c>
      <c r="I108" s="56">
        <f t="shared" si="46"/>
        <v>2293.9261279062612</v>
      </c>
      <c r="J108" s="57">
        <f>References!$C$56*'Disposal Calc'!I108</f>
        <v>4.4731559494172259</v>
      </c>
      <c r="K108" s="57">
        <f>J108/References!$G$59</f>
        <v>4.5649106535536541</v>
      </c>
      <c r="L108" s="57">
        <f t="shared" ref="L108:L109" si="64">(K108/F108)</f>
        <v>4.7551152641183897E-2</v>
      </c>
      <c r="M108" s="57">
        <f>'Rate Sheet'!C150</f>
        <v>12.2</v>
      </c>
      <c r="N108" s="57">
        <f t="shared" si="35"/>
        <v>12.247551152641183</v>
      </c>
      <c r="O108" s="57">
        <f t="shared" si="61"/>
        <v>1171.1999999999998</v>
      </c>
      <c r="P108" s="57">
        <f>D108*N108*12</f>
        <v>1175.7649106535537</v>
      </c>
      <c r="Q108" s="57">
        <f t="shared" si="47"/>
        <v>4.5649106535538522</v>
      </c>
      <c r="R108" s="109">
        <f t="shared" si="48"/>
        <v>1.9806378759312793E-13</v>
      </c>
      <c r="S108" s="109"/>
      <c r="T108" s="146"/>
      <c r="U108" s="109"/>
    </row>
    <row r="109" spans="1:23" s="51" customFormat="1">
      <c r="A109" s="390"/>
      <c r="B109" s="52">
        <v>34</v>
      </c>
      <c r="C109" s="53" t="str">
        <f>'2180 (Reg.) - Price Out '!B142</f>
        <v>BULKY ITEM PICK UP - COMM</v>
      </c>
      <c r="D109" s="161">
        <f>'2180 (Reg.) - Price Out '!I142</f>
        <v>0.58333333333333337</v>
      </c>
      <c r="E109" s="54">
        <f>References!$B$13</f>
        <v>1</v>
      </c>
      <c r="F109" s="55">
        <f>D109*E109*References!$G$25</f>
        <v>7</v>
      </c>
      <c r="G109" s="55">
        <f>References!B49</f>
        <v>125</v>
      </c>
      <c r="H109" s="55">
        <f t="shared" si="45"/>
        <v>875</v>
      </c>
      <c r="I109" s="56">
        <f t="shared" si="46"/>
        <v>720.97175356249238</v>
      </c>
      <c r="J109" s="57">
        <f>References!$C$56*'Disposal Calc'!I109</f>
        <v>1.4058949194468653</v>
      </c>
      <c r="K109" s="57">
        <f>J109/References!$G$59</f>
        <v>1.4347330538288248</v>
      </c>
      <c r="L109" s="57">
        <f t="shared" si="64"/>
        <v>0.20496186483268924</v>
      </c>
      <c r="M109" s="57">
        <f>'Rate Sheet'!C151</f>
        <v>4.18</v>
      </c>
      <c r="N109" s="57">
        <f t="shared" si="35"/>
        <v>4.3849618648326887</v>
      </c>
      <c r="O109" s="57">
        <f t="shared" si="61"/>
        <v>29.259999999999998</v>
      </c>
      <c r="P109" s="57">
        <f>F109*N109</f>
        <v>30.69473305382882</v>
      </c>
      <c r="Q109" s="57">
        <f t="shared" si="47"/>
        <v>1.4347330538288219</v>
      </c>
      <c r="R109" s="109">
        <f t="shared" si="48"/>
        <v>-2.886579864025407E-15</v>
      </c>
      <c r="S109" s="109"/>
      <c r="T109" s="146"/>
      <c r="U109" s="109"/>
    </row>
    <row r="110" spans="1:23" s="51" customFormat="1">
      <c r="A110" s="390"/>
      <c r="B110" s="52">
        <v>34</v>
      </c>
      <c r="C110" s="53" t="str">
        <f>'2180 (Reg.) - Price Out '!B144</f>
        <v>EXTRA CAN, BAG, BOX - COM</v>
      </c>
      <c r="D110" s="161">
        <f>'2180 (Reg.) - Price Out '!I144</f>
        <v>490.7645863022326</v>
      </c>
      <c r="E110" s="54">
        <f>References!$B$13</f>
        <v>1</v>
      </c>
      <c r="F110" s="55">
        <f>D110*E110*References!$G$25</f>
        <v>5889.1750356267912</v>
      </c>
      <c r="G110" s="55">
        <f>References!$B$33</f>
        <v>29</v>
      </c>
      <c r="H110" s="55">
        <f t="shared" si="45"/>
        <v>170786.07603317694</v>
      </c>
      <c r="I110" s="56">
        <f t="shared" si="46"/>
        <v>140722.21339622483</v>
      </c>
      <c r="J110" s="57">
        <f>References!$C$56*'Disposal Calc'!I110</f>
        <v>274.40831612263946</v>
      </c>
      <c r="K110" s="57">
        <f>J110/References!$G$59</f>
        <v>280.03706104973924</v>
      </c>
      <c r="L110" s="57">
        <f>(K110/F110)</f>
        <v>4.7551152641183911E-2</v>
      </c>
      <c r="M110" s="57">
        <f>'Rate Sheet'!C144</f>
        <v>3.21</v>
      </c>
      <c r="N110" s="57">
        <f t="shared" ref="N110:N122" si="65">L110+M110</f>
        <v>3.257551152641184</v>
      </c>
      <c r="O110" s="57">
        <f t="shared" si="61"/>
        <v>18904.251864361999</v>
      </c>
      <c r="P110" s="57">
        <f t="shared" ref="P110" si="66">F110*N110</f>
        <v>19184.28892541174</v>
      </c>
      <c r="Q110" s="57">
        <f t="shared" si="47"/>
        <v>280.03706104974117</v>
      </c>
      <c r="R110" s="109">
        <f t="shared" ref="R110" si="67">Q110-K110</f>
        <v>1.9326762412674725E-12</v>
      </c>
      <c r="S110" s="109"/>
      <c r="T110" s="146"/>
      <c r="U110" s="109"/>
    </row>
    <row r="111" spans="1:23" s="51" customFormat="1">
      <c r="A111" s="390"/>
      <c r="B111" s="52">
        <v>26</v>
      </c>
      <c r="C111" s="53" t="str">
        <f>'2180 (Reg.) - Price Out '!B146</f>
        <v>EXTRA YARDAGE - COMM</v>
      </c>
      <c r="D111" s="161">
        <f>'2180 (Reg.) - Price Out '!I146</f>
        <v>29.899371345744829</v>
      </c>
      <c r="E111" s="54">
        <f>References!$B$13</f>
        <v>1</v>
      </c>
      <c r="F111" s="55">
        <f>D111*E111*References!$G$25</f>
        <v>358.79245614893796</v>
      </c>
      <c r="G111" s="55">
        <f>References!B49</f>
        <v>125</v>
      </c>
      <c r="H111" s="55">
        <f t="shared" si="45"/>
        <v>44849.057018617248</v>
      </c>
      <c r="I111" s="56">
        <f t="shared" si="46"/>
        <v>36954.175182099068</v>
      </c>
      <c r="J111" s="57">
        <f>References!$C$56*'Disposal Calc'!I111</f>
        <v>72.060641605093451</v>
      </c>
      <c r="K111" s="57">
        <f>J111/References!$G$59</f>
        <v>73.538770900187217</v>
      </c>
      <c r="L111" s="57">
        <f t="shared" ref="L111:L114" si="68">(K111/F111)</f>
        <v>0.20496186483268927</v>
      </c>
      <c r="M111" s="57">
        <f>'Rate Sheet'!C98</f>
        <v>31.47</v>
      </c>
      <c r="N111" s="57">
        <f t="shared" si="65"/>
        <v>31.674961864832689</v>
      </c>
      <c r="O111" s="57">
        <f t="shared" si="61"/>
        <v>11291.198595007078</v>
      </c>
      <c r="P111" s="57">
        <f>F111*N111</f>
        <v>11364.737365907264</v>
      </c>
      <c r="Q111" s="57">
        <f t="shared" si="47"/>
        <v>73.538770900186137</v>
      </c>
      <c r="R111" s="109">
        <f t="shared" ref="R111:R114" si="69">Q111-K111</f>
        <v>-1.0800249583553523E-12</v>
      </c>
      <c r="S111" s="109"/>
      <c r="T111" s="146"/>
      <c r="U111" s="109"/>
    </row>
    <row r="112" spans="1:23" s="51" customFormat="1">
      <c r="A112" s="390"/>
      <c r="B112" s="52">
        <v>22</v>
      </c>
      <c r="C112" s="53" t="str">
        <f>'2180 (Reg.) - Price Out '!B147</f>
        <v>ON CALL SERVICE - COMM</v>
      </c>
      <c r="D112" s="161">
        <f>'2180 (Reg.) - Price Out '!I147</f>
        <v>1.9632816982214571</v>
      </c>
      <c r="E112" s="54">
        <f>References!$B$13</f>
        <v>1</v>
      </c>
      <c r="F112" s="55">
        <f>D112*E112*References!$G$25</f>
        <v>23.559380378657487</v>
      </c>
      <c r="G112" s="55">
        <f>References!$B$33</f>
        <v>29</v>
      </c>
      <c r="H112" s="55">
        <f t="shared" si="45"/>
        <v>683.22203098106706</v>
      </c>
      <c r="I112" s="56">
        <f t="shared" si="46"/>
        <v>562.95289799879697</v>
      </c>
      <c r="J112" s="57">
        <f>References!$C$56*'Disposal Calc'!I112</f>
        <v>1.0977581510976582</v>
      </c>
      <c r="K112" s="57">
        <f>J112/References!$G$59</f>
        <v>1.120275692517255</v>
      </c>
      <c r="L112" s="57">
        <f t="shared" si="68"/>
        <v>4.7551152641183897E-2</v>
      </c>
      <c r="M112" s="57">
        <f>'Rate Sheet'!C51</f>
        <v>7.73</v>
      </c>
      <c r="N112" s="57">
        <f>L112+M112</f>
        <v>7.777551152641184</v>
      </c>
      <c r="O112" s="57">
        <f t="shared" si="61"/>
        <v>182.11401032702238</v>
      </c>
      <c r="P112" s="57">
        <f t="shared" ref="P112:P114" si="70">F112*N112</f>
        <v>183.23428601953964</v>
      </c>
      <c r="Q112" s="57">
        <f t="shared" si="47"/>
        <v>1.1202756925172537</v>
      </c>
      <c r="R112" s="109">
        <f t="shared" si="69"/>
        <v>0</v>
      </c>
      <c r="S112" s="109"/>
      <c r="T112" s="146"/>
      <c r="U112" s="109"/>
    </row>
    <row r="113" spans="1:21" s="51" customFormat="1">
      <c r="A113" s="390"/>
      <c r="B113" s="52">
        <v>16</v>
      </c>
      <c r="C113" s="53" t="str">
        <f>'2180 (Reg.) - Price Out '!B148</f>
        <v>OVERFILL / OVERWEIGHT CAN</v>
      </c>
      <c r="D113" s="161">
        <f>'2180 (Reg.) - Price Out '!I148</f>
        <v>0.41666666666666669</v>
      </c>
      <c r="E113" s="54">
        <f>References!$B$13</f>
        <v>1</v>
      </c>
      <c r="F113" s="55">
        <f>D113*E113*References!$G$25</f>
        <v>5</v>
      </c>
      <c r="G113" s="55">
        <f>References!$B$33</f>
        <v>29</v>
      </c>
      <c r="H113" s="55">
        <f t="shared" si="45"/>
        <v>145</v>
      </c>
      <c r="I113" s="56">
        <f t="shared" si="46"/>
        <v>119.47531916178444</v>
      </c>
      <c r="J113" s="57">
        <f>References!$C$56*'Disposal Calc'!I113</f>
        <v>0.23297687236548054</v>
      </c>
      <c r="K113" s="57">
        <f>J113/References!$G$59</f>
        <v>0.23775576320591951</v>
      </c>
      <c r="L113" s="57">
        <f t="shared" si="68"/>
        <v>4.7551152641183904E-2</v>
      </c>
      <c r="M113" s="57">
        <f>'Rate Sheet'!C8</f>
        <v>7.55</v>
      </c>
      <c r="N113" s="57">
        <f t="shared" si="65"/>
        <v>7.5975511526411834</v>
      </c>
      <c r="O113" s="57">
        <f t="shared" si="61"/>
        <v>37.75</v>
      </c>
      <c r="P113" s="57">
        <f t="shared" si="70"/>
        <v>37.987755763205918</v>
      </c>
      <c r="Q113" s="57">
        <f t="shared" si="47"/>
        <v>0.23775576320591796</v>
      </c>
      <c r="R113" s="109">
        <f t="shared" si="69"/>
        <v>-1.5543122344752192E-15</v>
      </c>
      <c r="S113" s="109"/>
      <c r="T113" s="146"/>
      <c r="U113" s="109"/>
    </row>
    <row r="114" spans="1:21" s="51" customFormat="1">
      <c r="A114" s="390"/>
      <c r="B114" s="52">
        <v>16</v>
      </c>
      <c r="C114" s="53" t="str">
        <f>'2180 (Reg.) - Price Out '!B149</f>
        <v>OVERSIZE CAN - COMM</v>
      </c>
      <c r="D114" s="161">
        <f>'2180 (Reg.) - Price Out '!I149</f>
        <v>0.41666666666666669</v>
      </c>
      <c r="E114" s="54">
        <f>References!$B$13</f>
        <v>1</v>
      </c>
      <c r="F114" s="55">
        <f>D114*E114*References!$G$25</f>
        <v>5</v>
      </c>
      <c r="G114" s="55">
        <f>References!$B$33</f>
        <v>29</v>
      </c>
      <c r="H114" s="55">
        <f t="shared" si="45"/>
        <v>145</v>
      </c>
      <c r="I114" s="56">
        <f t="shared" si="46"/>
        <v>119.47531916178444</v>
      </c>
      <c r="J114" s="57">
        <f>References!$C$56*'Disposal Calc'!I114</f>
        <v>0.23297687236548054</v>
      </c>
      <c r="K114" s="57">
        <f>J114/References!$G$59</f>
        <v>0.23775576320591951</v>
      </c>
      <c r="L114" s="57">
        <f t="shared" si="68"/>
        <v>4.7551152641183904E-2</v>
      </c>
      <c r="M114" s="57">
        <f>M113</f>
        <v>7.55</v>
      </c>
      <c r="N114" s="57">
        <f t="shared" si="65"/>
        <v>7.5975511526411834</v>
      </c>
      <c r="O114" s="57">
        <f t="shared" si="61"/>
        <v>37.75</v>
      </c>
      <c r="P114" s="57">
        <f t="shared" si="70"/>
        <v>37.987755763205918</v>
      </c>
      <c r="Q114" s="57">
        <f t="shared" si="47"/>
        <v>0.23775576320591796</v>
      </c>
      <c r="R114" s="109">
        <f t="shared" si="69"/>
        <v>-1.5543122344752192E-15</v>
      </c>
      <c r="S114" s="109"/>
      <c r="T114" s="146"/>
      <c r="U114" s="109"/>
    </row>
    <row r="115" spans="1:21" s="51" customFormat="1">
      <c r="A115" s="390"/>
      <c r="B115" s="52">
        <v>33</v>
      </c>
      <c r="C115" s="53" t="str">
        <f>'2180 (Reg.) - Price Out '!B182</f>
        <v>SPECIAL PICK UP 1.5 YD -</v>
      </c>
      <c r="D115" s="161">
        <f>'2180 (Reg.) - Price Out '!I182</f>
        <v>1.5833333333333333</v>
      </c>
      <c r="E115" s="54">
        <f>References!$B$13</f>
        <v>1</v>
      </c>
      <c r="F115" s="55">
        <f>D115*E115*References!$G$25</f>
        <v>19</v>
      </c>
      <c r="G115" s="59">
        <f>References!B35</f>
        <v>250</v>
      </c>
      <c r="H115" s="59">
        <f t="shared" ref="H115:H122" si="71">F115*G115</f>
        <v>4750</v>
      </c>
      <c r="I115" s="56">
        <f t="shared" si="46"/>
        <v>3913.8466621963871</v>
      </c>
      <c r="J115" s="57">
        <f>References!$C$56*'Disposal Calc'!I115</f>
        <v>7.6320009912829834</v>
      </c>
      <c r="K115" s="57">
        <f>J115/References!$G$59</f>
        <v>7.7885508636421914</v>
      </c>
      <c r="L115" s="57">
        <f t="shared" ref="L115:L122" si="72">(K115/F115)</f>
        <v>0.40992372966537849</v>
      </c>
      <c r="M115" s="57">
        <f>'Rate Sheet'!C129</f>
        <v>69.95</v>
      </c>
      <c r="N115" s="57">
        <f>L115+M115</f>
        <v>70.359923729665383</v>
      </c>
      <c r="O115" s="57">
        <f t="shared" ref="O115:O122" si="73">F115*M115</f>
        <v>1329.05</v>
      </c>
      <c r="P115" s="57">
        <f t="shared" ref="P115:P122" si="74">F115*N115</f>
        <v>1336.8385508636422</v>
      </c>
      <c r="Q115" s="57">
        <f t="shared" ref="Q115:Q122" si="75">P115-O115</f>
        <v>7.7885508636422855</v>
      </c>
      <c r="R115" s="109">
        <f t="shared" ref="R115:R122" si="76">Q115-K115</f>
        <v>9.4146912488213275E-14</v>
      </c>
      <c r="S115" s="109"/>
      <c r="T115" s="146"/>
    </row>
    <row r="116" spans="1:21" s="51" customFormat="1">
      <c r="A116" s="390"/>
      <c r="B116" s="52">
        <v>33</v>
      </c>
      <c r="C116" s="53" t="str">
        <f>'2180 (Reg.) - Price Out '!B183</f>
        <v>SPECIAL PICK UP 1 YD - CO</v>
      </c>
      <c r="D116" s="161">
        <f>'2180 (Reg.) - Price Out '!I183</f>
        <v>4.5839266076286398</v>
      </c>
      <c r="E116" s="54">
        <f>References!$B$13</f>
        <v>1</v>
      </c>
      <c r="F116" s="55">
        <f>D116*E116*References!$G$25</f>
        <v>55.007119291543674</v>
      </c>
      <c r="G116" s="59">
        <f>References!B34</f>
        <v>175</v>
      </c>
      <c r="H116" s="59">
        <f t="shared" si="71"/>
        <v>9626.2458760201425</v>
      </c>
      <c r="I116" s="56">
        <f t="shared" si="46"/>
        <v>7931.7158508090888</v>
      </c>
      <c r="J116" s="57">
        <f>References!$C$56*'Disposal Calc'!I116</f>
        <v>15.466845909077781</v>
      </c>
      <c r="K116" s="57">
        <f>J116/References!$G$59</f>
        <v>15.784106448696583</v>
      </c>
      <c r="L116" s="57">
        <f t="shared" si="72"/>
        <v>0.28694661076576494</v>
      </c>
      <c r="M116" s="57">
        <f>'Rate Sheet'!C128</f>
        <v>63.03</v>
      </c>
      <c r="N116" s="57">
        <f t="shared" si="65"/>
        <v>63.316946610765768</v>
      </c>
      <c r="O116" s="57">
        <f t="shared" si="73"/>
        <v>3467.0987289459977</v>
      </c>
      <c r="P116" s="57">
        <f t="shared" si="74"/>
        <v>3482.8828353946947</v>
      </c>
      <c r="Q116" s="57">
        <f t="shared" si="75"/>
        <v>15.784106448697003</v>
      </c>
      <c r="R116" s="109">
        <f t="shared" si="76"/>
        <v>4.1922021409845911E-13</v>
      </c>
      <c r="S116" s="109"/>
      <c r="T116" s="146"/>
    </row>
    <row r="117" spans="1:21" s="51" customFormat="1">
      <c r="A117" s="390"/>
      <c r="B117" s="52">
        <v>33</v>
      </c>
      <c r="C117" s="53" t="str">
        <f>'2180 (Reg.) - Price Out '!B184</f>
        <v>SPECIAL PICK UP 2 YD - CO</v>
      </c>
      <c r="D117" s="161">
        <f>'2180 (Reg.) - Price Out '!I184</f>
        <v>5.5839766708519605</v>
      </c>
      <c r="E117" s="54">
        <f>References!$B$13</f>
        <v>1</v>
      </c>
      <c r="F117" s="55">
        <f>D117*E117*References!$G$25</f>
        <v>67.007720050223526</v>
      </c>
      <c r="G117" s="59">
        <f>References!B36</f>
        <v>324</v>
      </c>
      <c r="H117" s="59">
        <f t="shared" si="71"/>
        <v>21710.501296272421</v>
      </c>
      <c r="I117" s="56">
        <f t="shared" ref="I117:I148" si="77">$D$157*H117</f>
        <v>17888.752217479188</v>
      </c>
      <c r="J117" s="57">
        <f>References!$C$56*'Disposal Calc'!I117</f>
        <v>34.883066824084551</v>
      </c>
      <c r="K117" s="57">
        <f>J117/References!$G$59</f>
        <v>35.598598657092104</v>
      </c>
      <c r="L117" s="57">
        <f t="shared" si="72"/>
        <v>0.53126115364633053</v>
      </c>
      <c r="M117" s="57">
        <f>'Rate Sheet'!C130</f>
        <v>77.930000000000007</v>
      </c>
      <c r="N117" s="57">
        <f t="shared" si="65"/>
        <v>78.461261153646333</v>
      </c>
      <c r="O117" s="57">
        <f t="shared" si="73"/>
        <v>5221.9116235139199</v>
      </c>
      <c r="P117" s="57">
        <f t="shared" si="74"/>
        <v>5257.5102221710113</v>
      </c>
      <c r="Q117" s="57">
        <f t="shared" si="75"/>
        <v>35.598598657091316</v>
      </c>
      <c r="R117" s="109">
        <f t="shared" si="76"/>
        <v>-7.8870243669371121E-13</v>
      </c>
      <c r="S117" s="109"/>
      <c r="T117" s="146"/>
    </row>
    <row r="118" spans="1:21" s="51" customFormat="1">
      <c r="A118" s="390"/>
      <c r="B118" s="52">
        <v>33</v>
      </c>
      <c r="C118" s="53" t="str">
        <f>'2180 (Reg.) - Price Out '!B185</f>
        <v>SPECIAL PICK UP 3 YD - CO</v>
      </c>
      <c r="D118" s="161">
        <f>'2180 (Reg.) - Price Out '!I185</f>
        <v>1.75</v>
      </c>
      <c r="E118" s="54">
        <f>References!$B$13</f>
        <v>1</v>
      </c>
      <c r="F118" s="55">
        <f>D118*E118*References!$G$25</f>
        <v>21</v>
      </c>
      <c r="G118" s="59">
        <f>References!B37</f>
        <v>473</v>
      </c>
      <c r="H118" s="59">
        <f t="shared" si="71"/>
        <v>9933</v>
      </c>
      <c r="I118" s="56">
        <f t="shared" si="77"/>
        <v>8184.4713464414135</v>
      </c>
      <c r="J118" s="57">
        <f>References!$C$56*'Disposal Calc'!I118</f>
        <v>15.959719125560817</v>
      </c>
      <c r="K118" s="57">
        <f>J118/References!$G$59</f>
        <v>16.28708962706482</v>
      </c>
      <c r="L118" s="57">
        <f t="shared" si="72"/>
        <v>0.77557569652689617</v>
      </c>
      <c r="M118" s="57">
        <f>'Rate Sheet'!C131</f>
        <v>89.73</v>
      </c>
      <c r="N118" s="57">
        <f t="shared" si="65"/>
        <v>90.505575696526904</v>
      </c>
      <c r="O118" s="57">
        <f t="shared" si="73"/>
        <v>1884.3300000000002</v>
      </c>
      <c r="P118" s="57">
        <f t="shared" si="74"/>
        <v>1900.6170896270651</v>
      </c>
      <c r="Q118" s="57">
        <f t="shared" si="75"/>
        <v>16.287089627064915</v>
      </c>
      <c r="R118" s="109">
        <f t="shared" si="76"/>
        <v>9.5923269327613525E-14</v>
      </c>
      <c r="S118" s="109"/>
      <c r="T118" s="146"/>
    </row>
    <row r="119" spans="1:21" s="51" customFormat="1">
      <c r="A119" s="390"/>
      <c r="B119" s="52">
        <v>33</v>
      </c>
      <c r="C119" s="53" t="str">
        <f>'2180 (Reg.) - Price Out '!B186</f>
        <v>SPECIAL PICK UP 4 YD - CO</v>
      </c>
      <c r="D119" s="161">
        <f>'2180 (Reg.) - Price Out '!I186</f>
        <v>5.916666666666667</v>
      </c>
      <c r="E119" s="54">
        <f>References!$B$13</f>
        <v>1</v>
      </c>
      <c r="F119" s="55">
        <f>D119*E119*References!$G$25</f>
        <v>71</v>
      </c>
      <c r="G119" s="59">
        <f>References!B38</f>
        <v>613</v>
      </c>
      <c r="H119" s="59">
        <f t="shared" si="71"/>
        <v>43523</v>
      </c>
      <c r="I119" s="56">
        <f t="shared" si="77"/>
        <v>35861.547006057546</v>
      </c>
      <c r="J119" s="57">
        <f>References!$C$56*'Disposal Calc'!I119</f>
        <v>69.930016661812473</v>
      </c>
      <c r="K119" s="57">
        <f>J119/References!$G$59</f>
        <v>71.364441944905067</v>
      </c>
      <c r="L119" s="57">
        <f t="shared" si="72"/>
        <v>1.0051329851395079</v>
      </c>
      <c r="M119" s="57">
        <f>'Rate Sheet'!C132</f>
        <v>103.34</v>
      </c>
      <c r="N119" s="57">
        <f t="shared" si="65"/>
        <v>104.34513298513951</v>
      </c>
      <c r="O119" s="57">
        <f t="shared" si="73"/>
        <v>7337.14</v>
      </c>
      <c r="P119" s="57">
        <f t="shared" si="74"/>
        <v>7408.5044419449059</v>
      </c>
      <c r="Q119" s="57">
        <f t="shared" si="75"/>
        <v>71.364441944905593</v>
      </c>
      <c r="R119" s="109">
        <f t="shared" si="76"/>
        <v>5.2580162446247414E-13</v>
      </c>
      <c r="S119" s="109"/>
      <c r="T119" s="146"/>
    </row>
    <row r="120" spans="1:21" s="51" customFormat="1">
      <c r="A120" s="390"/>
      <c r="B120" s="52">
        <v>33</v>
      </c>
      <c r="C120" s="53" t="str">
        <f>'2180 (Reg.) - Price Out '!B187</f>
        <v>SPECIAL PICK UP 6 YD - CO</v>
      </c>
      <c r="D120" s="161">
        <f>'2180 (Reg.) - Price Out '!I187</f>
        <v>10.305610703080923</v>
      </c>
      <c r="E120" s="54">
        <f>References!$B$13</f>
        <v>1</v>
      </c>
      <c r="F120" s="55">
        <f>D120*E120*References!$G$25</f>
        <v>123.66732843697108</v>
      </c>
      <c r="G120" s="59">
        <f>References!B39</f>
        <v>840</v>
      </c>
      <c r="H120" s="59">
        <f t="shared" si="71"/>
        <v>103880.5558870557</v>
      </c>
      <c r="I120" s="56">
        <f t="shared" si="77"/>
        <v>85594.224615928048</v>
      </c>
      <c r="J120" s="57">
        <f>References!$C$56*'Disposal Calc'!I120</f>
        <v>166.90873800106033</v>
      </c>
      <c r="K120" s="57">
        <f>J120/References!$G$59</f>
        <v>170.33241963573869</v>
      </c>
      <c r="L120" s="57">
        <f t="shared" si="72"/>
        <v>1.377343731675672</v>
      </c>
      <c r="M120" s="57">
        <f>'Rate Sheet'!C133</f>
        <v>122.38</v>
      </c>
      <c r="N120" s="57">
        <f t="shared" si="65"/>
        <v>123.75734373167566</v>
      </c>
      <c r="O120" s="57">
        <f t="shared" si="73"/>
        <v>15134.40765411652</v>
      </c>
      <c r="P120" s="57">
        <f t="shared" si="74"/>
        <v>15304.740073752258</v>
      </c>
      <c r="Q120" s="57">
        <f t="shared" si="75"/>
        <v>170.33241963573892</v>
      </c>
      <c r="R120" s="109">
        <f t="shared" si="76"/>
        <v>2.2737367544323206E-13</v>
      </c>
      <c r="S120" s="109"/>
      <c r="T120" s="146"/>
    </row>
    <row r="121" spans="1:21" s="51" customFormat="1">
      <c r="A121" s="390"/>
      <c r="B121" s="52">
        <v>34</v>
      </c>
      <c r="C121" s="110" t="str">
        <f>'2180 (Reg.) - Price Out '!B188</f>
        <v>SPECIAL 65 GL - COMM</v>
      </c>
      <c r="D121" s="161">
        <f>'2180 (Reg.) - Price Out '!I188</f>
        <v>1.0833333333333333</v>
      </c>
      <c r="E121" s="54">
        <f>References!$B$13</f>
        <v>1</v>
      </c>
      <c r="F121" s="55">
        <f>D121*E121*References!$G$25</f>
        <v>13</v>
      </c>
      <c r="G121" s="55">
        <f>References!$B$27</f>
        <v>47</v>
      </c>
      <c r="H121" s="59">
        <f t="shared" si="71"/>
        <v>611</v>
      </c>
      <c r="I121" s="56">
        <f t="shared" si="77"/>
        <v>503.44427591620894</v>
      </c>
      <c r="J121" s="57">
        <f>References!$C$56*'Disposal Calc'!I121</f>
        <v>0.98171633803661107</v>
      </c>
      <c r="K121" s="57">
        <f>J121/References!$G$59</f>
        <v>1.001853595302185</v>
      </c>
      <c r="L121" s="57">
        <f t="shared" si="72"/>
        <v>7.7065661177091155E-2</v>
      </c>
      <c r="M121" s="364">
        <f>'Rate Sheet'!C153</f>
        <v>6.52</v>
      </c>
      <c r="N121" s="57">
        <f t="shared" si="65"/>
        <v>6.5970656611770906</v>
      </c>
      <c r="O121" s="57">
        <f t="shared" si="73"/>
        <v>84.759999999999991</v>
      </c>
      <c r="P121" s="57">
        <f t="shared" si="74"/>
        <v>85.761853595302171</v>
      </c>
      <c r="Q121" s="57">
        <f t="shared" si="75"/>
        <v>1.0018535953021797</v>
      </c>
      <c r="R121" s="109">
        <f t="shared" si="76"/>
        <v>-5.3290705182007514E-15</v>
      </c>
      <c r="S121" s="109"/>
      <c r="T121" s="146"/>
    </row>
    <row r="122" spans="1:21" s="51" customFormat="1">
      <c r="A122" s="390"/>
      <c r="B122" s="52">
        <v>34</v>
      </c>
      <c r="C122" s="110" t="str">
        <f>'2180 (Reg.) - Price Out '!B189</f>
        <v>SPECIAL 95 GL - COMM</v>
      </c>
      <c r="D122" s="161">
        <f>'2180 (Reg.) - Price Out '!I189</f>
        <v>0.5</v>
      </c>
      <c r="E122" s="54">
        <f>References!$B$13</f>
        <v>1</v>
      </c>
      <c r="F122" s="55">
        <f>D122*E122*References!$G$25</f>
        <v>6</v>
      </c>
      <c r="G122" s="59">
        <f>References!$B$28</f>
        <v>68</v>
      </c>
      <c r="H122" s="59">
        <f t="shared" si="71"/>
        <v>408</v>
      </c>
      <c r="I122" s="56">
        <f t="shared" si="77"/>
        <v>336.17882908971075</v>
      </c>
      <c r="J122" s="57">
        <f>References!$C$56*'Disposal Calc'!I122</f>
        <v>0.65554871672493842</v>
      </c>
      <c r="K122" s="57">
        <f>J122/References!$G$59</f>
        <v>0.66899552681389773</v>
      </c>
      <c r="L122" s="57">
        <f t="shared" si="72"/>
        <v>0.11149925446898296</v>
      </c>
      <c r="M122" s="57">
        <f>'Rate Sheet'!C156</f>
        <v>8.2899999999999991</v>
      </c>
      <c r="N122" s="57">
        <f t="shared" si="65"/>
        <v>8.4014992544689822</v>
      </c>
      <c r="O122" s="57">
        <f t="shared" si="73"/>
        <v>49.739999999999995</v>
      </c>
      <c r="P122" s="57">
        <f t="shared" si="74"/>
        <v>50.408995526813897</v>
      </c>
      <c r="Q122" s="57">
        <f t="shared" si="75"/>
        <v>0.66899552681390162</v>
      </c>
      <c r="R122" s="109">
        <f t="shared" si="76"/>
        <v>3.8857805861880479E-15</v>
      </c>
      <c r="S122" s="109"/>
      <c r="T122" s="146"/>
    </row>
    <row r="123" spans="1:21" s="51" customFormat="1">
      <c r="A123" s="66"/>
      <c r="B123" s="22"/>
      <c r="C123" s="68" t="s">
        <v>627</v>
      </c>
      <c r="D123" s="69">
        <f>SUM(D53:D122)</f>
        <v>12487.32051674958</v>
      </c>
      <c r="E123" s="70"/>
      <c r="F123" s="69">
        <f>SUM(F53:F122)</f>
        <v>316913.34914730937</v>
      </c>
      <c r="G123" s="71"/>
      <c r="H123" s="69">
        <f>SUM(H53:H122)</f>
        <v>65474238.995108075</v>
      </c>
      <c r="I123" s="69">
        <f>SUM(I53:I122)</f>
        <v>53948659.315968871</v>
      </c>
      <c r="J123" s="73"/>
      <c r="K123" s="69">
        <f>SUM(K53:K122)</f>
        <v>107357.77698350827</v>
      </c>
      <c r="L123" s="73"/>
      <c r="M123" s="73"/>
      <c r="N123" s="73"/>
      <c r="O123" s="69">
        <f>SUM(O53:O122)</f>
        <v>7226582.7932635918</v>
      </c>
      <c r="P123" s="69">
        <f>SUM(P53:P122)</f>
        <v>7334236.161291156</v>
      </c>
      <c r="Q123" s="69">
        <f>SUM(Q53:Q122)</f>
        <v>107653.3680275605</v>
      </c>
      <c r="R123" s="365">
        <f>Q123/O123</f>
        <v>1.4896856662032823E-2</v>
      </c>
      <c r="S123" s="149"/>
    </row>
    <row r="124" spans="1:21" ht="14.45" customHeight="1" thickBot="1">
      <c r="A124" s="114"/>
      <c r="C124" s="119" t="s">
        <v>618</v>
      </c>
      <c r="D124" s="151">
        <f>D123+D52</f>
        <v>58493.187413576219</v>
      </c>
      <c r="E124" s="120"/>
      <c r="F124" s="120">
        <f>F123+F52</f>
        <v>2277646.9541558367</v>
      </c>
      <c r="G124" s="120"/>
      <c r="H124" s="120">
        <f>H123+H52</f>
        <v>160443974.07291678</v>
      </c>
      <c r="I124" s="120">
        <f>I123+I52</f>
        <v>132200655.24101242</v>
      </c>
      <c r="J124" s="121"/>
      <c r="K124" s="122">
        <f>K123+K52</f>
        <v>263079.16901722131</v>
      </c>
      <c r="L124" s="123"/>
      <c r="M124" s="123"/>
      <c r="N124" s="123"/>
      <c r="O124" s="120">
        <f>O123+O52</f>
        <v>19489789.753900554</v>
      </c>
      <c r="P124" s="120">
        <f>P123+P52</f>
        <v>19753164.513961837</v>
      </c>
      <c r="Q124" s="120">
        <f>Q123+Q52</f>
        <v>263374.76006127393</v>
      </c>
      <c r="R124" s="76">
        <f>R123+R52</f>
        <v>2.7595116793624461E-2</v>
      </c>
      <c r="S124" s="109"/>
    </row>
    <row r="125" spans="1:21" ht="15.75" thickTop="1">
      <c r="A125" s="115"/>
      <c r="H125" s="161"/>
      <c r="J125" s="78"/>
      <c r="P125" s="148"/>
      <c r="Q125" s="136">
        <f>Q124-K124</f>
        <v>295.59104405262042</v>
      </c>
      <c r="R125" s="147"/>
      <c r="S125" s="51"/>
    </row>
    <row r="126" spans="1:21" ht="24" customHeight="1">
      <c r="A126" s="392" t="s">
        <v>625</v>
      </c>
      <c r="B126" s="116" t="s">
        <v>630</v>
      </c>
      <c r="C126" s="117" t="str">
        <f>'2180 (Reg.) - Price Out '!B206</f>
        <v>65-Gal Wkly</v>
      </c>
      <c r="D126" s="153">
        <f>'2180 (Reg.) - Price Out '!I206</f>
        <v>3376</v>
      </c>
      <c r="E126" s="46">
        <f>References!$B$11</f>
        <v>4.333333333333333</v>
      </c>
      <c r="F126" s="47">
        <f>D126*E126*References!$G$25</f>
        <v>175552</v>
      </c>
      <c r="G126" s="118">
        <f>References!$B$27</f>
        <v>47</v>
      </c>
      <c r="H126" s="118">
        <f t="shared" ref="H126:H128" si="78">F126*G126</f>
        <v>8250944</v>
      </c>
      <c r="I126" s="48">
        <f>$E$157*H126</f>
        <v>6051072.1020515887</v>
      </c>
      <c r="J126" s="49">
        <f>References!$E$56*'Disposal Calc'!I126</f>
        <v>9802.7368053235514</v>
      </c>
      <c r="K126" s="49">
        <f>J126/References!$G$59</f>
        <v>10003.813455784826</v>
      </c>
      <c r="L126" s="49">
        <f>K126/F126*E126</f>
        <v>0.24693457384934897</v>
      </c>
      <c r="M126" s="49">
        <f>'Rate Sheet'!C55</f>
        <v>21.48</v>
      </c>
      <c r="N126" s="49">
        <f t="shared" ref="N126:N128" si="79">L126+M126</f>
        <v>21.726934573849348</v>
      </c>
      <c r="O126" s="49">
        <f>D126*M126*12</f>
        <v>870197.76000000001</v>
      </c>
      <c r="P126" s="57">
        <f>D126*N126*12</f>
        <v>880201.5734557847</v>
      </c>
      <c r="Q126" s="49">
        <f t="shared" ref="Q126:Q128" si="80">P126-O126</f>
        <v>10003.813455784693</v>
      </c>
      <c r="R126" s="109">
        <f t="shared" ref="R126:R130" si="81">Q126-K126</f>
        <v>-1.3278622645884752E-10</v>
      </c>
      <c r="S126" s="109"/>
    </row>
    <row r="127" spans="1:21">
      <c r="A127" s="393"/>
      <c r="B127" s="75" t="s">
        <v>630</v>
      </c>
      <c r="C127" s="43" t="str">
        <f>'2180 (Reg.) - Price Out '!B207</f>
        <v>95-Gal Wkly</v>
      </c>
      <c r="D127" s="152">
        <f>'2180 (Reg.) - Price Out '!I207</f>
        <v>778</v>
      </c>
      <c r="E127" s="54">
        <f>References!$B$11</f>
        <v>4.333333333333333</v>
      </c>
      <c r="F127" s="55">
        <f>D127*E127*References!$G$25</f>
        <v>40456</v>
      </c>
      <c r="G127" s="59">
        <f>References!$B$28</f>
        <v>68</v>
      </c>
      <c r="H127" s="59">
        <f t="shared" si="78"/>
        <v>2751008</v>
      </c>
      <c r="I127" s="56">
        <f>$E$157*H127</f>
        <v>2017532.5103795077</v>
      </c>
      <c r="J127" s="57">
        <f>References!$E$56*'Disposal Calc'!I127</f>
        <v>3268.4026668147953</v>
      </c>
      <c r="K127" s="57">
        <f>J127/References!$G$59</f>
        <v>3335.4451135981176</v>
      </c>
      <c r="L127" s="57">
        <f>K127/F127*E127</f>
        <v>0.35726704301607942</v>
      </c>
      <c r="M127" s="58">
        <f>'Rate Sheet'!C56</f>
        <v>27.99</v>
      </c>
      <c r="N127" s="57">
        <f t="shared" si="79"/>
        <v>28.347267043016078</v>
      </c>
      <c r="O127" s="57">
        <f>D127*M127*12</f>
        <v>261314.63999999996</v>
      </c>
      <c r="P127" s="57">
        <f>D127*N127*12</f>
        <v>264650.08511359815</v>
      </c>
      <c r="Q127" s="57">
        <f t="shared" si="80"/>
        <v>3335.4451135981944</v>
      </c>
      <c r="R127" s="109">
        <f t="shared" si="81"/>
        <v>7.6852302299812436E-11</v>
      </c>
      <c r="S127" s="109"/>
    </row>
    <row r="128" spans="1:21">
      <c r="A128" s="393"/>
      <c r="B128" s="75" t="s">
        <v>631</v>
      </c>
      <c r="C128" s="43" t="str">
        <f>'2180 (Reg.) - Price Out '!B208</f>
        <v>Extra Units</v>
      </c>
      <c r="D128" s="152">
        <f>'2180 (Reg.) - Price Out '!I208</f>
        <v>2.5</v>
      </c>
      <c r="E128" s="54">
        <f>References!$B$13</f>
        <v>1</v>
      </c>
      <c r="F128" s="55">
        <f>'2180 (Reg.) - Price Out '!H208</f>
        <v>30</v>
      </c>
      <c r="G128" s="59">
        <f>References!$B$27</f>
        <v>47</v>
      </c>
      <c r="H128" s="59">
        <f t="shared" si="78"/>
        <v>1410</v>
      </c>
      <c r="I128" s="56">
        <f>$E$157*H128</f>
        <v>1034.0649098930667</v>
      </c>
      <c r="J128" s="57">
        <f>References!$E$56*'Disposal Calc'!I128</f>
        <v>1.6751851540267644</v>
      </c>
      <c r="K128" s="57">
        <f>J128/References!$G$59</f>
        <v>1.7095470497262624</v>
      </c>
      <c r="L128" s="57">
        <f>K128/F128</f>
        <v>5.6984901657542081E-2</v>
      </c>
      <c r="M128" s="58">
        <f>'Rate Sheet'!C59</f>
        <v>3.57</v>
      </c>
      <c r="N128" s="57">
        <f t="shared" si="79"/>
        <v>3.6269849016575417</v>
      </c>
      <c r="O128" s="57">
        <f>F128*M128</f>
        <v>107.1</v>
      </c>
      <c r="P128" s="57">
        <f>F128*N128</f>
        <v>108.80954704972625</v>
      </c>
      <c r="Q128" s="57">
        <f t="shared" si="80"/>
        <v>1.7095470497262539</v>
      </c>
      <c r="R128" s="109">
        <f t="shared" si="81"/>
        <v>-8.4376949871511897E-15</v>
      </c>
      <c r="S128" s="109"/>
    </row>
    <row r="129" spans="1:20">
      <c r="A129" s="393"/>
      <c r="B129" s="75" t="s">
        <v>632</v>
      </c>
      <c r="C129" s="43" t="str">
        <f>'2180 (Reg.) - Price Out '!B214</f>
        <v>Multi-Family, 4-yard Wkly</v>
      </c>
      <c r="D129" s="152">
        <f>'2180 (Reg.) - Price Out '!I214</f>
        <v>4</v>
      </c>
      <c r="E129" s="54">
        <f>References!$B$11</f>
        <v>4.333333333333333</v>
      </c>
      <c r="F129" s="55">
        <f t="shared" ref="F129" si="82">D129*E129*12</f>
        <v>208</v>
      </c>
      <c r="G129" s="107">
        <f>References!B38</f>
        <v>613</v>
      </c>
      <c r="H129" s="59">
        <f t="shared" ref="H129:H130" si="83">F129*G129</f>
        <v>127504</v>
      </c>
      <c r="I129" s="56">
        <f>$E$157*H129</f>
        <v>93508.803029081973</v>
      </c>
      <c r="J129" s="57">
        <f>References!$E$56*'Disposal Calc'!I129</f>
        <v>151.48426090711246</v>
      </c>
      <c r="K129" s="57">
        <f>J129/References!$G$59</f>
        <v>154.59155108389882</v>
      </c>
      <c r="L129" s="135">
        <f>K129/F129</f>
        <v>0.74322861098028281</v>
      </c>
      <c r="M129" s="58">
        <f>'Rate Sheet'!C72</f>
        <v>74.209999999999994</v>
      </c>
      <c r="N129" s="57">
        <f t="shared" ref="N129:N130" si="84">L129+M129</f>
        <v>74.953228610980275</v>
      </c>
      <c r="O129" s="135">
        <f>(M129*D129*12)+('Rate Sheet'!$C$73*References!$J$11*12*D129)</f>
        <v>11381.279999999999</v>
      </c>
      <c r="P129" s="135">
        <f>(N129*D129*12)+('Rate Sheet'!$E$73*References!$J$11*12*D129)</f>
        <v>11535.354973327052</v>
      </c>
      <c r="Q129" s="57">
        <f t="shared" ref="Q129:Q130" si="85">P129-O129</f>
        <v>154.07497332705316</v>
      </c>
      <c r="R129" s="109">
        <f t="shared" si="81"/>
        <v>-0.51657775684566332</v>
      </c>
      <c r="S129" s="109"/>
    </row>
    <row r="130" spans="1:20">
      <c r="A130" s="393"/>
      <c r="B130" s="75" t="s">
        <v>632</v>
      </c>
      <c r="C130" s="43" t="str">
        <f>'2180 (Reg.) - Price Out '!B215</f>
        <v>Multi-Family, 6-yard Wkly</v>
      </c>
      <c r="D130" s="152">
        <f>'2180 (Reg.) - Price Out '!I215</f>
        <v>48</v>
      </c>
      <c r="E130" s="54">
        <f>References!$B$11</f>
        <v>4.333333333333333</v>
      </c>
      <c r="F130" s="55">
        <f>D130*E130*12</f>
        <v>2496</v>
      </c>
      <c r="G130" s="107">
        <f>References!B39</f>
        <v>840</v>
      </c>
      <c r="H130" s="59">
        <f t="shared" si="83"/>
        <v>2096640</v>
      </c>
      <c r="I130" s="56">
        <f>$E$157*H130</f>
        <v>1537632.5196299287</v>
      </c>
      <c r="J130" s="57">
        <f>References!$E$56*'Disposal Calc'!I130</f>
        <v>2490.964681800479</v>
      </c>
      <c r="K130" s="57">
        <f>J130/References!$G$59</f>
        <v>2542.0600896014685</v>
      </c>
      <c r="L130" s="135">
        <f>K130/F130</f>
        <v>1.0184535615390498</v>
      </c>
      <c r="M130" s="58">
        <f>'Rate Sheet'!C74</f>
        <v>97.84</v>
      </c>
      <c r="N130" s="57">
        <f t="shared" si="84"/>
        <v>98.858453561539051</v>
      </c>
      <c r="O130" s="135">
        <f>(M130*D130*12)+('Rate Sheet'!$C$75*References!$J$11*12*D130)</f>
        <v>183383.03999999998</v>
      </c>
      <c r="P130" s="135">
        <f>(N130*D130*12)+('Rate Sheet'!$E$75*References!$J$11*12*D130)</f>
        <v>185928.06925144649</v>
      </c>
      <c r="Q130" s="57">
        <f t="shared" si="85"/>
        <v>2545.0292514465109</v>
      </c>
      <c r="R130" s="109">
        <f t="shared" si="81"/>
        <v>2.9691618450424357</v>
      </c>
      <c r="S130" s="109"/>
    </row>
    <row r="131" spans="1:20" s="51" customFormat="1">
      <c r="A131" s="66"/>
      <c r="B131" s="22"/>
      <c r="C131" s="68" t="s">
        <v>629</v>
      </c>
      <c r="D131" s="69">
        <f>SUM(D126:D130)</f>
        <v>4208.5</v>
      </c>
      <c r="E131" s="70"/>
      <c r="F131" s="69">
        <f>SUM(F126:F130)</f>
        <v>218742</v>
      </c>
      <c r="G131" s="71"/>
      <c r="H131" s="69">
        <f>SUM(H126:H130)</f>
        <v>13227506</v>
      </c>
      <c r="I131" s="69">
        <f>SUM(I126:I130)</f>
        <v>9700780</v>
      </c>
      <c r="J131" s="73">
        <f>SUM(J126:J130)</f>
        <v>15715.263599999966</v>
      </c>
      <c r="K131" s="108">
        <f>SUM(K126:K130)</f>
        <v>16037.619757118038</v>
      </c>
      <c r="L131" s="73"/>
      <c r="M131" s="73"/>
      <c r="N131" s="73"/>
      <c r="O131" s="69">
        <f>SUM(O126:O130)</f>
        <v>1326383.82</v>
      </c>
      <c r="P131" s="69">
        <f>SUM(P126:P130)</f>
        <v>1342423.8923412063</v>
      </c>
      <c r="Q131" s="69">
        <f>SUM(Q126:Q130)</f>
        <v>16040.072341206178</v>
      </c>
      <c r="R131" s="365">
        <f>Q131/O131</f>
        <v>1.2093085047739935E-2</v>
      </c>
      <c r="S131" s="109"/>
    </row>
    <row r="132" spans="1:20">
      <c r="J132" s="78"/>
      <c r="Q132" s="136">
        <f>Q131-K131</f>
        <v>2.4525840881397016</v>
      </c>
      <c r="R132" s="109"/>
      <c r="S132" s="51"/>
    </row>
    <row r="133" spans="1:20">
      <c r="J133" s="78"/>
      <c r="N133" s="103"/>
      <c r="O133" s="103"/>
      <c r="S133" s="51"/>
    </row>
    <row r="134" spans="1:20">
      <c r="A134" s="80"/>
      <c r="B134" s="81"/>
      <c r="C134" s="82" t="s">
        <v>619</v>
      </c>
      <c r="D134" s="154"/>
      <c r="E134" s="80"/>
      <c r="F134" s="80"/>
      <c r="G134" s="80"/>
      <c r="H134" s="80"/>
      <c r="I134" s="83"/>
      <c r="J134" s="84"/>
      <c r="K134" s="80"/>
      <c r="L134" s="80"/>
      <c r="M134" s="80"/>
      <c r="N134" s="80"/>
      <c r="O134" s="80"/>
      <c r="P134" s="80"/>
      <c r="Q134" s="80"/>
      <c r="S134" s="51"/>
    </row>
    <row r="135" spans="1:20" s="51" customFormat="1">
      <c r="A135" s="390" t="s">
        <v>625</v>
      </c>
      <c r="B135" s="75" t="s">
        <v>632</v>
      </c>
      <c r="C135" s="53" t="s">
        <v>669</v>
      </c>
      <c r="D135" s="180"/>
      <c r="E135" s="54"/>
      <c r="F135" s="55"/>
      <c r="G135" s="55">
        <f>References!B34</f>
        <v>175</v>
      </c>
      <c r="H135" s="55"/>
      <c r="I135" s="56">
        <f>G135*$E$157</f>
        <v>128.34138952573525</v>
      </c>
      <c r="J135" s="57">
        <f>References!$E$56*'Disposal Calc'!I135</f>
        <v>0.20791305103169067</v>
      </c>
      <c r="K135" s="57">
        <f>J135/References!$G$59</f>
        <v>0.21217782532063545</v>
      </c>
      <c r="L135" s="135">
        <f>K135</f>
        <v>0.21217782532063545</v>
      </c>
      <c r="M135" s="58">
        <f>'Rate Sheet'!C64</f>
        <v>27.31</v>
      </c>
      <c r="N135" s="57">
        <f>L135+M135</f>
        <v>27.522177825320632</v>
      </c>
      <c r="O135" s="57">
        <f t="shared" ref="O135:O143" si="86">D135*M135*12</f>
        <v>0</v>
      </c>
      <c r="P135" s="57">
        <f>D135*N135*12</f>
        <v>0</v>
      </c>
      <c r="Q135" s="57">
        <f t="shared" ref="Q135:Q143" si="87">P135-O135</f>
        <v>0</v>
      </c>
      <c r="S135" s="109"/>
    </row>
    <row r="136" spans="1:20" s="51" customFormat="1">
      <c r="A136" s="390"/>
      <c r="B136" s="75" t="s">
        <v>632</v>
      </c>
      <c r="C136" s="53" t="s">
        <v>670</v>
      </c>
      <c r="D136" s="180"/>
      <c r="E136" s="54"/>
      <c r="F136" s="55"/>
      <c r="G136" s="55">
        <f>References!B35</f>
        <v>250</v>
      </c>
      <c r="H136" s="55"/>
      <c r="I136" s="56">
        <f>G136*$E$157</f>
        <v>183.34484217962176</v>
      </c>
      <c r="J136" s="57">
        <f>References!$E$56*'Disposal Calc'!I136</f>
        <v>0.29701864433098663</v>
      </c>
      <c r="K136" s="57">
        <f>J136/References!$G$59</f>
        <v>0.30311117902947915</v>
      </c>
      <c r="L136" s="135">
        <f t="shared" ref="L136:L139" si="88">K136</f>
        <v>0.30311117902947915</v>
      </c>
      <c r="M136" s="58">
        <f>'Rate Sheet'!C66</f>
        <v>37.369999999999997</v>
      </c>
      <c r="N136" s="57">
        <f t="shared" ref="N136:N143" si="89">L136+M136</f>
        <v>37.673111179029476</v>
      </c>
      <c r="O136" s="57">
        <f t="shared" si="86"/>
        <v>0</v>
      </c>
      <c r="P136" s="57">
        <f t="shared" ref="P136:P148" si="90">D136*N136*12</f>
        <v>0</v>
      </c>
      <c r="Q136" s="57">
        <f t="shared" si="87"/>
        <v>0</v>
      </c>
      <c r="S136" s="109"/>
    </row>
    <row r="137" spans="1:20" s="51" customFormat="1">
      <c r="A137" s="390"/>
      <c r="B137" s="75" t="s">
        <v>632</v>
      </c>
      <c r="C137" s="53" t="s">
        <v>671</v>
      </c>
      <c r="D137" s="180"/>
      <c r="E137" s="54"/>
      <c r="F137" s="55"/>
      <c r="G137" s="55">
        <f>References!B36</f>
        <v>324</v>
      </c>
      <c r="H137" s="55"/>
      <c r="I137" s="56">
        <f>G137*$E$157</f>
        <v>237.61491546478982</v>
      </c>
      <c r="J137" s="57">
        <f>References!$E$56*'Disposal Calc'!I137</f>
        <v>0.38493616305295864</v>
      </c>
      <c r="K137" s="57">
        <f>J137/References!$G$59</f>
        <v>0.39283208802220498</v>
      </c>
      <c r="L137" s="135">
        <f t="shared" si="88"/>
        <v>0.39283208802220498</v>
      </c>
      <c r="M137" s="58">
        <f>'Rate Sheet'!C68</f>
        <v>44.68</v>
      </c>
      <c r="N137" s="57">
        <f t="shared" si="89"/>
        <v>45.072832088022203</v>
      </c>
      <c r="O137" s="57">
        <f t="shared" si="86"/>
        <v>0</v>
      </c>
      <c r="P137" s="57">
        <f t="shared" si="90"/>
        <v>0</v>
      </c>
      <c r="Q137" s="57">
        <f t="shared" si="87"/>
        <v>0</v>
      </c>
      <c r="S137" s="109"/>
    </row>
    <row r="138" spans="1:20" s="51" customFormat="1">
      <c r="A138" s="390"/>
      <c r="B138" s="75" t="s">
        <v>632</v>
      </c>
      <c r="C138" s="53" t="s">
        <v>672</v>
      </c>
      <c r="D138" s="180"/>
      <c r="E138" s="54"/>
      <c r="F138" s="55"/>
      <c r="G138" s="55">
        <f>References!B37</f>
        <v>473</v>
      </c>
      <c r="H138" s="55"/>
      <c r="I138" s="56">
        <f>G138*$E$157</f>
        <v>346.88844140384441</v>
      </c>
      <c r="J138" s="57">
        <f>References!$E$56*'Disposal Calc'!I138</f>
        <v>0.56195927507422672</v>
      </c>
      <c r="K138" s="57">
        <f>J138/References!$G$59</f>
        <v>0.57348635072377463</v>
      </c>
      <c r="L138" s="135">
        <f t="shared" si="88"/>
        <v>0.57348635072377463</v>
      </c>
      <c r="M138" s="58">
        <f>'Rate Sheet'!C70</f>
        <v>59.41</v>
      </c>
      <c r="N138" s="57">
        <f t="shared" si="89"/>
        <v>59.983486350723773</v>
      </c>
      <c r="O138" s="57">
        <f t="shared" si="86"/>
        <v>0</v>
      </c>
      <c r="P138" s="57">
        <f t="shared" si="90"/>
        <v>0</v>
      </c>
      <c r="Q138" s="57">
        <f t="shared" si="87"/>
        <v>0</v>
      </c>
      <c r="S138" s="109"/>
    </row>
    <row r="139" spans="1:20" s="51" customFormat="1">
      <c r="A139" s="391"/>
      <c r="B139" s="11" t="s">
        <v>632</v>
      </c>
      <c r="C139" s="61" t="s">
        <v>673</v>
      </c>
      <c r="D139" s="181"/>
      <c r="E139" s="62"/>
      <c r="F139" s="85"/>
      <c r="G139" s="85">
        <f>References!B40</f>
        <v>980</v>
      </c>
      <c r="H139" s="85"/>
      <c r="I139" s="63">
        <f>G139*$E$157</f>
        <v>718.7117813441173</v>
      </c>
      <c r="J139" s="64">
        <f>References!$E$56*'Disposal Calc'!I139</f>
        <v>1.1643130857774675</v>
      </c>
      <c r="K139" s="64">
        <f>J139/References!$G$59</f>
        <v>1.1881958217955582</v>
      </c>
      <c r="L139" s="377">
        <f t="shared" si="88"/>
        <v>1.1881958217955582</v>
      </c>
      <c r="M139" s="65">
        <f>'Rate Sheet'!C76</f>
        <v>127.31</v>
      </c>
      <c r="N139" s="64">
        <f t="shared" si="89"/>
        <v>128.49819582179555</v>
      </c>
      <c r="O139" s="64">
        <f t="shared" si="86"/>
        <v>0</v>
      </c>
      <c r="P139" s="64">
        <f t="shared" si="90"/>
        <v>0</v>
      </c>
      <c r="Q139" s="64">
        <f t="shared" si="87"/>
        <v>0</v>
      </c>
      <c r="S139" s="109"/>
    </row>
    <row r="140" spans="1:20" s="51" customFormat="1">
      <c r="A140" s="389" t="s">
        <v>633</v>
      </c>
      <c r="B140" s="52">
        <v>21</v>
      </c>
      <c r="C140" s="53" t="s">
        <v>639</v>
      </c>
      <c r="D140" s="180"/>
      <c r="E140" s="54">
        <v>4.33</v>
      </c>
      <c r="F140" s="55"/>
      <c r="G140" s="55">
        <f>References!$B$24</f>
        <v>117</v>
      </c>
      <c r="H140" s="55"/>
      <c r="I140" s="56">
        <f t="shared" ref="I140:I144" si="91">G140*E140*$D$157</f>
        <v>417.43028579690775</v>
      </c>
      <c r="J140" s="57">
        <f>References!$C$56*'Disposal Calc'!I140</f>
        <v>0.8139890573039732</v>
      </c>
      <c r="K140" s="57">
        <f>J140/References!$G$59</f>
        <v>0.83068584274310975</v>
      </c>
      <c r="L140" s="57">
        <f>K140</f>
        <v>0.83068584274310975</v>
      </c>
      <c r="M140" s="57">
        <f>'Rate Sheet'!C22</f>
        <v>58.91</v>
      </c>
      <c r="N140" s="57">
        <f t="shared" si="89"/>
        <v>59.740685842743105</v>
      </c>
      <c r="O140" s="57">
        <f t="shared" si="86"/>
        <v>0</v>
      </c>
      <c r="P140" s="57">
        <f t="shared" si="90"/>
        <v>0</v>
      </c>
      <c r="Q140" s="57">
        <f t="shared" si="87"/>
        <v>0</v>
      </c>
      <c r="S140" s="109"/>
      <c r="T140" s="146"/>
    </row>
    <row r="141" spans="1:20" s="51" customFormat="1">
      <c r="A141" s="390"/>
      <c r="B141" s="52">
        <v>21</v>
      </c>
      <c r="C141" s="53" t="s">
        <v>640</v>
      </c>
      <c r="D141" s="180"/>
      <c r="E141" s="54">
        <v>4.33</v>
      </c>
      <c r="F141" s="55"/>
      <c r="G141" s="55">
        <f>References!$B$24</f>
        <v>117</v>
      </c>
      <c r="H141" s="55"/>
      <c r="I141" s="56">
        <f t="shared" si="91"/>
        <v>417.43028579690775</v>
      </c>
      <c r="J141" s="57">
        <f>References!$C$56*'Disposal Calc'!I141</f>
        <v>0.8139890573039732</v>
      </c>
      <c r="K141" s="57">
        <f>J141/References!$G$59</f>
        <v>0.83068584274310975</v>
      </c>
      <c r="L141" s="57">
        <f t="shared" ref="L141:L148" si="92">K141</f>
        <v>0.83068584274310975</v>
      </c>
      <c r="M141" s="57">
        <f>'Rate Sheet'!C21</f>
        <v>53.91</v>
      </c>
      <c r="N141" s="57">
        <f t="shared" si="89"/>
        <v>54.740685842743105</v>
      </c>
      <c r="O141" s="57">
        <f t="shared" si="86"/>
        <v>0</v>
      </c>
      <c r="P141" s="57">
        <f t="shared" si="90"/>
        <v>0</v>
      </c>
      <c r="Q141" s="57">
        <f t="shared" si="87"/>
        <v>0</v>
      </c>
      <c r="S141" s="109"/>
      <c r="T141" s="146"/>
    </row>
    <row r="142" spans="1:20" s="51" customFormat="1">
      <c r="A142" s="390"/>
      <c r="B142" s="52">
        <v>21</v>
      </c>
      <c r="C142" s="53" t="s">
        <v>641</v>
      </c>
      <c r="D142" s="180"/>
      <c r="E142" s="54">
        <v>4.33</v>
      </c>
      <c r="F142" s="55"/>
      <c r="G142" s="55">
        <f>References!$B$25</f>
        <v>157</v>
      </c>
      <c r="H142" s="55"/>
      <c r="I142" s="56">
        <f t="shared" si="91"/>
        <v>560.14149461636339</v>
      </c>
      <c r="J142" s="57">
        <f>References!$C$56*'Disposal Calc'!I142</f>
        <v>1.0922759145019127</v>
      </c>
      <c r="K142" s="57">
        <f>J142/References!$G$59</f>
        <v>1.114681002655284</v>
      </c>
      <c r="L142" s="57">
        <f t="shared" si="92"/>
        <v>1.114681002655284</v>
      </c>
      <c r="M142" s="57">
        <f>'Rate Sheet'!C24</f>
        <v>69.16</v>
      </c>
      <c r="N142" s="57">
        <f t="shared" si="89"/>
        <v>70.274681002655285</v>
      </c>
      <c r="O142" s="57">
        <f t="shared" si="86"/>
        <v>0</v>
      </c>
      <c r="P142" s="57">
        <f t="shared" si="90"/>
        <v>0</v>
      </c>
      <c r="Q142" s="57">
        <f t="shared" si="87"/>
        <v>0</v>
      </c>
      <c r="S142" s="109"/>
      <c r="T142" s="146"/>
    </row>
    <row r="143" spans="1:20" s="51" customFormat="1">
      <c r="A143" s="390"/>
      <c r="B143" s="52">
        <v>21</v>
      </c>
      <c r="C143" s="53" t="s">
        <v>642</v>
      </c>
      <c r="D143" s="180"/>
      <c r="E143" s="54">
        <v>4.33</v>
      </c>
      <c r="F143" s="55"/>
      <c r="G143" s="55">
        <f>References!$B$25</f>
        <v>157</v>
      </c>
      <c r="H143" s="55"/>
      <c r="I143" s="56">
        <f t="shared" si="91"/>
        <v>560.14149461636339</v>
      </c>
      <c r="J143" s="57">
        <f>References!$C$56*'Disposal Calc'!I143</f>
        <v>1.0922759145019127</v>
      </c>
      <c r="K143" s="57">
        <f>J143/References!$G$59</f>
        <v>1.114681002655284</v>
      </c>
      <c r="L143" s="57">
        <f t="shared" si="92"/>
        <v>1.114681002655284</v>
      </c>
      <c r="M143" s="57">
        <f>'Rate Sheet'!C23</f>
        <v>63.16</v>
      </c>
      <c r="N143" s="57">
        <f t="shared" si="89"/>
        <v>64.274681002655285</v>
      </c>
      <c r="O143" s="57">
        <f t="shared" si="86"/>
        <v>0</v>
      </c>
      <c r="P143" s="57">
        <f t="shared" si="90"/>
        <v>0</v>
      </c>
      <c r="Q143" s="57">
        <f t="shared" si="87"/>
        <v>0</v>
      </c>
      <c r="S143" s="109"/>
      <c r="T143" s="146"/>
    </row>
    <row r="144" spans="1:20" s="51" customFormat="1" ht="14.45" customHeight="1">
      <c r="A144" s="390"/>
      <c r="B144" s="52">
        <v>21</v>
      </c>
      <c r="C144" s="53" t="s">
        <v>634</v>
      </c>
      <c r="D144" s="155"/>
      <c r="E144" s="54">
        <v>4.33</v>
      </c>
      <c r="F144" s="55"/>
      <c r="G144" s="55">
        <f>References!$B$26</f>
        <v>37</v>
      </c>
      <c r="H144" s="55"/>
      <c r="I144" s="56">
        <f t="shared" si="91"/>
        <v>132.00786815799646</v>
      </c>
      <c r="J144" s="57">
        <f>References!$C$56*'Disposal Calc'!I144</f>
        <v>0.25741534290809404</v>
      </c>
      <c r="K144" s="57">
        <f>J144/References!$G$59</f>
        <v>0.26269552291876114</v>
      </c>
      <c r="L144" s="57">
        <f t="shared" si="92"/>
        <v>0.26269552291876114</v>
      </c>
      <c r="M144" s="57">
        <f>'Rate Sheet'!C29</f>
        <v>19.48</v>
      </c>
      <c r="N144" s="57">
        <f t="shared" ref="N144:N147" si="93">L144+M144</f>
        <v>19.742695522918762</v>
      </c>
      <c r="O144" s="57">
        <f t="shared" ref="O144:O148" si="94">D144*M144*12</f>
        <v>0</v>
      </c>
      <c r="P144" s="57">
        <f t="shared" si="90"/>
        <v>0</v>
      </c>
      <c r="Q144" s="57">
        <f t="shared" ref="Q144:Q148" si="95">P144-O144</f>
        <v>0</v>
      </c>
      <c r="S144" s="109"/>
      <c r="T144" s="146"/>
    </row>
    <row r="145" spans="1:20" s="51" customFormat="1">
      <c r="A145" s="390"/>
      <c r="B145" s="52">
        <v>21</v>
      </c>
      <c r="C145" s="53" t="s">
        <v>635</v>
      </c>
      <c r="D145" s="155"/>
      <c r="E145" s="54">
        <f>References!$B$12</f>
        <v>2.1666666666666665</v>
      </c>
      <c r="F145" s="55"/>
      <c r="G145" s="55">
        <f>References!$B$26</f>
        <v>37</v>
      </c>
      <c r="H145" s="55"/>
      <c r="I145" s="56">
        <f>G145*E145*$D$157</f>
        <v>66.054745421630244</v>
      </c>
      <c r="J145" s="57">
        <f>References!$C$56*'Disposal Calc'!I145</f>
        <v>0.12880675357217947</v>
      </c>
      <c r="K145" s="57">
        <f>J145/References!$G$59</f>
        <v>0.13144887597936469</v>
      </c>
      <c r="L145" s="57">
        <f t="shared" si="92"/>
        <v>0.13144887597936469</v>
      </c>
      <c r="M145" s="57">
        <f>'Rate Sheet'!C30</f>
        <v>12.42</v>
      </c>
      <c r="N145" s="57">
        <f t="shared" si="93"/>
        <v>12.551448875979364</v>
      </c>
      <c r="O145" s="57">
        <f t="shared" si="94"/>
        <v>0</v>
      </c>
      <c r="P145" s="57">
        <f t="shared" si="90"/>
        <v>0</v>
      </c>
      <c r="Q145" s="57">
        <f t="shared" si="95"/>
        <v>0</v>
      </c>
      <c r="S145" s="109"/>
      <c r="T145" s="146"/>
    </row>
    <row r="146" spans="1:20" s="51" customFormat="1">
      <c r="A146" s="390"/>
      <c r="B146" s="52">
        <v>21</v>
      </c>
      <c r="C146" s="53" t="s">
        <v>636</v>
      </c>
      <c r="D146" s="155"/>
      <c r="E146" s="54">
        <f>References!$B$12</f>
        <v>2.1666666666666665</v>
      </c>
      <c r="F146" s="55"/>
      <c r="G146" s="55">
        <f>References!$B$26</f>
        <v>37</v>
      </c>
      <c r="H146" s="55"/>
      <c r="I146" s="56">
        <f t="shared" ref="I146:I148" si="96">G146*E146*$D$157</f>
        <v>66.054745421630244</v>
      </c>
      <c r="J146" s="57">
        <f>References!$C$56*'Disposal Calc'!I146</f>
        <v>0.12880675357217947</v>
      </c>
      <c r="K146" s="57">
        <f>J146/References!$G$59</f>
        <v>0.13144887597936469</v>
      </c>
      <c r="L146" s="57">
        <f t="shared" si="92"/>
        <v>0.13144887597936469</v>
      </c>
      <c r="M146" s="57">
        <f>'Rate Sheet'!C31</f>
        <v>13.42</v>
      </c>
      <c r="N146" s="57">
        <f t="shared" si="93"/>
        <v>13.551448875979364</v>
      </c>
      <c r="O146" s="57">
        <f t="shared" si="94"/>
        <v>0</v>
      </c>
      <c r="P146" s="57">
        <f t="shared" si="90"/>
        <v>0</v>
      </c>
      <c r="Q146" s="57">
        <f t="shared" si="95"/>
        <v>0</v>
      </c>
      <c r="S146" s="109"/>
      <c r="T146" s="146"/>
    </row>
    <row r="147" spans="1:20" s="51" customFormat="1">
      <c r="A147" s="390"/>
      <c r="B147" s="52">
        <v>21</v>
      </c>
      <c r="C147" s="53" t="s">
        <v>637</v>
      </c>
      <c r="D147" s="155"/>
      <c r="E147" s="54">
        <v>1</v>
      </c>
      <c r="F147" s="55"/>
      <c r="G147" s="55">
        <f>References!$B$26</f>
        <v>37</v>
      </c>
      <c r="H147" s="55"/>
      <c r="I147" s="56">
        <f t="shared" si="96"/>
        <v>30.486805579213961</v>
      </c>
      <c r="J147" s="57">
        <f>References!$C$56*'Disposal Calc'!I147</f>
        <v>5.9449270879467449E-2</v>
      </c>
      <c r="K147" s="57">
        <f>J147/References!$G$59</f>
        <v>6.0668711990476014E-2</v>
      </c>
      <c r="L147" s="57">
        <f t="shared" si="92"/>
        <v>6.0668711990476014E-2</v>
      </c>
      <c r="M147" s="57">
        <f>'Rate Sheet'!C32</f>
        <v>9.1999999999999993</v>
      </c>
      <c r="N147" s="57">
        <f t="shared" si="93"/>
        <v>9.2606687119904745</v>
      </c>
      <c r="O147" s="57">
        <f t="shared" si="94"/>
        <v>0</v>
      </c>
      <c r="P147" s="57">
        <f t="shared" si="90"/>
        <v>0</v>
      </c>
      <c r="Q147" s="57">
        <f t="shared" si="95"/>
        <v>0</v>
      </c>
      <c r="S147" s="109"/>
      <c r="T147" s="146"/>
    </row>
    <row r="148" spans="1:20" s="51" customFormat="1">
      <c r="A148" s="391"/>
      <c r="B148" s="60">
        <v>21</v>
      </c>
      <c r="C148" s="61" t="s">
        <v>638</v>
      </c>
      <c r="D148" s="156"/>
      <c r="E148" s="62">
        <v>1</v>
      </c>
      <c r="F148" s="85"/>
      <c r="G148" s="85">
        <f>References!$B$26</f>
        <v>37</v>
      </c>
      <c r="H148" s="85"/>
      <c r="I148" s="63">
        <f t="shared" si="96"/>
        <v>30.486805579213961</v>
      </c>
      <c r="J148" s="64">
        <f>References!$C$56*'Disposal Calc'!I148</f>
        <v>5.9449270879467449E-2</v>
      </c>
      <c r="K148" s="64">
        <f>J148/References!$G$59</f>
        <v>6.0668711990476014E-2</v>
      </c>
      <c r="L148" s="64">
        <f t="shared" si="92"/>
        <v>6.0668711990476014E-2</v>
      </c>
      <c r="M148" s="64">
        <f>'Rate Sheet'!C33</f>
        <v>10.199999999999999</v>
      </c>
      <c r="N148" s="64">
        <f t="shared" ref="N148" si="97">L148+M148</f>
        <v>10.260668711990474</v>
      </c>
      <c r="O148" s="64">
        <f t="shared" si="94"/>
        <v>0</v>
      </c>
      <c r="P148" s="64">
        <f t="shared" si="90"/>
        <v>0</v>
      </c>
      <c r="Q148" s="64">
        <f t="shared" si="95"/>
        <v>0</v>
      </c>
      <c r="S148" s="109"/>
      <c r="T148" s="146"/>
    </row>
    <row r="149" spans="1:20">
      <c r="A149" s="86"/>
      <c r="C149" s="87"/>
      <c r="D149" s="157"/>
      <c r="E149" s="88"/>
      <c r="F149" s="74"/>
      <c r="G149" s="55"/>
      <c r="H149" s="74"/>
      <c r="J149" s="57"/>
      <c r="K149" s="58"/>
      <c r="L149" s="58"/>
      <c r="M149" s="58"/>
      <c r="N149" s="58"/>
      <c r="S149" s="103"/>
    </row>
    <row r="150" spans="1:20">
      <c r="A150" s="86"/>
      <c r="C150" s="89"/>
      <c r="O150" s="6" t="s">
        <v>674</v>
      </c>
      <c r="P150" s="6" t="s">
        <v>675</v>
      </c>
    </row>
    <row r="151" spans="1:20">
      <c r="A151" s="86"/>
      <c r="C151" s="89"/>
      <c r="N151" s="43" t="s">
        <v>633</v>
      </c>
      <c r="O151" s="378">
        <f>Q52</f>
        <v>155721.3920337134</v>
      </c>
      <c r="P151" s="171">
        <f>O151/O52</f>
        <v>1.2698260131591638E-2</v>
      </c>
    </row>
    <row r="152" spans="1:20">
      <c r="A152" s="86"/>
      <c r="C152" s="388" t="s">
        <v>620</v>
      </c>
      <c r="D152" s="388"/>
      <c r="E152" s="90"/>
      <c r="F152" s="90"/>
      <c r="H152" s="113"/>
      <c r="N152" s="43" t="s">
        <v>617</v>
      </c>
      <c r="O152" s="378">
        <f>Q123</f>
        <v>107653.3680275605</v>
      </c>
      <c r="P152" s="171">
        <f>O152/O123</f>
        <v>1.4896856662032823E-2</v>
      </c>
    </row>
    <row r="153" spans="1:20">
      <c r="A153" s="86"/>
      <c r="D153" s="158" t="s">
        <v>366</v>
      </c>
      <c r="E153" s="6" t="s">
        <v>625</v>
      </c>
      <c r="F153" s="91"/>
      <c r="H153" s="113"/>
      <c r="J153" s="92"/>
      <c r="O153" s="379"/>
      <c r="P153" s="92"/>
    </row>
    <row r="154" spans="1:20">
      <c r="A154" s="86"/>
      <c r="C154" s="43" t="s">
        <v>621</v>
      </c>
      <c r="D154" s="159">
        <f>References!B63</f>
        <v>66100.327620506214</v>
      </c>
      <c r="E154" s="112">
        <f>References!C63</f>
        <v>4850.3900000000003</v>
      </c>
      <c r="F154" s="74"/>
      <c r="G154" s="93"/>
      <c r="H154" s="94"/>
      <c r="J154" s="92"/>
      <c r="N154" s="43" t="s">
        <v>625</v>
      </c>
      <c r="O154" s="379">
        <f>Q131</f>
        <v>16040.072341206178</v>
      </c>
      <c r="P154" s="172">
        <f>O154/O131</f>
        <v>1.2093085047739935E-2</v>
      </c>
    </row>
    <row r="155" spans="1:20">
      <c r="A155" s="86"/>
      <c r="C155" s="43" t="s">
        <v>622</v>
      </c>
      <c r="D155" s="157">
        <f>D154*2000</f>
        <v>132200655.24101242</v>
      </c>
      <c r="E155" s="95">
        <f>E154*2000</f>
        <v>9700780</v>
      </c>
      <c r="F155" s="95"/>
      <c r="G155" s="95"/>
      <c r="H155" s="380"/>
      <c r="J155" s="92"/>
      <c r="P155" s="58"/>
    </row>
    <row r="156" spans="1:20">
      <c r="A156" s="86"/>
      <c r="C156" s="43" t="s">
        <v>623</v>
      </c>
      <c r="D156" s="157">
        <f>F52+F123</f>
        <v>2277646.9541558367</v>
      </c>
      <c r="E156" s="95">
        <f>F131</f>
        <v>218742</v>
      </c>
      <c r="F156" s="74"/>
      <c r="G156" s="74"/>
      <c r="H156" s="381"/>
      <c r="J156" s="92"/>
      <c r="O156" s="77"/>
      <c r="P156" s="58"/>
    </row>
    <row r="157" spans="1:20">
      <c r="C157" s="96" t="s">
        <v>624</v>
      </c>
      <c r="D157" s="97">
        <f>D155/$H$124</f>
        <v>0.82396771835713412</v>
      </c>
      <c r="E157" s="97">
        <f>E155/$H$131</f>
        <v>0.73337936871848708</v>
      </c>
      <c r="F157" s="97"/>
      <c r="G157" s="97"/>
      <c r="H157" s="98"/>
      <c r="J157" s="92"/>
      <c r="M157" s="99"/>
      <c r="N157" s="99"/>
      <c r="O157" s="100"/>
      <c r="P157" s="100"/>
    </row>
    <row r="158" spans="1:20">
      <c r="G158" s="101"/>
      <c r="H158" s="102"/>
      <c r="J158" s="92"/>
      <c r="M158" s="103"/>
      <c r="N158" s="104"/>
      <c r="O158" s="79"/>
      <c r="P158" s="98"/>
    </row>
    <row r="159" spans="1:20">
      <c r="D159" s="160"/>
      <c r="E159" s="105"/>
      <c r="G159" s="101"/>
      <c r="H159" s="102"/>
      <c r="J159" s="92"/>
      <c r="M159" s="103"/>
      <c r="N159" s="104"/>
      <c r="O159" s="79"/>
      <c r="P159" s="98"/>
    </row>
    <row r="160" spans="1:20">
      <c r="D160" s="160"/>
      <c r="E160" s="134"/>
      <c r="G160" s="101"/>
      <c r="H160" s="102"/>
      <c r="J160" s="92"/>
      <c r="M160" s="103"/>
      <c r="N160" s="104"/>
      <c r="O160" s="79"/>
      <c r="P160" s="98"/>
    </row>
    <row r="161" spans="4:9">
      <c r="D161" s="161"/>
      <c r="E161" s="134"/>
      <c r="I161" s="43"/>
    </row>
    <row r="162" spans="4:9">
      <c r="D162" s="161"/>
      <c r="E162" s="134"/>
      <c r="I162" s="43"/>
    </row>
    <row r="163" spans="4:9">
      <c r="D163" s="161"/>
      <c r="E163" s="92"/>
      <c r="I163" s="43"/>
    </row>
    <row r="164" spans="4:9">
      <c r="D164" s="161"/>
      <c r="I164" s="43"/>
    </row>
    <row r="165" spans="4:9">
      <c r="D165" s="161"/>
    </row>
  </sheetData>
  <mergeCells count="6">
    <mergeCell ref="C152:D152"/>
    <mergeCell ref="A8:A51"/>
    <mergeCell ref="A135:A139"/>
    <mergeCell ref="A53:A122"/>
    <mergeCell ref="A126:A130"/>
    <mergeCell ref="A140:A148"/>
  </mergeCells>
  <pageMargins left="0.7" right="0.7" top="0.75" bottom="0.75" header="0.3" footer="0.3"/>
  <pageSetup scale="46" fitToHeight="3" orientation="landscape" r:id="rId1"/>
  <headerFooter>
    <oddFooter>&amp;L&amp;F - &amp;A&amp;R&amp;P of &amp;N</oddFooter>
  </headerFooter>
  <rowBreaks count="1" manualBreakCount="1">
    <brk id="85" max="17" man="1"/>
  </rowBreaks>
  <ignoredErrors>
    <ignoredError sqref="G70 E76"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zoomScale="85" zoomScaleNormal="85" workbookViewId="0">
      <selection activeCell="D34" sqref="D34:D39"/>
    </sheetView>
  </sheetViews>
  <sheetFormatPr defaultColWidth="9.140625" defaultRowHeight="15"/>
  <cols>
    <col min="1" max="1" width="31.85546875" style="10" customWidth="1"/>
    <col min="2" max="2" width="16.7109375" style="4" bestFit="1" customWidth="1"/>
    <col min="3" max="3" width="7.85546875" style="10" customWidth="1"/>
    <col min="4" max="4" width="9.140625" style="10" customWidth="1"/>
    <col min="5" max="5" width="11.5703125" style="10" bestFit="1" customWidth="1"/>
    <col min="6" max="6" width="5.28515625" style="10" customWidth="1"/>
    <col min="7" max="16384" width="9.140625" style="10"/>
  </cols>
  <sheetData>
    <row r="1" spans="1:6">
      <c r="A1" s="1" t="s">
        <v>437</v>
      </c>
    </row>
    <row r="2" spans="1:6">
      <c r="A2" s="1" t="s">
        <v>436</v>
      </c>
    </row>
    <row r="3" spans="1:6">
      <c r="A3" s="1" t="s">
        <v>668</v>
      </c>
    </row>
    <row r="4" spans="1:6">
      <c r="A4" s="311"/>
      <c r="B4" s="311"/>
      <c r="C4" s="322" t="s">
        <v>447</v>
      </c>
      <c r="D4" s="322"/>
      <c r="E4" s="322" t="s">
        <v>449</v>
      </c>
      <c r="F4" s="311"/>
    </row>
    <row r="5" spans="1:6">
      <c r="A5" s="311"/>
      <c r="B5" s="311"/>
      <c r="C5" s="322" t="s">
        <v>660</v>
      </c>
      <c r="D5" s="322" t="s">
        <v>448</v>
      </c>
      <c r="E5" s="322" t="s">
        <v>446</v>
      </c>
      <c r="F5" s="311"/>
    </row>
    <row r="6" spans="1:6">
      <c r="A6" s="311"/>
      <c r="B6" s="311"/>
      <c r="C6" s="323" t="s">
        <v>507</v>
      </c>
      <c r="D6" s="323" t="s">
        <v>438</v>
      </c>
      <c r="E6" s="324">
        <v>43160</v>
      </c>
      <c r="F6" s="313"/>
    </row>
    <row r="7" spans="1:6">
      <c r="A7" s="312" t="s">
        <v>450</v>
      </c>
      <c r="B7" s="312"/>
      <c r="C7" s="314"/>
      <c r="D7" s="311"/>
      <c r="E7" s="311"/>
      <c r="F7" s="311"/>
    </row>
    <row r="8" spans="1:6">
      <c r="A8" s="311" t="s">
        <v>451</v>
      </c>
      <c r="B8" s="311" t="s">
        <v>452</v>
      </c>
      <c r="C8" s="315">
        <v>7.55</v>
      </c>
      <c r="D8" s="316">
        <f>ROUND('Disposal Calc'!L41,2)</f>
        <v>7.0000000000000007E-2</v>
      </c>
      <c r="E8" s="316">
        <f>ROUND(C8+D8,2)</f>
        <v>7.62</v>
      </c>
      <c r="F8" s="316"/>
    </row>
    <row r="9" spans="1:6">
      <c r="B9" s="10"/>
      <c r="C9" s="317"/>
    </row>
    <row r="10" spans="1:6">
      <c r="A10" s="312" t="s">
        <v>453</v>
      </c>
      <c r="B10" s="312"/>
      <c r="C10" s="315"/>
      <c r="D10" s="311"/>
      <c r="E10" s="311"/>
      <c r="F10" s="311"/>
    </row>
    <row r="11" spans="1:6">
      <c r="A11" s="311" t="s">
        <v>454</v>
      </c>
      <c r="B11" s="311" t="s">
        <v>452</v>
      </c>
      <c r="C11" s="315">
        <v>13.56</v>
      </c>
      <c r="D11" s="316">
        <f>ROUND('Disposal Calc'!L8,2)</f>
        <v>0.14000000000000001</v>
      </c>
      <c r="E11" s="316">
        <f t="shared" ref="E11:E26" si="0">ROUND(C11+D11,2)</f>
        <v>13.7</v>
      </c>
      <c r="F11" s="311"/>
    </row>
    <row r="12" spans="1:6">
      <c r="A12" s="311" t="s">
        <v>455</v>
      </c>
      <c r="B12" s="311" t="s">
        <v>456</v>
      </c>
      <c r="C12" s="315">
        <v>14.56</v>
      </c>
      <c r="D12" s="316">
        <f>D11</f>
        <v>0.14000000000000001</v>
      </c>
      <c r="E12" s="316">
        <f t="shared" si="0"/>
        <v>14.7</v>
      </c>
      <c r="F12" s="311"/>
    </row>
    <row r="13" spans="1:6">
      <c r="A13" s="311" t="s">
        <v>457</v>
      </c>
      <c r="B13" s="311" t="s">
        <v>452</v>
      </c>
      <c r="C13" s="315">
        <v>18.260000000000002</v>
      </c>
      <c r="D13" s="316">
        <f>ROUND('Disposal Calc'!L12,2)</f>
        <v>0.24</v>
      </c>
      <c r="E13" s="316">
        <f t="shared" si="0"/>
        <v>18.5</v>
      </c>
      <c r="F13" s="311"/>
    </row>
    <row r="14" spans="1:6">
      <c r="A14" s="311" t="s">
        <v>457</v>
      </c>
      <c r="B14" s="311" t="s">
        <v>456</v>
      </c>
      <c r="C14" s="315">
        <v>19.260000000000002</v>
      </c>
      <c r="D14" s="316">
        <f>D13</f>
        <v>0.24</v>
      </c>
      <c r="E14" s="316">
        <f t="shared" si="0"/>
        <v>19.5</v>
      </c>
      <c r="F14" s="311"/>
    </row>
    <row r="15" spans="1:6">
      <c r="A15" s="311" t="s">
        <v>458</v>
      </c>
      <c r="B15" s="311" t="s">
        <v>452</v>
      </c>
      <c r="C15" s="315">
        <v>26.9</v>
      </c>
      <c r="D15" s="316">
        <f>ROUND('Disposal Calc'!L14,2)</f>
        <v>0.36</v>
      </c>
      <c r="E15" s="316">
        <f t="shared" si="0"/>
        <v>27.26</v>
      </c>
      <c r="F15" s="311"/>
    </row>
    <row r="16" spans="1:6">
      <c r="A16" s="311" t="s">
        <v>458</v>
      </c>
      <c r="B16" s="311" t="s">
        <v>456</v>
      </c>
      <c r="C16" s="315">
        <v>28.9</v>
      </c>
      <c r="D16" s="316">
        <f>D15</f>
        <v>0.36</v>
      </c>
      <c r="E16" s="316">
        <f t="shared" si="0"/>
        <v>29.26</v>
      </c>
      <c r="F16" s="311"/>
    </row>
    <row r="17" spans="1:5">
      <c r="A17" s="311" t="s">
        <v>459</v>
      </c>
      <c r="B17" s="311" t="s">
        <v>452</v>
      </c>
      <c r="C17" s="315">
        <v>36.119999999999997</v>
      </c>
      <c r="D17" s="316">
        <f>ROUND('Disposal Calc'!L16,2)</f>
        <v>0.55000000000000004</v>
      </c>
      <c r="E17" s="316">
        <f t="shared" si="0"/>
        <v>36.67</v>
      </c>
    </row>
    <row r="18" spans="1:5">
      <c r="A18" s="311" t="s">
        <v>459</v>
      </c>
      <c r="B18" s="311" t="s">
        <v>456</v>
      </c>
      <c r="C18" s="315">
        <v>39.119999999999997</v>
      </c>
      <c r="D18" s="316">
        <f>D17</f>
        <v>0.55000000000000004</v>
      </c>
      <c r="E18" s="316">
        <f t="shared" si="0"/>
        <v>39.67</v>
      </c>
    </row>
    <row r="19" spans="1:5">
      <c r="A19" s="311" t="s">
        <v>460</v>
      </c>
      <c r="B19" s="311" t="s">
        <v>452</v>
      </c>
      <c r="C19" s="315">
        <v>44.87</v>
      </c>
      <c r="D19" s="316">
        <f>ROUND('Disposal Calc'!L18,2)</f>
        <v>0.69</v>
      </c>
      <c r="E19" s="316">
        <f t="shared" si="0"/>
        <v>45.56</v>
      </c>
    </row>
    <row r="20" spans="1:5">
      <c r="A20" s="311" t="s">
        <v>460</v>
      </c>
      <c r="B20" s="311" t="s">
        <v>456</v>
      </c>
      <c r="C20" s="315">
        <v>48.87</v>
      </c>
      <c r="D20" s="316">
        <f>D19</f>
        <v>0.69</v>
      </c>
      <c r="E20" s="316">
        <f t="shared" si="0"/>
        <v>49.56</v>
      </c>
    </row>
    <row r="21" spans="1:5">
      <c r="A21" s="311" t="s">
        <v>461</v>
      </c>
      <c r="B21" s="311" t="s">
        <v>452</v>
      </c>
      <c r="C21" s="315">
        <v>53.91</v>
      </c>
      <c r="D21" s="316">
        <f>ROUND('Disposal Calc'!L140,2)</f>
        <v>0.83</v>
      </c>
      <c r="E21" s="316">
        <f t="shared" si="0"/>
        <v>54.74</v>
      </c>
    </row>
    <row r="22" spans="1:5">
      <c r="A22" s="311" t="s">
        <v>461</v>
      </c>
      <c r="B22" s="311" t="s">
        <v>456</v>
      </c>
      <c r="C22" s="315">
        <v>58.91</v>
      </c>
      <c r="D22" s="316">
        <f>D21</f>
        <v>0.83</v>
      </c>
      <c r="E22" s="316">
        <f t="shared" si="0"/>
        <v>59.74</v>
      </c>
    </row>
    <row r="23" spans="1:5">
      <c r="A23" s="311" t="s">
        <v>462</v>
      </c>
      <c r="B23" s="311" t="s">
        <v>452</v>
      </c>
      <c r="C23" s="315">
        <v>63.16</v>
      </c>
      <c r="D23" s="316">
        <f>ROUND('Disposal Calc'!L142,2)</f>
        <v>1.1100000000000001</v>
      </c>
      <c r="E23" s="316">
        <f t="shared" si="0"/>
        <v>64.27</v>
      </c>
    </row>
    <row r="24" spans="1:5">
      <c r="A24" s="311" t="s">
        <v>462</v>
      </c>
      <c r="B24" s="311" t="s">
        <v>456</v>
      </c>
      <c r="C24" s="315">
        <v>69.16</v>
      </c>
      <c r="D24" s="316">
        <f>D23</f>
        <v>1.1100000000000001</v>
      </c>
      <c r="E24" s="316">
        <f t="shared" si="0"/>
        <v>70.27</v>
      </c>
    </row>
    <row r="25" spans="1:5">
      <c r="A25" s="311" t="s">
        <v>457</v>
      </c>
      <c r="B25" s="311" t="s">
        <v>466</v>
      </c>
      <c r="C25" s="315">
        <v>7.41</v>
      </c>
      <c r="D25" s="318">
        <f>ROUND('Disposal Calc'!L10,2)</f>
        <v>0.06</v>
      </c>
      <c r="E25" s="316">
        <f t="shared" si="0"/>
        <v>7.47</v>
      </c>
    </row>
    <row r="26" spans="1:5">
      <c r="A26" s="311" t="s">
        <v>457</v>
      </c>
      <c r="B26" s="311" t="s">
        <v>467</v>
      </c>
      <c r="C26" s="315">
        <v>8.41</v>
      </c>
      <c r="D26" s="318">
        <f>D25</f>
        <v>0.06</v>
      </c>
      <c r="E26" s="316">
        <f t="shared" si="0"/>
        <v>8.4700000000000006</v>
      </c>
    </row>
    <row r="27" spans="1:5">
      <c r="A27" s="311"/>
      <c r="B27" s="311"/>
      <c r="C27" s="315"/>
      <c r="D27" s="311"/>
      <c r="E27" s="311"/>
    </row>
    <row r="28" spans="1:5">
      <c r="A28" s="311" t="s">
        <v>463</v>
      </c>
      <c r="B28" s="311" t="s">
        <v>452</v>
      </c>
      <c r="C28" s="315">
        <v>18.48</v>
      </c>
      <c r="D28" s="318">
        <f>ROUND('Disposal Calc'!L21,2)</f>
        <v>0.26</v>
      </c>
      <c r="E28" s="316">
        <f t="shared" ref="E28:E45" si="1">ROUND(C28+D28,2)</f>
        <v>18.739999999999998</v>
      </c>
    </row>
    <row r="29" spans="1:5">
      <c r="A29" s="311" t="s">
        <v>463</v>
      </c>
      <c r="B29" s="311" t="s">
        <v>456</v>
      </c>
      <c r="C29" s="315">
        <v>19.48</v>
      </c>
      <c r="D29" s="318">
        <f>D28</f>
        <v>0.26</v>
      </c>
      <c r="E29" s="316">
        <f t="shared" si="1"/>
        <v>19.739999999999998</v>
      </c>
    </row>
    <row r="30" spans="1:5">
      <c r="A30" s="311" t="s">
        <v>463</v>
      </c>
      <c r="B30" s="311" t="s">
        <v>464</v>
      </c>
      <c r="C30" s="315">
        <v>12.42</v>
      </c>
      <c r="D30" s="318">
        <f>ROUND('Disposal Calc'!L145,2)</f>
        <v>0.13</v>
      </c>
      <c r="E30" s="316">
        <f t="shared" si="1"/>
        <v>12.55</v>
      </c>
    </row>
    <row r="31" spans="1:5">
      <c r="A31" s="311" t="s">
        <v>463</v>
      </c>
      <c r="B31" s="311" t="s">
        <v>465</v>
      </c>
      <c r="C31" s="315">
        <v>13.42</v>
      </c>
      <c r="D31" s="318">
        <f>D30</f>
        <v>0.13</v>
      </c>
      <c r="E31" s="316">
        <f t="shared" si="1"/>
        <v>13.55</v>
      </c>
    </row>
    <row r="32" spans="1:5">
      <c r="A32" s="311" t="s">
        <v>463</v>
      </c>
      <c r="B32" s="311" t="s">
        <v>466</v>
      </c>
      <c r="C32" s="315">
        <v>9.1999999999999993</v>
      </c>
      <c r="D32" s="318">
        <f>ROUND('Disposal Calc'!L147,2)</f>
        <v>0.06</v>
      </c>
      <c r="E32" s="316">
        <f t="shared" si="1"/>
        <v>9.26</v>
      </c>
    </row>
    <row r="33" spans="1:6">
      <c r="A33" s="311" t="s">
        <v>463</v>
      </c>
      <c r="B33" s="311" t="s">
        <v>467</v>
      </c>
      <c r="C33" s="315">
        <v>10.199999999999999</v>
      </c>
      <c r="D33" s="318">
        <f>D32</f>
        <v>0.06</v>
      </c>
      <c r="E33" s="316">
        <f t="shared" si="1"/>
        <v>10.26</v>
      </c>
    </row>
    <row r="34" spans="1:6">
      <c r="A34" s="311" t="s">
        <v>468</v>
      </c>
      <c r="B34" s="311" t="s">
        <v>452</v>
      </c>
      <c r="C34" s="315">
        <v>25.66</v>
      </c>
      <c r="D34" s="318">
        <f>ROUND('Disposal Calc'!L25,2)</f>
        <v>0.33</v>
      </c>
      <c r="E34" s="316">
        <f t="shared" si="1"/>
        <v>25.99</v>
      </c>
      <c r="F34" s="311"/>
    </row>
    <row r="35" spans="1:6">
      <c r="A35" s="311" t="s">
        <v>468</v>
      </c>
      <c r="B35" s="311" t="s">
        <v>456</v>
      </c>
      <c r="C35" s="315">
        <v>27.66</v>
      </c>
      <c r="D35" s="318">
        <f>D34</f>
        <v>0.33</v>
      </c>
      <c r="E35" s="316">
        <f t="shared" si="1"/>
        <v>27.99</v>
      </c>
      <c r="F35" s="311"/>
    </row>
    <row r="36" spans="1:6">
      <c r="A36" s="311" t="s">
        <v>468</v>
      </c>
      <c r="B36" s="311" t="s">
        <v>464</v>
      </c>
      <c r="C36" s="315">
        <v>16.11</v>
      </c>
      <c r="D36" s="318">
        <f>ROUND('Disposal Calc'!L27,2)</f>
        <v>0.17</v>
      </c>
      <c r="E36" s="316">
        <f t="shared" si="1"/>
        <v>16.28</v>
      </c>
      <c r="F36" s="318"/>
    </row>
    <row r="37" spans="1:6">
      <c r="A37" s="311" t="s">
        <v>468</v>
      </c>
      <c r="B37" s="311" t="s">
        <v>465</v>
      </c>
      <c r="C37" s="315">
        <v>18.11</v>
      </c>
      <c r="D37" s="318">
        <f>D36</f>
        <v>0.17</v>
      </c>
      <c r="E37" s="316">
        <f t="shared" si="1"/>
        <v>18.28</v>
      </c>
      <c r="F37" s="311"/>
    </row>
    <row r="38" spans="1:6">
      <c r="A38" s="311" t="s">
        <v>468</v>
      </c>
      <c r="B38" s="311" t="s">
        <v>466</v>
      </c>
      <c r="C38" s="315">
        <v>9.1999999999999993</v>
      </c>
      <c r="D38" s="318">
        <f>ROUND('Disposal Calc'!L23,2)</f>
        <v>0.08</v>
      </c>
      <c r="E38" s="316">
        <f t="shared" si="1"/>
        <v>9.2799999999999994</v>
      </c>
      <c r="F38" s="311"/>
    </row>
    <row r="39" spans="1:6">
      <c r="A39" s="311" t="s">
        <v>468</v>
      </c>
      <c r="B39" s="311" t="s">
        <v>467</v>
      </c>
      <c r="C39" s="315">
        <v>11.2</v>
      </c>
      <c r="D39" s="318">
        <f>D38</f>
        <v>0.08</v>
      </c>
      <c r="E39" s="316">
        <f t="shared" si="1"/>
        <v>11.28</v>
      </c>
      <c r="F39" s="311"/>
    </row>
    <row r="40" spans="1:6">
      <c r="A40" s="311" t="s">
        <v>469</v>
      </c>
      <c r="B40" s="311" t="s">
        <v>452</v>
      </c>
      <c r="C40" s="315">
        <v>33.9</v>
      </c>
      <c r="D40" s="318">
        <f>ROUND('Disposal Calc'!L32,2)</f>
        <v>0.48</v>
      </c>
      <c r="E40" s="316">
        <f t="shared" si="1"/>
        <v>34.380000000000003</v>
      </c>
      <c r="F40" s="311"/>
    </row>
    <row r="41" spans="1:6">
      <c r="A41" s="311" t="s">
        <v>469</v>
      </c>
      <c r="B41" s="311" t="s">
        <v>456</v>
      </c>
      <c r="C41" s="315">
        <v>36.9</v>
      </c>
      <c r="D41" s="318">
        <f>D40</f>
        <v>0.48</v>
      </c>
      <c r="E41" s="316">
        <f t="shared" si="1"/>
        <v>37.380000000000003</v>
      </c>
      <c r="F41" s="311"/>
    </row>
    <row r="42" spans="1:6">
      <c r="A42" s="311" t="s">
        <v>469</v>
      </c>
      <c r="B42" s="311" t="s">
        <v>464</v>
      </c>
      <c r="C42" s="315">
        <v>21.09</v>
      </c>
      <c r="D42" s="318">
        <f>ROUND('Disposal Calc'!L34,2)</f>
        <v>0.24</v>
      </c>
      <c r="E42" s="316">
        <f t="shared" si="1"/>
        <v>21.33</v>
      </c>
      <c r="F42" s="311"/>
    </row>
    <row r="43" spans="1:6">
      <c r="A43" s="311" t="s">
        <v>469</v>
      </c>
      <c r="B43" s="311" t="s">
        <v>465</v>
      </c>
      <c r="C43" s="315">
        <v>24.09</v>
      </c>
      <c r="D43" s="318">
        <f>D42</f>
        <v>0.24</v>
      </c>
      <c r="E43" s="316">
        <f t="shared" si="1"/>
        <v>24.33</v>
      </c>
      <c r="F43" s="311"/>
    </row>
    <row r="44" spans="1:6">
      <c r="A44" s="311" t="s">
        <v>469</v>
      </c>
      <c r="B44" s="311" t="s">
        <v>466</v>
      </c>
      <c r="C44" s="315">
        <v>12.61</v>
      </c>
      <c r="D44" s="318">
        <f>ROUND('Disposal Calc'!L30,2)</f>
        <v>0.11</v>
      </c>
      <c r="E44" s="316">
        <f t="shared" si="1"/>
        <v>12.72</v>
      </c>
      <c r="F44" s="311"/>
    </row>
    <row r="45" spans="1:6">
      <c r="A45" s="311" t="s">
        <v>469</v>
      </c>
      <c r="B45" s="311" t="s">
        <v>467</v>
      </c>
      <c r="C45" s="315">
        <v>15.61</v>
      </c>
      <c r="D45" s="318">
        <f>D44</f>
        <v>0.11</v>
      </c>
      <c r="E45" s="316">
        <f t="shared" si="1"/>
        <v>15.72</v>
      </c>
      <c r="F45" s="311"/>
    </row>
    <row r="46" spans="1:6">
      <c r="A46" s="311"/>
      <c r="B46" s="311"/>
      <c r="C46" s="315"/>
      <c r="D46" s="311"/>
      <c r="E46" s="311"/>
      <c r="F46" s="311"/>
    </row>
    <row r="47" spans="1:6">
      <c r="A47" s="312" t="s">
        <v>470</v>
      </c>
      <c r="B47" s="311"/>
      <c r="C47" s="315"/>
      <c r="D47" s="311"/>
      <c r="E47" s="311"/>
      <c r="F47" s="311"/>
    </row>
    <row r="48" spans="1:6">
      <c r="A48" s="311" t="s">
        <v>471</v>
      </c>
      <c r="B48" s="311" t="s">
        <v>472</v>
      </c>
      <c r="C48" s="315">
        <v>4.2300000000000004</v>
      </c>
      <c r="D48" s="315">
        <f>ROUND('Disposal Calc'!L39,2)</f>
        <v>0.06</v>
      </c>
      <c r="E48" s="316">
        <f t="shared" ref="E48:E52" si="2">ROUND(C48+D48,2)</f>
        <v>4.29</v>
      </c>
      <c r="F48" s="311"/>
    </row>
    <row r="49" spans="1:6">
      <c r="A49" s="311" t="s">
        <v>468</v>
      </c>
      <c r="B49" s="311" t="s">
        <v>472</v>
      </c>
      <c r="C49" s="315">
        <v>9.1</v>
      </c>
      <c r="D49" s="316">
        <f>ROUND('Disposal Calc'!L44,2)</f>
        <v>0.08</v>
      </c>
      <c r="E49" s="316">
        <f t="shared" si="2"/>
        <v>9.18</v>
      </c>
      <c r="F49" s="311"/>
    </row>
    <row r="50" spans="1:6">
      <c r="A50" s="311" t="s">
        <v>469</v>
      </c>
      <c r="B50" s="311" t="s">
        <v>472</v>
      </c>
      <c r="C50" s="315">
        <v>11.96</v>
      </c>
      <c r="D50" s="316">
        <f>ROUND('Disposal Calc'!L45,2)</f>
        <v>0.11</v>
      </c>
      <c r="E50" s="316">
        <f t="shared" si="2"/>
        <v>12.07</v>
      </c>
      <c r="F50" s="311"/>
    </row>
    <row r="51" spans="1:6">
      <c r="A51" s="311" t="s">
        <v>473</v>
      </c>
      <c r="B51" s="311" t="s">
        <v>472</v>
      </c>
      <c r="C51" s="315">
        <v>7.73</v>
      </c>
      <c r="D51" s="316">
        <f>ROUND('Disposal Calc'!L51,2)</f>
        <v>0.06</v>
      </c>
      <c r="E51" s="316">
        <f t="shared" si="2"/>
        <v>7.79</v>
      </c>
      <c r="F51" s="311"/>
    </row>
    <row r="52" spans="1:6">
      <c r="A52" s="311" t="s">
        <v>439</v>
      </c>
      <c r="B52" s="311" t="s">
        <v>472</v>
      </c>
      <c r="C52" s="315">
        <v>4.93</v>
      </c>
      <c r="D52" s="316">
        <f>ROUND('Disposal Calc'!L50,2)</f>
        <v>0.06</v>
      </c>
      <c r="E52" s="316">
        <f t="shared" si="2"/>
        <v>4.99</v>
      </c>
      <c r="F52" s="311"/>
    </row>
    <row r="53" spans="1:6">
      <c r="A53" s="311"/>
      <c r="B53" s="311"/>
      <c r="C53" s="315"/>
      <c r="D53" s="311"/>
      <c r="E53" s="311"/>
      <c r="F53" s="311"/>
    </row>
    <row r="54" spans="1:6">
      <c r="A54" s="312" t="s">
        <v>644</v>
      </c>
      <c r="B54" s="311"/>
      <c r="C54" s="315"/>
      <c r="D54" s="311"/>
      <c r="E54" s="311"/>
      <c r="F54" s="311"/>
    </row>
    <row r="55" spans="1:6">
      <c r="A55" s="311" t="s">
        <v>468</v>
      </c>
      <c r="B55" s="311" t="s">
        <v>474</v>
      </c>
      <c r="C55" s="315">
        <v>21.48</v>
      </c>
      <c r="D55" s="315">
        <f>'Disposal Calc'!L126</f>
        <v>0.24693457384934897</v>
      </c>
      <c r="E55" s="316">
        <f t="shared" ref="E55:E56" si="3">ROUND(C55+D55,2)</f>
        <v>21.73</v>
      </c>
      <c r="F55" s="311"/>
    </row>
    <row r="56" spans="1:6">
      <c r="A56" s="311" t="s">
        <v>469</v>
      </c>
      <c r="B56" s="311" t="s">
        <v>474</v>
      </c>
      <c r="C56" s="315">
        <v>27.99</v>
      </c>
      <c r="D56" s="315">
        <f>'Disposal Calc'!L127</f>
        <v>0.35726704301607942</v>
      </c>
      <c r="E56" s="316">
        <f t="shared" si="3"/>
        <v>28.35</v>
      </c>
      <c r="F56" s="311"/>
    </row>
    <row r="57" spans="1:6">
      <c r="B57" s="10"/>
      <c r="C57" s="317"/>
      <c r="D57" s="319"/>
    </row>
    <row r="58" spans="1:6">
      <c r="A58" s="312" t="s">
        <v>645</v>
      </c>
      <c r="B58" s="311"/>
      <c r="C58" s="315"/>
      <c r="D58" s="314"/>
      <c r="E58" s="311"/>
      <c r="F58" s="311"/>
    </row>
    <row r="59" spans="1:6">
      <c r="A59" s="311" t="s">
        <v>471</v>
      </c>
      <c r="B59" s="311" t="s">
        <v>472</v>
      </c>
      <c r="C59" s="315">
        <v>3.57</v>
      </c>
      <c r="D59" s="315">
        <f>'Disposal Calc'!L128</f>
        <v>5.6984901657542081E-2</v>
      </c>
      <c r="E59" s="316">
        <f t="shared" ref="E59:E61" si="4">ROUND(C59+D59,2)</f>
        <v>3.63</v>
      </c>
      <c r="F59" s="311"/>
    </row>
    <row r="60" spans="1:6">
      <c r="A60" s="311" t="s">
        <v>468</v>
      </c>
      <c r="B60" s="311" t="s">
        <v>472</v>
      </c>
      <c r="C60" s="315">
        <v>8.1199999999999992</v>
      </c>
      <c r="D60" s="315">
        <f>D55/References!B11</f>
        <v>5.6984901657542074E-2</v>
      </c>
      <c r="E60" s="316">
        <f t="shared" si="4"/>
        <v>8.18</v>
      </c>
      <c r="F60" s="311"/>
    </row>
    <row r="61" spans="1:6">
      <c r="A61" s="311" t="s">
        <v>469</v>
      </c>
      <c r="B61" s="311" t="s">
        <v>472</v>
      </c>
      <c r="C61" s="315">
        <v>10.6</v>
      </c>
      <c r="D61" s="315">
        <f>D56/References!B11</f>
        <v>8.244624069601833E-2</v>
      </c>
      <c r="E61" s="316">
        <f t="shared" si="4"/>
        <v>10.68</v>
      </c>
      <c r="F61" s="311"/>
    </row>
    <row r="62" spans="1:6">
      <c r="B62" s="10"/>
      <c r="C62" s="317"/>
      <c r="D62" s="319"/>
    </row>
    <row r="63" spans="1:6">
      <c r="A63" s="312" t="s">
        <v>646</v>
      </c>
      <c r="B63" s="311"/>
      <c r="C63" s="315"/>
      <c r="D63" s="314"/>
      <c r="E63" s="311"/>
      <c r="F63" s="311"/>
    </row>
    <row r="64" spans="1:6">
      <c r="A64" s="311" t="s">
        <v>440</v>
      </c>
      <c r="B64" s="311" t="s">
        <v>475</v>
      </c>
      <c r="C64" s="315">
        <v>27.31</v>
      </c>
      <c r="D64" s="315">
        <f>'Disposal Calc'!L135</f>
        <v>0.21217782532063545</v>
      </c>
      <c r="E64" s="316">
        <f t="shared" ref="E64:E77" si="5">ROUND(C64+D64,2)</f>
        <v>27.52</v>
      </c>
      <c r="F64" s="311"/>
    </row>
    <row r="65" spans="1:6">
      <c r="A65" s="311"/>
      <c r="B65" s="311" t="s">
        <v>476</v>
      </c>
      <c r="C65" s="315">
        <v>14.17</v>
      </c>
      <c r="D65" s="315">
        <f>D64</f>
        <v>0.21217782532063545</v>
      </c>
      <c r="E65" s="316">
        <f t="shared" si="5"/>
        <v>14.38</v>
      </c>
      <c r="F65" s="311"/>
    </row>
    <row r="66" spans="1:6">
      <c r="A66" s="311" t="s">
        <v>441</v>
      </c>
      <c r="B66" s="311" t="s">
        <v>475</v>
      </c>
      <c r="C66" s="315">
        <v>37.369999999999997</v>
      </c>
      <c r="D66" s="315">
        <f>'Disposal Calc'!L136</f>
        <v>0.30311117902947915</v>
      </c>
      <c r="E66" s="316">
        <f t="shared" si="5"/>
        <v>37.67</v>
      </c>
      <c r="F66" s="311"/>
    </row>
    <row r="67" spans="1:6">
      <c r="A67" s="311"/>
      <c r="B67" s="311" t="s">
        <v>476</v>
      </c>
      <c r="C67" s="315">
        <v>19.420000000000002</v>
      </c>
      <c r="D67" s="315">
        <f>D66</f>
        <v>0.30311117902947915</v>
      </c>
      <c r="E67" s="316">
        <f t="shared" si="5"/>
        <v>19.72</v>
      </c>
      <c r="F67" s="311"/>
    </row>
    <row r="68" spans="1:6">
      <c r="A68" s="311" t="s">
        <v>442</v>
      </c>
      <c r="B68" s="311" t="s">
        <v>475</v>
      </c>
      <c r="C68" s="315">
        <v>44.68</v>
      </c>
      <c r="D68" s="315">
        <f>'Disposal Calc'!L137</f>
        <v>0.39283208802220498</v>
      </c>
      <c r="E68" s="316">
        <f t="shared" si="5"/>
        <v>45.07</v>
      </c>
      <c r="F68" s="311"/>
    </row>
    <row r="69" spans="1:6">
      <c r="A69" s="311"/>
      <c r="B69" s="311" t="s">
        <v>476</v>
      </c>
      <c r="C69" s="315">
        <v>25.67</v>
      </c>
      <c r="D69" s="315">
        <f>D68</f>
        <v>0.39283208802220498</v>
      </c>
      <c r="E69" s="316">
        <f t="shared" si="5"/>
        <v>26.06</v>
      </c>
      <c r="F69" s="311"/>
    </row>
    <row r="70" spans="1:6">
      <c r="A70" s="311" t="s">
        <v>477</v>
      </c>
      <c r="B70" s="311" t="s">
        <v>475</v>
      </c>
      <c r="C70" s="315">
        <v>59.41</v>
      </c>
      <c r="D70" s="315">
        <f>'Disposal Calc'!L138</f>
        <v>0.57348635072377463</v>
      </c>
      <c r="E70" s="316">
        <f t="shared" si="5"/>
        <v>59.98</v>
      </c>
      <c r="F70" s="311"/>
    </row>
    <row r="71" spans="1:6">
      <c r="A71" s="311"/>
      <c r="B71" s="311" t="s">
        <v>476</v>
      </c>
      <c r="C71" s="315">
        <v>35.659999999999997</v>
      </c>
      <c r="D71" s="315">
        <f>D70</f>
        <v>0.57348635072377463</v>
      </c>
      <c r="E71" s="316">
        <f t="shared" si="5"/>
        <v>36.229999999999997</v>
      </c>
      <c r="F71" s="311"/>
    </row>
    <row r="72" spans="1:6">
      <c r="A72" s="311" t="s">
        <v>443</v>
      </c>
      <c r="B72" s="311" t="s">
        <v>475</v>
      </c>
      <c r="C72" s="315">
        <v>74.209999999999994</v>
      </c>
      <c r="D72" s="315">
        <f>'Disposal Calc'!L129</f>
        <v>0.74322861098028281</v>
      </c>
      <c r="E72" s="316">
        <f t="shared" si="5"/>
        <v>74.95</v>
      </c>
      <c r="F72" s="311"/>
    </row>
    <row r="73" spans="1:6">
      <c r="A73" s="311"/>
      <c r="B73" s="311" t="s">
        <v>476</v>
      </c>
      <c r="C73" s="315">
        <v>48.87</v>
      </c>
      <c r="D73" s="315">
        <f>D72</f>
        <v>0.74322861098028281</v>
      </c>
      <c r="E73" s="316">
        <f t="shared" si="5"/>
        <v>49.61</v>
      </c>
      <c r="F73" s="311"/>
    </row>
    <row r="74" spans="1:6">
      <c r="A74" s="311" t="s">
        <v>444</v>
      </c>
      <c r="B74" s="311" t="s">
        <v>475</v>
      </c>
      <c r="C74" s="315">
        <v>97.84</v>
      </c>
      <c r="D74" s="315">
        <f>'Disposal Calc'!L130</f>
        <v>1.0184535615390498</v>
      </c>
      <c r="E74" s="316">
        <f t="shared" si="5"/>
        <v>98.86</v>
      </c>
      <c r="F74" s="311"/>
    </row>
    <row r="75" spans="1:6">
      <c r="A75" s="311"/>
      <c r="B75" s="311" t="s">
        <v>476</v>
      </c>
      <c r="C75" s="315">
        <v>66.16</v>
      </c>
      <c r="D75" s="315">
        <f>D74</f>
        <v>1.0184535615390498</v>
      </c>
      <c r="E75" s="316">
        <f t="shared" si="5"/>
        <v>67.180000000000007</v>
      </c>
      <c r="F75" s="311"/>
    </row>
    <row r="76" spans="1:6">
      <c r="A76" s="311" t="s">
        <v>478</v>
      </c>
      <c r="B76" s="311" t="s">
        <v>475</v>
      </c>
      <c r="C76" s="315">
        <v>127.31</v>
      </c>
      <c r="D76" s="315">
        <f>'Disposal Calc'!L139</f>
        <v>1.1881958217955582</v>
      </c>
      <c r="E76" s="316">
        <f t="shared" si="5"/>
        <v>128.5</v>
      </c>
      <c r="F76" s="311"/>
    </row>
    <row r="77" spans="1:6">
      <c r="A77" s="311"/>
      <c r="B77" s="311" t="s">
        <v>476</v>
      </c>
      <c r="C77" s="315">
        <v>89.29</v>
      </c>
      <c r="D77" s="315">
        <f>D76</f>
        <v>1.1881958217955582</v>
      </c>
      <c r="E77" s="316">
        <f t="shared" si="5"/>
        <v>90.48</v>
      </c>
      <c r="F77" s="311"/>
    </row>
    <row r="78" spans="1:6">
      <c r="B78" s="10"/>
      <c r="C78" s="317"/>
      <c r="D78" s="319"/>
    </row>
    <row r="79" spans="1:6">
      <c r="A79" s="311" t="s">
        <v>479</v>
      </c>
      <c r="B79" s="311"/>
      <c r="C79" s="315"/>
      <c r="D79" s="314"/>
      <c r="E79" s="311"/>
      <c r="F79" s="311"/>
    </row>
    <row r="80" spans="1:6">
      <c r="A80" s="311" t="s">
        <v>440</v>
      </c>
      <c r="B80" s="311" t="s">
        <v>472</v>
      </c>
      <c r="C80" s="315">
        <v>34.17</v>
      </c>
      <c r="D80" s="315">
        <f>D64</f>
        <v>0.21217782532063545</v>
      </c>
      <c r="E80" s="316">
        <f t="shared" ref="E80:E86" si="6">ROUND(C80+D80,2)</f>
        <v>34.380000000000003</v>
      </c>
      <c r="F80" s="311"/>
    </row>
    <row r="81" spans="1:6">
      <c r="A81" s="311" t="s">
        <v>441</v>
      </c>
      <c r="B81" s="311" t="s">
        <v>472</v>
      </c>
      <c r="C81" s="315">
        <v>39.42</v>
      </c>
      <c r="D81" s="315">
        <f>D66</f>
        <v>0.30311117902947915</v>
      </c>
      <c r="E81" s="316">
        <f t="shared" si="6"/>
        <v>39.72</v>
      </c>
      <c r="F81" s="311"/>
    </row>
    <row r="82" spans="1:6">
      <c r="A82" s="311" t="s">
        <v>442</v>
      </c>
      <c r="B82" s="311" t="s">
        <v>472</v>
      </c>
      <c r="C82" s="315">
        <v>45.67</v>
      </c>
      <c r="D82" s="315">
        <f>D68</f>
        <v>0.39283208802220498</v>
      </c>
      <c r="E82" s="316">
        <f t="shared" si="6"/>
        <v>46.06</v>
      </c>
    </row>
    <row r="83" spans="1:6">
      <c r="A83" s="311" t="s">
        <v>477</v>
      </c>
      <c r="B83" s="311" t="s">
        <v>472</v>
      </c>
      <c r="C83" s="315">
        <v>55.66</v>
      </c>
      <c r="D83" s="315">
        <f>D70</f>
        <v>0.57348635072377463</v>
      </c>
      <c r="E83" s="316">
        <f t="shared" si="6"/>
        <v>56.23</v>
      </c>
    </row>
    <row r="84" spans="1:6">
      <c r="A84" s="311" t="s">
        <v>443</v>
      </c>
      <c r="B84" s="311" t="s">
        <v>472</v>
      </c>
      <c r="C84" s="315">
        <v>68.87</v>
      </c>
      <c r="D84" s="315">
        <f>D72</f>
        <v>0.74322861098028281</v>
      </c>
      <c r="E84" s="316">
        <f t="shared" si="6"/>
        <v>69.61</v>
      </c>
    </row>
    <row r="85" spans="1:6">
      <c r="A85" s="311" t="s">
        <v>444</v>
      </c>
      <c r="B85" s="311" t="s">
        <v>472</v>
      </c>
      <c r="C85" s="315">
        <v>86.16</v>
      </c>
      <c r="D85" s="315">
        <f>D74</f>
        <v>1.0184535615390498</v>
      </c>
      <c r="E85" s="316">
        <f t="shared" si="6"/>
        <v>87.18</v>
      </c>
    </row>
    <row r="86" spans="1:6">
      <c r="A86" s="311" t="s">
        <v>478</v>
      </c>
      <c r="B86" s="311" t="s">
        <v>472</v>
      </c>
      <c r="C86" s="315">
        <v>109.29</v>
      </c>
      <c r="D86" s="315">
        <f>D76</f>
        <v>1.1881958217955582</v>
      </c>
      <c r="E86" s="316">
        <f t="shared" si="6"/>
        <v>110.48</v>
      </c>
    </row>
    <row r="87" spans="1:6">
      <c r="A87" s="311"/>
      <c r="B87" s="311"/>
      <c r="C87" s="315"/>
      <c r="D87" s="315"/>
      <c r="E87" s="318"/>
    </row>
    <row r="88" spans="1:6">
      <c r="A88" s="311" t="s">
        <v>480</v>
      </c>
      <c r="B88" s="311"/>
      <c r="C88" s="315"/>
      <c r="D88" s="314"/>
      <c r="E88" s="311"/>
    </row>
    <row r="89" spans="1:6">
      <c r="A89" s="311" t="s">
        <v>440</v>
      </c>
      <c r="B89" s="311" t="s">
        <v>472</v>
      </c>
      <c r="C89" s="315">
        <v>19.170000000000002</v>
      </c>
      <c r="D89" s="315">
        <f>D80</f>
        <v>0.21217782532063545</v>
      </c>
      <c r="E89" s="316">
        <f t="shared" ref="E89:E95" si="7">ROUND(C89+D89,2)</f>
        <v>19.38</v>
      </c>
    </row>
    <row r="90" spans="1:6">
      <c r="A90" s="311" t="s">
        <v>441</v>
      </c>
      <c r="B90" s="311" t="s">
        <v>472</v>
      </c>
      <c r="C90" s="315">
        <v>24.42</v>
      </c>
      <c r="D90" s="315">
        <f t="shared" ref="D90:D95" si="8">D81</f>
        <v>0.30311117902947915</v>
      </c>
      <c r="E90" s="316">
        <f t="shared" si="7"/>
        <v>24.72</v>
      </c>
    </row>
    <row r="91" spans="1:6">
      <c r="A91" s="311" t="s">
        <v>442</v>
      </c>
      <c r="B91" s="311" t="s">
        <v>472</v>
      </c>
      <c r="C91" s="315">
        <v>30.67</v>
      </c>
      <c r="D91" s="315">
        <f t="shared" si="8"/>
        <v>0.39283208802220498</v>
      </c>
      <c r="E91" s="316">
        <f t="shared" si="7"/>
        <v>31.06</v>
      </c>
    </row>
    <row r="92" spans="1:6">
      <c r="A92" s="311" t="s">
        <v>477</v>
      </c>
      <c r="B92" s="311" t="s">
        <v>472</v>
      </c>
      <c r="C92" s="315">
        <v>40.659999999999997</v>
      </c>
      <c r="D92" s="315">
        <f t="shared" si="8"/>
        <v>0.57348635072377463</v>
      </c>
      <c r="E92" s="316">
        <f t="shared" si="7"/>
        <v>41.23</v>
      </c>
    </row>
    <row r="93" spans="1:6">
      <c r="A93" s="311" t="s">
        <v>443</v>
      </c>
      <c r="B93" s="311" t="s">
        <v>472</v>
      </c>
      <c r="C93" s="315">
        <v>53.87</v>
      </c>
      <c r="D93" s="315">
        <f t="shared" si="8"/>
        <v>0.74322861098028281</v>
      </c>
      <c r="E93" s="316">
        <f t="shared" si="7"/>
        <v>54.61</v>
      </c>
    </row>
    <row r="94" spans="1:6">
      <c r="A94" s="311" t="s">
        <v>444</v>
      </c>
      <c r="B94" s="311" t="s">
        <v>472</v>
      </c>
      <c r="C94" s="315">
        <v>71.16</v>
      </c>
      <c r="D94" s="315">
        <f t="shared" si="8"/>
        <v>1.0184535615390498</v>
      </c>
      <c r="E94" s="316">
        <f t="shared" si="7"/>
        <v>72.180000000000007</v>
      </c>
    </row>
    <row r="95" spans="1:6">
      <c r="A95" s="311" t="s">
        <v>478</v>
      </c>
      <c r="B95" s="311" t="s">
        <v>472</v>
      </c>
      <c r="C95" s="315">
        <v>94.29</v>
      </c>
      <c r="D95" s="315">
        <f t="shared" si="8"/>
        <v>1.1881958217955582</v>
      </c>
      <c r="E95" s="316">
        <f t="shared" si="7"/>
        <v>95.48</v>
      </c>
    </row>
    <row r="96" spans="1:6">
      <c r="A96" s="311"/>
      <c r="B96" s="311"/>
      <c r="C96" s="315"/>
      <c r="D96" s="316"/>
      <c r="E96" s="318"/>
    </row>
    <row r="97" spans="1:5">
      <c r="A97" s="312" t="s">
        <v>481</v>
      </c>
      <c r="B97" s="311"/>
      <c r="C97" s="315"/>
      <c r="D97" s="311"/>
      <c r="E97" s="311"/>
    </row>
    <row r="98" spans="1:5">
      <c r="A98" s="311" t="s">
        <v>482</v>
      </c>
      <c r="B98" s="311" t="s">
        <v>472</v>
      </c>
      <c r="C98" s="315">
        <v>31.47</v>
      </c>
      <c r="D98" s="316">
        <f>ROUND('Disposal Calc'!L109,2)</f>
        <v>0.2</v>
      </c>
      <c r="E98" s="316">
        <f t="shared" ref="E98:E103" si="9">ROUND(C98+D98,2)</f>
        <v>31.67</v>
      </c>
    </row>
    <row r="99" spans="1:5">
      <c r="A99" s="311" t="s">
        <v>483</v>
      </c>
      <c r="B99" s="311" t="s">
        <v>472</v>
      </c>
      <c r="C99" s="315">
        <v>31.47</v>
      </c>
      <c r="D99" s="316">
        <f>D98</f>
        <v>0.2</v>
      </c>
      <c r="E99" s="316">
        <f t="shared" si="9"/>
        <v>31.67</v>
      </c>
    </row>
    <row r="100" spans="1:5">
      <c r="A100" s="311" t="s">
        <v>484</v>
      </c>
      <c r="B100" s="311"/>
      <c r="C100" s="315">
        <v>31.47</v>
      </c>
      <c r="D100" s="316">
        <f t="shared" ref="D100:D103" si="10">D99</f>
        <v>0.2</v>
      </c>
      <c r="E100" s="316">
        <f t="shared" si="9"/>
        <v>31.67</v>
      </c>
    </row>
    <row r="101" spans="1:5">
      <c r="A101" s="311" t="s">
        <v>484</v>
      </c>
      <c r="B101" s="311"/>
      <c r="C101" s="315">
        <v>31.47</v>
      </c>
      <c r="D101" s="316">
        <f t="shared" si="10"/>
        <v>0.2</v>
      </c>
      <c r="E101" s="316">
        <f t="shared" si="9"/>
        <v>31.67</v>
      </c>
    </row>
    <row r="102" spans="1:5">
      <c r="A102" s="311" t="s">
        <v>485</v>
      </c>
      <c r="B102" s="311"/>
      <c r="C102" s="315">
        <v>31.47</v>
      </c>
      <c r="D102" s="316">
        <f t="shared" si="10"/>
        <v>0.2</v>
      </c>
      <c r="E102" s="316">
        <f t="shared" si="9"/>
        <v>31.67</v>
      </c>
    </row>
    <row r="103" spans="1:5">
      <c r="A103" s="311" t="s">
        <v>485</v>
      </c>
      <c r="B103" s="311"/>
      <c r="C103" s="315">
        <v>31.47</v>
      </c>
      <c r="D103" s="316">
        <f t="shared" si="10"/>
        <v>0.2</v>
      </c>
      <c r="E103" s="316">
        <f t="shared" si="9"/>
        <v>31.67</v>
      </c>
    </row>
    <row r="104" spans="1:5">
      <c r="B104" s="10"/>
      <c r="C104" s="317"/>
    </row>
    <row r="105" spans="1:5">
      <c r="A105" s="312" t="s">
        <v>486</v>
      </c>
      <c r="B105" s="311"/>
      <c r="C105" s="315"/>
      <c r="D105" s="311"/>
      <c r="E105" s="311"/>
    </row>
    <row r="106" spans="1:5">
      <c r="A106" s="311" t="s">
        <v>487</v>
      </c>
      <c r="B106" s="311" t="s">
        <v>488</v>
      </c>
      <c r="C106" s="315">
        <v>0.19</v>
      </c>
      <c r="D106" s="383">
        <f>ROUND(References!C56/References!G59,2)</f>
        <v>0</v>
      </c>
      <c r="E106" s="316">
        <f>ROUND(C106+D106,2)</f>
        <v>0.19</v>
      </c>
    </row>
    <row r="107" spans="1:5">
      <c r="B107" s="10"/>
      <c r="C107" s="317"/>
    </row>
    <row r="108" spans="1:5">
      <c r="A108" s="312" t="s">
        <v>489</v>
      </c>
      <c r="B108" s="311"/>
      <c r="C108" s="315"/>
      <c r="D108" s="311"/>
      <c r="E108" s="311"/>
    </row>
    <row r="109" spans="1:5">
      <c r="A109" s="311" t="s">
        <v>487</v>
      </c>
      <c r="B109" s="311" t="s">
        <v>490</v>
      </c>
      <c r="C109" s="315">
        <v>153.47999999999999</v>
      </c>
      <c r="D109" s="318">
        <f>References!B56</f>
        <v>3.9000000000000057</v>
      </c>
      <c r="E109" s="316">
        <f t="shared" ref="E109:E111" si="11">ROUND(C109+D109,2)</f>
        <v>157.38</v>
      </c>
    </row>
    <row r="110" spans="1:5">
      <c r="A110" s="311" t="s">
        <v>667</v>
      </c>
      <c r="B110" s="311" t="s">
        <v>472</v>
      </c>
      <c r="C110" s="315">
        <v>33</v>
      </c>
      <c r="D110" s="384">
        <f>+E110-C110</f>
        <v>7</v>
      </c>
      <c r="E110" s="316">
        <v>40</v>
      </c>
    </row>
    <row r="111" spans="1:5">
      <c r="A111" s="311" t="s">
        <v>491</v>
      </c>
      <c r="B111" s="311" t="s">
        <v>490</v>
      </c>
      <c r="C111" s="315">
        <v>104.59</v>
      </c>
      <c r="D111" s="318">
        <f>References!D56</f>
        <v>3.2399999999999949</v>
      </c>
      <c r="E111" s="316">
        <f t="shared" si="11"/>
        <v>107.83</v>
      </c>
    </row>
    <row r="112" spans="1:5">
      <c r="B112" s="10"/>
      <c r="C112" s="317"/>
    </row>
    <row r="113" spans="1:7">
      <c r="A113" s="312" t="s">
        <v>492</v>
      </c>
      <c r="B113" s="311"/>
      <c r="C113" s="315"/>
      <c r="D113" s="311"/>
      <c r="E113" s="311"/>
    </row>
    <row r="114" spans="1:7">
      <c r="A114" s="311" t="s">
        <v>440</v>
      </c>
      <c r="B114" s="311" t="s">
        <v>475</v>
      </c>
      <c r="C114" s="315">
        <v>30.93</v>
      </c>
      <c r="D114" s="316">
        <f>ROUND('Disposal Calc'!L53,2)</f>
        <v>0.28999999999999998</v>
      </c>
      <c r="E114" s="316">
        <f t="shared" ref="E114:E125" si="12">ROUND(C114+D114,2)</f>
        <v>31.22</v>
      </c>
      <c r="G114" s="27"/>
    </row>
    <row r="115" spans="1:7">
      <c r="A115" s="311"/>
      <c r="B115" s="311" t="s">
        <v>476</v>
      </c>
      <c r="C115" s="315">
        <v>17.79</v>
      </c>
      <c r="D115" s="316">
        <f>D114</f>
        <v>0.28999999999999998</v>
      </c>
      <c r="E115" s="316">
        <f t="shared" si="12"/>
        <v>18.079999999999998</v>
      </c>
      <c r="F115" s="311"/>
      <c r="G115" s="27"/>
    </row>
    <row r="116" spans="1:7">
      <c r="A116" s="311" t="s">
        <v>441</v>
      </c>
      <c r="B116" s="311" t="s">
        <v>475</v>
      </c>
      <c r="C116" s="315">
        <v>42.28</v>
      </c>
      <c r="D116" s="316">
        <f>ROUND('Disposal Calc'!L56,2)</f>
        <v>0.41</v>
      </c>
      <c r="E116" s="316">
        <f t="shared" si="12"/>
        <v>42.69</v>
      </c>
      <c r="F116" s="316"/>
      <c r="G116" s="27"/>
    </row>
    <row r="117" spans="1:7">
      <c r="A117" s="311"/>
      <c r="B117" s="311" t="s">
        <v>476</v>
      </c>
      <c r="C117" s="315">
        <v>24.33</v>
      </c>
      <c r="D117" s="316">
        <f>D116</f>
        <v>0.41</v>
      </c>
      <c r="E117" s="316">
        <f t="shared" si="12"/>
        <v>24.74</v>
      </c>
      <c r="F117" s="311"/>
      <c r="G117" s="27"/>
    </row>
    <row r="118" spans="1:7">
      <c r="A118" s="311" t="s">
        <v>442</v>
      </c>
      <c r="B118" s="311" t="s">
        <v>475</v>
      </c>
      <c r="C118" s="315">
        <v>51.07</v>
      </c>
      <c r="D118" s="316">
        <f>ROUND('Disposal Calc'!L59,2)</f>
        <v>0.53</v>
      </c>
      <c r="E118" s="316">
        <f t="shared" si="12"/>
        <v>51.6</v>
      </c>
      <c r="F118" s="311"/>
      <c r="G118" s="27"/>
    </row>
    <row r="119" spans="1:7">
      <c r="A119" s="311"/>
      <c r="B119" s="311" t="s">
        <v>476</v>
      </c>
      <c r="C119" s="315">
        <v>32.06</v>
      </c>
      <c r="D119" s="316">
        <f>D118</f>
        <v>0.53</v>
      </c>
      <c r="E119" s="316">
        <f t="shared" si="12"/>
        <v>32.590000000000003</v>
      </c>
      <c r="F119" s="311"/>
      <c r="G119" s="27"/>
    </row>
    <row r="120" spans="1:7">
      <c r="A120" s="311" t="s">
        <v>477</v>
      </c>
      <c r="B120" s="311" t="s">
        <v>475</v>
      </c>
      <c r="C120" s="315">
        <v>69.12</v>
      </c>
      <c r="D120" s="318">
        <f>ROUND('Disposal Calc'!L62,2)</f>
        <v>0.78</v>
      </c>
      <c r="E120" s="316">
        <f t="shared" si="12"/>
        <v>69.900000000000006</v>
      </c>
      <c r="F120" s="311"/>
      <c r="G120" s="27"/>
    </row>
    <row r="121" spans="1:7">
      <c r="A121" s="311"/>
      <c r="B121" s="311" t="s">
        <v>476</v>
      </c>
      <c r="C121" s="315">
        <v>45.37</v>
      </c>
      <c r="D121" s="318">
        <f>D120</f>
        <v>0.78</v>
      </c>
      <c r="E121" s="316">
        <f t="shared" si="12"/>
        <v>46.15</v>
      </c>
      <c r="F121" s="311"/>
      <c r="G121" s="27"/>
    </row>
    <row r="122" spans="1:7">
      <c r="A122" s="311" t="s">
        <v>443</v>
      </c>
      <c r="B122" s="311" t="s">
        <v>475</v>
      </c>
      <c r="C122" s="315">
        <v>86.44</v>
      </c>
      <c r="D122" s="318">
        <f>ROUND('Disposal Calc'!L66,2)</f>
        <v>1.01</v>
      </c>
      <c r="E122" s="316">
        <f t="shared" si="12"/>
        <v>87.45</v>
      </c>
      <c r="F122" s="311"/>
      <c r="G122" s="27"/>
    </row>
    <row r="123" spans="1:7">
      <c r="A123" s="311"/>
      <c r="B123" s="311" t="s">
        <v>476</v>
      </c>
      <c r="C123" s="315">
        <v>61.1</v>
      </c>
      <c r="D123" s="318">
        <f>D122</f>
        <v>1.01</v>
      </c>
      <c r="E123" s="316">
        <f t="shared" si="12"/>
        <v>62.11</v>
      </c>
      <c r="F123" s="311"/>
      <c r="G123" s="27"/>
    </row>
    <row r="124" spans="1:7">
      <c r="A124" s="311" t="s">
        <v>444</v>
      </c>
      <c r="B124" s="311" t="s">
        <v>475</v>
      </c>
      <c r="C124" s="315">
        <v>116.04</v>
      </c>
      <c r="D124" s="318">
        <f>ROUND('Disposal Calc'!L69,2)</f>
        <v>1.38</v>
      </c>
      <c r="E124" s="316">
        <f t="shared" si="12"/>
        <v>117.42</v>
      </c>
      <c r="F124" s="311"/>
      <c r="G124" s="27"/>
    </row>
    <row r="125" spans="1:7">
      <c r="A125" s="311"/>
      <c r="B125" s="311" t="s">
        <v>476</v>
      </c>
      <c r="C125" s="315">
        <v>84.36</v>
      </c>
      <c r="D125" s="318">
        <f>D124</f>
        <v>1.38</v>
      </c>
      <c r="E125" s="316">
        <f t="shared" si="12"/>
        <v>85.74</v>
      </c>
      <c r="F125" s="311"/>
      <c r="G125" s="27"/>
    </row>
    <row r="126" spans="1:7">
      <c r="B126" s="10"/>
      <c r="C126" s="317"/>
    </row>
    <row r="127" spans="1:7">
      <c r="A127" s="311" t="s">
        <v>479</v>
      </c>
      <c r="B127" s="311"/>
      <c r="C127" s="315"/>
      <c r="D127" s="311"/>
      <c r="E127" s="311"/>
      <c r="F127" s="311"/>
    </row>
    <row r="128" spans="1:7">
      <c r="A128" s="311" t="s">
        <v>440</v>
      </c>
      <c r="B128" s="311" t="s">
        <v>472</v>
      </c>
      <c r="C128" s="315">
        <v>63.03</v>
      </c>
      <c r="D128" s="316">
        <f>D114</f>
        <v>0.28999999999999998</v>
      </c>
      <c r="E128" s="316">
        <f t="shared" ref="E128:E133" si="13">ROUND(C128+D128,2)</f>
        <v>63.32</v>
      </c>
      <c r="F128" s="311"/>
      <c r="G128" s="27"/>
    </row>
    <row r="129" spans="1:9">
      <c r="A129" s="311" t="s">
        <v>441</v>
      </c>
      <c r="B129" s="311" t="s">
        <v>472</v>
      </c>
      <c r="C129" s="315">
        <v>69.95</v>
      </c>
      <c r="D129" s="316">
        <f>D116</f>
        <v>0.41</v>
      </c>
      <c r="E129" s="316">
        <f t="shared" si="13"/>
        <v>70.36</v>
      </c>
      <c r="F129" s="311"/>
      <c r="G129" s="27"/>
    </row>
    <row r="130" spans="1:9">
      <c r="A130" s="311" t="s">
        <v>442</v>
      </c>
      <c r="B130" s="311" t="s">
        <v>472</v>
      </c>
      <c r="C130" s="315">
        <v>77.930000000000007</v>
      </c>
      <c r="D130" s="316">
        <f>D118</f>
        <v>0.53</v>
      </c>
      <c r="E130" s="316">
        <f t="shared" si="13"/>
        <v>78.459999999999994</v>
      </c>
      <c r="F130" s="311"/>
      <c r="G130" s="27"/>
    </row>
    <row r="131" spans="1:9">
      <c r="A131" s="311" t="s">
        <v>477</v>
      </c>
      <c r="B131" s="311" t="s">
        <v>472</v>
      </c>
      <c r="C131" s="315">
        <v>89.73</v>
      </c>
      <c r="D131" s="316">
        <f>D120</f>
        <v>0.78</v>
      </c>
      <c r="E131" s="316">
        <f t="shared" si="13"/>
        <v>90.51</v>
      </c>
      <c r="F131" s="311"/>
      <c r="G131" s="27"/>
    </row>
    <row r="132" spans="1:9">
      <c r="A132" s="311" t="s">
        <v>443</v>
      </c>
      <c r="B132" s="311" t="s">
        <v>472</v>
      </c>
      <c r="C132" s="315">
        <v>103.34</v>
      </c>
      <c r="D132" s="316">
        <f>D122</f>
        <v>1.01</v>
      </c>
      <c r="E132" s="316">
        <f t="shared" si="13"/>
        <v>104.35</v>
      </c>
      <c r="F132" s="311"/>
      <c r="G132" s="27"/>
    </row>
    <row r="133" spans="1:9">
      <c r="A133" s="311" t="s">
        <v>444</v>
      </c>
      <c r="B133" s="311" t="s">
        <v>472</v>
      </c>
      <c r="C133" s="315">
        <v>122.38</v>
      </c>
      <c r="D133" s="316">
        <f>D124</f>
        <v>1.38</v>
      </c>
      <c r="E133" s="316">
        <f t="shared" si="13"/>
        <v>123.76</v>
      </c>
      <c r="F133" s="311"/>
      <c r="G133" s="27"/>
    </row>
    <row r="134" spans="1:9">
      <c r="B134" s="10"/>
      <c r="C134" s="317"/>
    </row>
    <row r="135" spans="1:9">
      <c r="A135" s="311" t="s">
        <v>480</v>
      </c>
      <c r="B135" s="311"/>
      <c r="C135" s="315"/>
      <c r="D135" s="311"/>
      <c r="E135" s="311"/>
      <c r="F135" s="311"/>
    </row>
    <row r="136" spans="1:9">
      <c r="A136" s="311" t="s">
        <v>440</v>
      </c>
      <c r="B136" s="311" t="s">
        <v>472</v>
      </c>
      <c r="C136" s="315">
        <v>22.58</v>
      </c>
      <c r="D136" s="316">
        <f>D128</f>
        <v>0.28999999999999998</v>
      </c>
      <c r="E136" s="316">
        <f t="shared" ref="E136:E141" si="14">ROUND(C136+D136,2)</f>
        <v>22.87</v>
      </c>
      <c r="F136" s="311"/>
      <c r="G136" s="27"/>
    </row>
    <row r="137" spans="1:9">
      <c r="A137" s="311" t="s">
        <v>441</v>
      </c>
      <c r="B137" s="311" t="s">
        <v>472</v>
      </c>
      <c r="C137" s="315">
        <v>30.06</v>
      </c>
      <c r="D137" s="316">
        <f t="shared" ref="D137:D141" si="15">D129</f>
        <v>0.41</v>
      </c>
      <c r="E137" s="316">
        <f t="shared" si="14"/>
        <v>30.47</v>
      </c>
      <c r="F137" s="311"/>
      <c r="G137" s="27"/>
    </row>
    <row r="138" spans="1:9">
      <c r="A138" s="311" t="s">
        <v>442</v>
      </c>
      <c r="B138" s="311" t="s">
        <v>472</v>
      </c>
      <c r="C138" s="315">
        <v>36.57</v>
      </c>
      <c r="D138" s="316">
        <f t="shared" si="15"/>
        <v>0.53</v>
      </c>
      <c r="E138" s="316">
        <f t="shared" si="14"/>
        <v>37.1</v>
      </c>
      <c r="F138" s="311"/>
      <c r="G138" s="27"/>
    </row>
    <row r="139" spans="1:9">
      <c r="A139" s="311" t="s">
        <v>477</v>
      </c>
      <c r="B139" s="311" t="s">
        <v>472</v>
      </c>
      <c r="C139" s="315">
        <v>51.27</v>
      </c>
      <c r="D139" s="316">
        <f t="shared" si="15"/>
        <v>0.78</v>
      </c>
      <c r="E139" s="316">
        <f t="shared" si="14"/>
        <v>52.05</v>
      </c>
      <c r="F139" s="311"/>
      <c r="G139" s="27"/>
    </row>
    <row r="140" spans="1:9">
      <c r="A140" s="311" t="s">
        <v>443</v>
      </c>
      <c r="B140" s="311" t="s">
        <v>472</v>
      </c>
      <c r="C140" s="315">
        <v>66.069999999999993</v>
      </c>
      <c r="D140" s="316">
        <f t="shared" si="15"/>
        <v>1.01</v>
      </c>
      <c r="E140" s="316">
        <f t="shared" si="14"/>
        <v>67.08</v>
      </c>
      <c r="F140" s="311"/>
      <c r="G140" s="27"/>
    </row>
    <row r="141" spans="1:9">
      <c r="A141" s="311" t="s">
        <v>444</v>
      </c>
      <c r="B141" s="311" t="s">
        <v>472</v>
      </c>
      <c r="C141" s="315">
        <v>92.07</v>
      </c>
      <c r="D141" s="316">
        <f t="shared" si="15"/>
        <v>1.38</v>
      </c>
      <c r="E141" s="316">
        <f t="shared" si="14"/>
        <v>93.45</v>
      </c>
      <c r="F141" s="311"/>
      <c r="G141" s="27"/>
    </row>
    <row r="142" spans="1:9">
      <c r="B142" s="10"/>
      <c r="C142" s="317"/>
    </row>
    <row r="143" spans="1:9">
      <c r="A143" s="312" t="s">
        <v>493</v>
      </c>
      <c r="B143" s="311"/>
      <c r="C143" s="315"/>
      <c r="D143" s="311"/>
      <c r="E143" s="311"/>
      <c r="F143" s="311"/>
    </row>
    <row r="144" spans="1:9">
      <c r="A144" s="311" t="s">
        <v>494</v>
      </c>
      <c r="B144" s="311" t="s">
        <v>472</v>
      </c>
      <c r="C144" s="315">
        <v>3.21</v>
      </c>
      <c r="D144" s="315">
        <f>ROUND('Disposal Calc'!L86/References!B11,2)</f>
        <v>0.05</v>
      </c>
      <c r="E144" s="316">
        <f t="shared" ref="E144:E147" si="16">ROUND(C144+D144,2)</f>
        <v>3.26</v>
      </c>
      <c r="F144" s="318"/>
      <c r="G144" s="27"/>
      <c r="I144" s="8"/>
    </row>
    <row r="145" spans="1:7">
      <c r="A145" s="311" t="s">
        <v>495</v>
      </c>
      <c r="B145" s="311" t="s">
        <v>472</v>
      </c>
      <c r="C145" s="315">
        <v>3.05</v>
      </c>
      <c r="D145" s="315">
        <f>D144</f>
        <v>0.05</v>
      </c>
      <c r="E145" s="316">
        <f t="shared" si="16"/>
        <v>3.1</v>
      </c>
      <c r="F145" s="318"/>
      <c r="G145" s="27"/>
    </row>
    <row r="146" spans="1:7">
      <c r="A146" s="311" t="s">
        <v>496</v>
      </c>
      <c r="B146" s="311" t="s">
        <v>472</v>
      </c>
      <c r="C146" s="315">
        <v>3.21</v>
      </c>
      <c r="D146" s="315">
        <f>D144</f>
        <v>0.05</v>
      </c>
      <c r="E146" s="316">
        <f t="shared" si="16"/>
        <v>3.26</v>
      </c>
      <c r="F146" s="318"/>
      <c r="G146" s="27"/>
    </row>
    <row r="147" spans="1:7">
      <c r="A147" s="311" t="s">
        <v>497</v>
      </c>
      <c r="B147" s="311"/>
      <c r="C147" s="315">
        <v>17.23</v>
      </c>
      <c r="D147" s="315">
        <f>ROUND('Disposal Calc'!L86,2)</f>
        <v>0.21</v>
      </c>
      <c r="E147" s="316">
        <f t="shared" si="16"/>
        <v>17.440000000000001</v>
      </c>
      <c r="F147" s="311"/>
      <c r="G147" s="27"/>
    </row>
    <row r="148" spans="1:7">
      <c r="A148" s="311"/>
      <c r="B148" s="311"/>
      <c r="C148" s="315"/>
      <c r="D148" s="315"/>
      <c r="E148" s="318"/>
      <c r="F148" s="311"/>
    </row>
    <row r="149" spans="1:7">
      <c r="A149" s="312" t="s">
        <v>676</v>
      </c>
      <c r="B149" s="311"/>
      <c r="C149" s="315"/>
      <c r="D149" s="315"/>
      <c r="E149" s="318"/>
      <c r="F149" s="311"/>
    </row>
    <row r="150" spans="1:7">
      <c r="A150" s="311" t="s">
        <v>498</v>
      </c>
      <c r="B150" s="311" t="s">
        <v>499</v>
      </c>
      <c r="C150" s="315">
        <v>12.2</v>
      </c>
      <c r="D150" s="315">
        <f>D144</f>
        <v>0.05</v>
      </c>
      <c r="E150" s="316">
        <f t="shared" ref="E150:E151" si="17">ROUND(C150+D150,2)</f>
        <v>12.25</v>
      </c>
      <c r="F150" s="311"/>
      <c r="G150" s="27"/>
    </row>
    <row r="151" spans="1:7">
      <c r="A151" s="311" t="s">
        <v>498</v>
      </c>
      <c r="B151" s="311" t="s">
        <v>472</v>
      </c>
      <c r="C151" s="315">
        <v>4.18</v>
      </c>
      <c r="D151" s="315">
        <f>D150</f>
        <v>0.05</v>
      </c>
      <c r="E151" s="316">
        <f t="shared" si="17"/>
        <v>4.2300000000000004</v>
      </c>
      <c r="F151" s="311"/>
      <c r="G151" s="27"/>
    </row>
    <row r="152" spans="1:7">
      <c r="A152" s="311"/>
      <c r="B152" s="311"/>
      <c r="C152" s="315"/>
      <c r="D152" s="315"/>
      <c r="E152" s="318"/>
      <c r="F152" s="311"/>
    </row>
    <row r="153" spans="1:7">
      <c r="A153" s="311" t="s">
        <v>500</v>
      </c>
      <c r="B153" s="311" t="s">
        <v>472</v>
      </c>
      <c r="C153" s="315">
        <v>6.52</v>
      </c>
      <c r="D153" s="315">
        <f>ROUND('Disposal Calc'!L94/References!B11,2)</f>
        <v>0.08</v>
      </c>
      <c r="E153" s="316">
        <f t="shared" ref="E153:E154" si="18">ROUND(C153+D153,2)</f>
        <v>6.6</v>
      </c>
      <c r="F153" s="311"/>
      <c r="G153" s="27"/>
    </row>
    <row r="154" spans="1:7">
      <c r="A154" s="311" t="s">
        <v>501</v>
      </c>
      <c r="B154" s="311"/>
      <c r="C154" s="315">
        <v>19.97</v>
      </c>
      <c r="D154" s="315">
        <f>ROUND('Disposal Calc'!L94,2)</f>
        <v>0.33</v>
      </c>
      <c r="E154" s="316">
        <f t="shared" si="18"/>
        <v>20.3</v>
      </c>
      <c r="F154" s="316" t="s">
        <v>445</v>
      </c>
      <c r="G154" s="27"/>
    </row>
    <row r="155" spans="1:7">
      <c r="A155" s="311"/>
      <c r="B155" s="311"/>
      <c r="C155" s="315"/>
      <c r="D155" s="315"/>
      <c r="E155" s="318"/>
      <c r="F155" s="311"/>
    </row>
    <row r="156" spans="1:7">
      <c r="A156" s="311" t="s">
        <v>502</v>
      </c>
      <c r="B156" s="311" t="s">
        <v>472</v>
      </c>
      <c r="C156" s="315">
        <v>8.2899999999999991</v>
      </c>
      <c r="D156" s="315">
        <f>ROUND('Disposal Calc'!L99/References!B11,2)</f>
        <v>0.11</v>
      </c>
      <c r="E156" s="316">
        <f t="shared" ref="E156:E157" si="19">ROUND(C156+D156,2)</f>
        <v>8.4</v>
      </c>
      <c r="F156" s="311"/>
      <c r="G156" s="27"/>
    </row>
    <row r="157" spans="1:7">
      <c r="A157" s="311" t="s">
        <v>503</v>
      </c>
      <c r="B157" s="311"/>
      <c r="C157" s="315">
        <v>25.47</v>
      </c>
      <c r="D157" s="320">
        <f>ROUND('Disposal Calc'!L99,2)</f>
        <v>0.48</v>
      </c>
      <c r="E157" s="316">
        <f t="shared" si="19"/>
        <v>25.95</v>
      </c>
      <c r="F157" s="311"/>
      <c r="G157" s="27"/>
    </row>
    <row r="158" spans="1:7">
      <c r="A158" s="311"/>
      <c r="B158" s="311"/>
      <c r="C158" s="315"/>
      <c r="D158" s="311"/>
      <c r="E158" s="318"/>
      <c r="F158" s="311"/>
    </row>
    <row r="159" spans="1:7">
      <c r="A159" s="312" t="s">
        <v>504</v>
      </c>
      <c r="B159" s="311" t="s">
        <v>508</v>
      </c>
      <c r="C159" s="315"/>
      <c r="D159" s="311"/>
      <c r="E159" s="311"/>
      <c r="F159" s="311"/>
    </row>
    <row r="160" spans="1:7">
      <c r="A160" s="311" t="s">
        <v>442</v>
      </c>
      <c r="B160" s="313">
        <v>2.75</v>
      </c>
      <c r="C160" s="315">
        <v>99.14</v>
      </c>
      <c r="D160" s="316">
        <f>D118*B160</f>
        <v>1.4575</v>
      </c>
      <c r="E160" s="316">
        <f t="shared" ref="E160:E163" si="20">ROUND(C160+D160,2)</f>
        <v>100.6</v>
      </c>
      <c r="F160" s="311"/>
      <c r="G160" s="27"/>
    </row>
    <row r="161" spans="1:7">
      <c r="A161" s="311" t="s">
        <v>477</v>
      </c>
      <c r="B161" s="313">
        <v>2.75</v>
      </c>
      <c r="C161" s="315">
        <v>139.03</v>
      </c>
      <c r="D161" s="316">
        <f>D120*B161</f>
        <v>2.145</v>
      </c>
      <c r="E161" s="316">
        <f t="shared" si="20"/>
        <v>141.18</v>
      </c>
      <c r="F161" s="311"/>
      <c r="G161" s="27"/>
    </row>
    <row r="162" spans="1:7">
      <c r="A162" s="311" t="s">
        <v>443</v>
      </c>
      <c r="B162" s="313">
        <v>2.75</v>
      </c>
      <c r="C162" s="315">
        <v>183.29</v>
      </c>
      <c r="D162" s="316">
        <f>D122*B162</f>
        <v>2.7774999999999999</v>
      </c>
      <c r="E162" s="316">
        <f t="shared" si="20"/>
        <v>186.07</v>
      </c>
      <c r="F162" s="311"/>
      <c r="G162" s="27"/>
    </row>
    <row r="163" spans="1:7">
      <c r="A163" s="311" t="s">
        <v>444</v>
      </c>
      <c r="B163" s="313">
        <v>2.75</v>
      </c>
      <c r="C163" s="315">
        <v>251.57</v>
      </c>
      <c r="D163" s="316">
        <f>+D124*B163</f>
        <v>3.7949999999999999</v>
      </c>
      <c r="E163" s="316">
        <f t="shared" si="20"/>
        <v>255.37</v>
      </c>
      <c r="F163" s="311"/>
      <c r="G163" s="27"/>
    </row>
    <row r="164" spans="1:7">
      <c r="B164" s="10"/>
    </row>
    <row r="165" spans="1:7">
      <c r="A165" s="311" t="s">
        <v>505</v>
      </c>
      <c r="B165" s="311"/>
    </row>
    <row r="166" spans="1:7">
      <c r="A166" s="311" t="s">
        <v>506</v>
      </c>
      <c r="B166" s="311"/>
    </row>
    <row r="167" spans="1:7">
      <c r="B167" s="10"/>
    </row>
    <row r="168" spans="1:7">
      <c r="A168" s="314"/>
      <c r="B168" s="314"/>
    </row>
    <row r="169" spans="1:7">
      <c r="B169" s="10"/>
    </row>
    <row r="170" spans="1:7">
      <c r="A170" s="312"/>
      <c r="B170" s="311"/>
    </row>
    <row r="171" spans="1:7">
      <c r="A171" s="312"/>
      <c r="B171" s="311"/>
    </row>
  </sheetData>
  <pageMargins left="0.7" right="0.7" top="0.75" bottom="0.75" header="0.3" footer="0.3"/>
  <pageSetup scale="68" fitToHeight="3" orientation="portrait" r:id="rId1"/>
  <headerFooter>
    <oddFooter>&amp;L&amp;F - &amp;A&amp;R&amp;P of &amp;N</oddFooter>
  </headerFooter>
  <rowBreaks count="2" manualBreakCount="2">
    <brk id="62" max="16383" man="1"/>
    <brk id="12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20"/>
  <sheetViews>
    <sheetView topLeftCell="B184" zoomScale="85" zoomScaleNormal="85" workbookViewId="0">
      <selection activeCell="H214" sqref="H214"/>
    </sheetView>
  </sheetViews>
  <sheetFormatPr defaultColWidth="10.28515625" defaultRowHeight="15"/>
  <cols>
    <col min="1" max="1" width="29.140625" style="249" hidden="1" customWidth="1"/>
    <col min="2" max="2" width="26.7109375" style="252" customWidth="1"/>
    <col min="3" max="3" width="9.5703125" style="251" bestFit="1" customWidth="1"/>
    <col min="4" max="4" width="9.5703125" style="252" bestFit="1" customWidth="1"/>
    <col min="5" max="5" width="7.85546875" style="252" bestFit="1" customWidth="1"/>
    <col min="6" max="7" width="11.5703125" style="252" bestFit="1" customWidth="1"/>
    <col min="8" max="8" width="10.5703125" style="249" bestFit="1" customWidth="1"/>
    <col min="9" max="9" width="9.28515625" style="249" bestFit="1" customWidth="1"/>
    <col min="10" max="10" width="9.42578125" style="252" bestFit="1" customWidth="1"/>
    <col min="11" max="11" width="10.5703125" style="252" bestFit="1" customWidth="1"/>
    <col min="12" max="12" width="9" style="252" bestFit="1" customWidth="1"/>
    <col min="13" max="14" width="12.5703125" style="252" bestFit="1" customWidth="1"/>
    <col min="15" max="16" width="10.5703125" style="252" bestFit="1" customWidth="1"/>
    <col min="17" max="17" width="8.42578125" style="252" bestFit="1" customWidth="1"/>
    <col min="18" max="18" width="2.140625" style="252" customWidth="1"/>
    <col min="19" max="19" width="10.5703125" style="252" bestFit="1" customWidth="1"/>
    <col min="20" max="20" width="10.28515625" style="252"/>
    <col min="21" max="22" width="10.42578125" style="252" bestFit="1" customWidth="1"/>
    <col min="23" max="16384" width="10.28515625" style="252"/>
  </cols>
  <sheetData>
    <row r="1" spans="1:22">
      <c r="B1" s="1" t="s">
        <v>437</v>
      </c>
    </row>
    <row r="2" spans="1:22">
      <c r="B2" s="1" t="s">
        <v>436</v>
      </c>
    </row>
    <row r="3" spans="1:22">
      <c r="B3" s="250" t="s">
        <v>664</v>
      </c>
      <c r="C3" s="253"/>
      <c r="D3" s="249"/>
      <c r="E3" s="249"/>
      <c r="F3" s="254"/>
      <c r="G3" s="249"/>
    </row>
    <row r="4" spans="1:22">
      <c r="B4" s="250" t="s">
        <v>0</v>
      </c>
      <c r="C4" s="253"/>
      <c r="D4" s="249"/>
      <c r="E4" s="249"/>
      <c r="F4" s="249"/>
      <c r="K4" s="255"/>
    </row>
    <row r="5" spans="1:22" ht="30">
      <c r="B5" s="394" t="s">
        <v>649</v>
      </c>
      <c r="C5" s="394"/>
      <c r="D5" s="394"/>
      <c r="E5" s="394"/>
      <c r="F5" s="394"/>
      <c r="G5" s="394"/>
      <c r="H5" s="394"/>
      <c r="I5" s="394"/>
      <c r="O5" s="256" t="s">
        <v>433</v>
      </c>
      <c r="P5" s="257" t="s">
        <v>434</v>
      </c>
      <c r="T5" s="258"/>
      <c r="U5" s="258"/>
    </row>
    <row r="6" spans="1:22" ht="60">
      <c r="A6" s="259" t="s">
        <v>1</v>
      </c>
      <c r="B6" s="260" t="s">
        <v>2</v>
      </c>
      <c r="C6" s="256" t="s">
        <v>3</v>
      </c>
      <c r="D6" s="256" t="s">
        <v>4</v>
      </c>
      <c r="E6" s="256" t="s">
        <v>5</v>
      </c>
      <c r="F6" s="256" t="s">
        <v>6</v>
      </c>
      <c r="G6" s="256" t="s">
        <v>7</v>
      </c>
      <c r="H6" s="256" t="s">
        <v>8</v>
      </c>
      <c r="I6" s="256" t="s">
        <v>9</v>
      </c>
      <c r="J6" s="256" t="s">
        <v>416</v>
      </c>
      <c r="K6" s="256" t="s">
        <v>417</v>
      </c>
      <c r="L6" s="256" t="s">
        <v>418</v>
      </c>
      <c r="M6" s="256" t="s">
        <v>419</v>
      </c>
      <c r="N6" s="256" t="s">
        <v>420</v>
      </c>
      <c r="O6" s="261">
        <f>'PCR Disposal'!R11/2000</f>
        <v>1.1499999999999915E-3</v>
      </c>
      <c r="P6" s="261">
        <f>'PCR Disposal'!$V$14</f>
        <v>0.98072499999999996</v>
      </c>
      <c r="Q6" s="260" t="s">
        <v>435</v>
      </c>
      <c r="S6" s="256" t="s">
        <v>509</v>
      </c>
      <c r="U6" s="258"/>
      <c r="V6" s="262"/>
    </row>
    <row r="7" spans="1:22">
      <c r="D7" s="249"/>
      <c r="E7" s="249"/>
      <c r="F7" s="249"/>
      <c r="G7" s="249"/>
    </row>
    <row r="8" spans="1:22">
      <c r="A8" s="263" t="s">
        <v>10</v>
      </c>
      <c r="B8" s="264" t="s">
        <v>10</v>
      </c>
      <c r="D8" s="265"/>
      <c r="E8" s="265"/>
      <c r="F8" s="265"/>
      <c r="G8" s="249"/>
    </row>
    <row r="9" spans="1:22">
      <c r="A9" s="263"/>
      <c r="B9" s="266"/>
      <c r="D9" s="265"/>
      <c r="E9" s="265"/>
      <c r="F9" s="265"/>
      <c r="G9" s="249"/>
    </row>
    <row r="10" spans="1:22">
      <c r="A10" s="267" t="s">
        <v>11</v>
      </c>
      <c r="B10" s="268" t="s">
        <v>11</v>
      </c>
      <c r="D10" s="265"/>
      <c r="E10" s="265"/>
      <c r="F10" s="265"/>
      <c r="G10" s="249"/>
    </row>
    <row r="11" spans="1:22">
      <c r="A11" s="269" t="s">
        <v>12</v>
      </c>
      <c r="B11" s="270" t="s">
        <v>13</v>
      </c>
      <c r="C11" s="271">
        <v>11.41</v>
      </c>
      <c r="D11" s="272">
        <v>11.79</v>
      </c>
      <c r="E11" s="272"/>
      <c r="F11" s="222">
        <v>2438.5700000000002</v>
      </c>
      <c r="G11" s="222">
        <v>1262.8</v>
      </c>
      <c r="H11" s="273">
        <f t="shared" ref="H11:H72" si="0">IF(D11="","",(G11/D11)+(F11/C11))</f>
        <v>320.82989193741781</v>
      </c>
      <c r="I11" s="273">
        <f t="shared" ref="I11:I72" si="1">IF(D11="","",H11/12)</f>
        <v>26.735824328118152</v>
      </c>
      <c r="J11" s="252">
        <v>4.33</v>
      </c>
      <c r="K11" s="222">
        <f>H11*J11</f>
        <v>1389.1934320890191</v>
      </c>
      <c r="L11" s="274">
        <v>20</v>
      </c>
      <c r="M11" s="222">
        <f>K11*L11</f>
        <v>27783.868641780384</v>
      </c>
      <c r="N11" s="222">
        <f>M11*$M$200</f>
        <v>22908.52891601661</v>
      </c>
      <c r="O11" s="275">
        <f>N11*$O$6</f>
        <v>26.344808253418908</v>
      </c>
      <c r="P11" s="258">
        <f>O11/$P$6</f>
        <v>26.862584571025423</v>
      </c>
      <c r="Q11" s="275">
        <f>P11/K11</f>
        <v>1.9336820885073172E-2</v>
      </c>
      <c r="S11" s="258">
        <f>H11*J11*Q11</f>
        <v>26.862584571025423</v>
      </c>
    </row>
    <row r="12" spans="1:22">
      <c r="A12" s="269" t="s">
        <v>14</v>
      </c>
      <c r="B12" s="270" t="s">
        <v>15</v>
      </c>
      <c r="C12" s="271">
        <v>12.41</v>
      </c>
      <c r="D12" s="272">
        <v>12.79</v>
      </c>
      <c r="E12" s="272"/>
      <c r="F12" s="222">
        <v>49.64</v>
      </c>
      <c r="G12" s="222">
        <v>0</v>
      </c>
      <c r="H12" s="273">
        <f t="shared" si="0"/>
        <v>4</v>
      </c>
      <c r="I12" s="273">
        <f t="shared" si="1"/>
        <v>0.33333333333333331</v>
      </c>
      <c r="J12" s="252">
        <v>4.33</v>
      </c>
      <c r="K12" s="222">
        <f t="shared" ref="K12:K50" si="2">H12*J12</f>
        <v>17.32</v>
      </c>
      <c r="L12" s="274">
        <v>20</v>
      </c>
      <c r="M12" s="222">
        <f t="shared" ref="M12:M40" si="3">K12*L12</f>
        <v>346.4</v>
      </c>
      <c r="N12" s="222">
        <f t="shared" ref="N12:N50" si="4">M12*$M$200</f>
        <v>285.61589168237759</v>
      </c>
      <c r="O12" s="275">
        <f t="shared" ref="O12:O50" si="5">N12*$O$6</f>
        <v>0.32845827543473183</v>
      </c>
      <c r="P12" s="258">
        <f t="shared" ref="P12:P50" si="6">O12/$P$6</f>
        <v>0.33491373772946731</v>
      </c>
      <c r="Q12" s="275">
        <f t="shared" ref="Q12:Q50" si="7">P12/K12</f>
        <v>1.9336820885073169E-2</v>
      </c>
      <c r="S12" s="258">
        <f t="shared" ref="S12:S50" si="8">H12*J12*Q12</f>
        <v>0.33491373772946731</v>
      </c>
    </row>
    <row r="13" spans="1:22">
      <c r="A13" s="269" t="s">
        <v>16</v>
      </c>
      <c r="B13" s="270" t="s">
        <v>17</v>
      </c>
      <c r="C13" s="271">
        <v>7.46</v>
      </c>
      <c r="D13" s="272">
        <v>7.61</v>
      </c>
      <c r="E13" s="272"/>
      <c r="F13" s="222">
        <v>842.98</v>
      </c>
      <c r="G13" s="222">
        <v>390.55</v>
      </c>
      <c r="H13" s="273">
        <f t="shared" si="0"/>
        <v>164.32063074901447</v>
      </c>
      <c r="I13" s="273">
        <f t="shared" si="1"/>
        <v>13.693385895751206</v>
      </c>
      <c r="J13" s="252">
        <v>1</v>
      </c>
      <c r="K13" s="222">
        <f t="shared" si="2"/>
        <v>164.32063074901447</v>
      </c>
      <c r="L13" s="274">
        <v>34</v>
      </c>
      <c r="M13" s="222">
        <f t="shared" si="3"/>
        <v>5586.9014454664921</v>
      </c>
      <c r="N13" s="222">
        <f t="shared" si="4"/>
        <v>4606.5468766988351</v>
      </c>
      <c r="O13" s="275">
        <f t="shared" si="5"/>
        <v>5.2975289082036214</v>
      </c>
      <c r="P13" s="258">
        <f t="shared" si="6"/>
        <v>5.4016456276770981</v>
      </c>
      <c r="Q13" s="276">
        <f t="shared" si="7"/>
        <v>3.2872595504624395E-2</v>
      </c>
      <c r="S13" s="258">
        <f t="shared" si="8"/>
        <v>5.4016456276770981</v>
      </c>
    </row>
    <row r="14" spans="1:22">
      <c r="A14" s="269" t="s">
        <v>18</v>
      </c>
      <c r="B14" s="270" t="s">
        <v>19</v>
      </c>
      <c r="C14" s="271">
        <v>6.46</v>
      </c>
      <c r="D14" s="272">
        <v>6.61</v>
      </c>
      <c r="E14" s="272"/>
      <c r="F14" s="222">
        <f>6769.89+45</f>
        <v>6814.89</v>
      </c>
      <c r="G14" s="222">
        <f>3924.31+75</f>
        <v>3999.31</v>
      </c>
      <c r="H14" s="273">
        <f t="shared" si="0"/>
        <v>1659.9758668496461</v>
      </c>
      <c r="I14" s="273">
        <f t="shared" si="1"/>
        <v>138.33132223747052</v>
      </c>
      <c r="J14" s="252">
        <v>1</v>
      </c>
      <c r="K14" s="222">
        <f t="shared" si="2"/>
        <v>1659.9758668496461</v>
      </c>
      <c r="L14" s="274">
        <v>34</v>
      </c>
      <c r="M14" s="222">
        <f t="shared" si="3"/>
        <v>56439.179472887969</v>
      </c>
      <c r="N14" s="222">
        <f t="shared" si="4"/>
        <v>46535.58478917621</v>
      </c>
      <c r="O14" s="275">
        <f t="shared" si="5"/>
        <v>53.515922507552247</v>
      </c>
      <c r="P14" s="258">
        <f t="shared" si="6"/>
        <v>54.567715218386653</v>
      </c>
      <c r="Q14" s="275">
        <f t="shared" si="7"/>
        <v>3.2872595504624388E-2</v>
      </c>
      <c r="S14" s="258">
        <f t="shared" si="8"/>
        <v>54.567715218386645</v>
      </c>
    </row>
    <row r="15" spans="1:22">
      <c r="A15" s="269" t="s">
        <v>20</v>
      </c>
      <c r="B15" s="270" t="s">
        <v>21</v>
      </c>
      <c r="C15" s="271">
        <v>15.89</v>
      </c>
      <c r="D15" s="272">
        <v>16.54</v>
      </c>
      <c r="E15" s="272"/>
      <c r="F15" s="222">
        <f>54973.2+1939</f>
        <v>56912.2</v>
      </c>
      <c r="G15" s="222">
        <f>18118.66+743</f>
        <v>18861.66</v>
      </c>
      <c r="H15" s="273">
        <f t="shared" si="0"/>
        <v>4722.0026337357112</v>
      </c>
      <c r="I15" s="273">
        <f t="shared" si="1"/>
        <v>393.50021947797592</v>
      </c>
      <c r="J15" s="252">
        <v>4.33</v>
      </c>
      <c r="K15" s="222">
        <f t="shared" si="2"/>
        <v>20446.271404075629</v>
      </c>
      <c r="L15" s="274">
        <v>34</v>
      </c>
      <c r="M15" s="222">
        <f t="shared" si="3"/>
        <v>695173.22773857135</v>
      </c>
      <c r="N15" s="222">
        <f t="shared" si="4"/>
        <v>573188.57192340819</v>
      </c>
      <c r="O15" s="275">
        <f t="shared" si="5"/>
        <v>659.16685771191453</v>
      </c>
      <c r="P15" s="258">
        <f t="shared" si="6"/>
        <v>672.12200944394658</v>
      </c>
      <c r="Q15" s="275">
        <f t="shared" si="7"/>
        <v>3.2872595504624381E-2</v>
      </c>
      <c r="S15" s="258">
        <f t="shared" si="8"/>
        <v>672.12200944394658</v>
      </c>
    </row>
    <row r="16" spans="1:22">
      <c r="A16" s="269" t="s">
        <v>22</v>
      </c>
      <c r="B16" s="270" t="s">
        <v>23</v>
      </c>
      <c r="C16" s="271">
        <v>14.89</v>
      </c>
      <c r="D16" s="272">
        <v>15.54</v>
      </c>
      <c r="E16" s="272"/>
      <c r="F16" s="222">
        <f>495299.11+17673</f>
        <v>512972.11</v>
      </c>
      <c r="G16" s="222">
        <f>185151.91+5544</f>
        <v>190695.91</v>
      </c>
      <c r="H16" s="273">
        <f t="shared" si="0"/>
        <v>46722.073797725578</v>
      </c>
      <c r="I16" s="273">
        <f t="shared" si="1"/>
        <v>3893.5061498104646</v>
      </c>
      <c r="J16" s="252">
        <v>4.33</v>
      </c>
      <c r="K16" s="222">
        <f t="shared" si="2"/>
        <v>202306.57954415175</v>
      </c>
      <c r="L16" s="274">
        <v>34</v>
      </c>
      <c r="M16" s="222">
        <f t="shared" si="3"/>
        <v>6878423.7045011595</v>
      </c>
      <c r="N16" s="222">
        <f t="shared" si="4"/>
        <v>5671440.8768195771</v>
      </c>
      <c r="O16" s="275">
        <f t="shared" si="5"/>
        <v>6522.1570083424658</v>
      </c>
      <c r="P16" s="258">
        <f t="shared" si="6"/>
        <v>6650.3423572790189</v>
      </c>
      <c r="Q16" s="275">
        <f t="shared" si="7"/>
        <v>3.2872595504624388E-2</v>
      </c>
      <c r="S16" s="258">
        <f t="shared" si="8"/>
        <v>6650.3423572790189</v>
      </c>
    </row>
    <row r="17" spans="1:19">
      <c r="A17" s="269" t="s">
        <v>24</v>
      </c>
      <c r="B17" s="270" t="s">
        <v>25</v>
      </c>
      <c r="C17" s="271">
        <v>23.83</v>
      </c>
      <c r="D17" s="272">
        <v>24.81</v>
      </c>
      <c r="E17" s="272"/>
      <c r="F17" s="222">
        <v>5117.49</v>
      </c>
      <c r="G17" s="222">
        <v>10152.14</v>
      </c>
      <c r="H17" s="273">
        <f t="shared" si="0"/>
        <v>623.94538078147593</v>
      </c>
      <c r="I17" s="273">
        <f t="shared" si="1"/>
        <v>51.995448398456325</v>
      </c>
      <c r="J17" s="252">
        <v>4.33</v>
      </c>
      <c r="K17" s="222">
        <f t="shared" si="2"/>
        <v>2701.683498783791</v>
      </c>
      <c r="L17" s="274">
        <v>51</v>
      </c>
      <c r="M17" s="222">
        <f t="shared" si="3"/>
        <v>137785.85843797334</v>
      </c>
      <c r="N17" s="222">
        <f t="shared" si="4"/>
        <v>113608.05663678869</v>
      </c>
      <c r="O17" s="275">
        <f t="shared" si="5"/>
        <v>130.64926513230603</v>
      </c>
      <c r="P17" s="258">
        <f t="shared" si="6"/>
        <v>133.21702325555688</v>
      </c>
      <c r="Q17" s="275">
        <f t="shared" si="7"/>
        <v>4.9308893256936576E-2</v>
      </c>
      <c r="S17" s="258">
        <f t="shared" si="8"/>
        <v>133.21702325555688</v>
      </c>
    </row>
    <row r="18" spans="1:19">
      <c r="A18" s="269" t="s">
        <v>26</v>
      </c>
      <c r="B18" s="270" t="s">
        <v>27</v>
      </c>
      <c r="C18" s="271">
        <v>21.83</v>
      </c>
      <c r="D18" s="272">
        <v>22.81</v>
      </c>
      <c r="E18" s="272"/>
      <c r="F18" s="222">
        <f>57322.31+2790</f>
        <v>60112.31</v>
      </c>
      <c r="G18" s="222">
        <f>98099.33+3540</f>
        <v>101639.33</v>
      </c>
      <c r="H18" s="273">
        <f t="shared" si="0"/>
        <v>7209.5669819575487</v>
      </c>
      <c r="I18" s="273">
        <f t="shared" si="1"/>
        <v>600.79724849646243</v>
      </c>
      <c r="J18" s="252">
        <v>4.33</v>
      </c>
      <c r="K18" s="222">
        <f t="shared" si="2"/>
        <v>31217.425031876188</v>
      </c>
      <c r="L18" s="274">
        <v>51</v>
      </c>
      <c r="M18" s="222">
        <f t="shared" si="3"/>
        <v>1592088.6766256855</v>
      </c>
      <c r="N18" s="222">
        <f t="shared" si="4"/>
        <v>1312718.9001497161</v>
      </c>
      <c r="O18" s="275">
        <f t="shared" si="5"/>
        <v>1509.6267351721624</v>
      </c>
      <c r="P18" s="258">
        <f t="shared" si="6"/>
        <v>1539.2966786532029</v>
      </c>
      <c r="Q18" s="275">
        <f t="shared" si="7"/>
        <v>4.9308893256936576E-2</v>
      </c>
      <c r="S18" s="258">
        <f t="shared" si="8"/>
        <v>1539.2966786532029</v>
      </c>
    </row>
    <row r="19" spans="1:19">
      <c r="A19" s="269" t="s">
        <v>28</v>
      </c>
      <c r="B19" s="270" t="s">
        <v>29</v>
      </c>
      <c r="C19" s="271">
        <v>31.76</v>
      </c>
      <c r="D19" s="272">
        <v>33.229999999999997</v>
      </c>
      <c r="E19" s="272"/>
      <c r="F19" s="222">
        <v>412.88</v>
      </c>
      <c r="G19" s="222">
        <v>976.6</v>
      </c>
      <c r="H19" s="273">
        <f t="shared" si="0"/>
        <v>42.389106229310869</v>
      </c>
      <c r="I19" s="273">
        <f t="shared" si="1"/>
        <v>3.5324255191092391</v>
      </c>
      <c r="J19" s="252">
        <v>4.33</v>
      </c>
      <c r="K19" s="222">
        <f t="shared" si="2"/>
        <v>183.54482997291606</v>
      </c>
      <c r="L19" s="274">
        <v>77</v>
      </c>
      <c r="M19" s="222">
        <f t="shared" si="3"/>
        <v>14132.951907914538</v>
      </c>
      <c r="N19" s="222">
        <f t="shared" si="4"/>
        <v>11652.989784304764</v>
      </c>
      <c r="O19" s="275">
        <f t="shared" si="5"/>
        <v>13.400938251950379</v>
      </c>
      <c r="P19" s="258">
        <f t="shared" si="6"/>
        <v>13.664317981034825</v>
      </c>
      <c r="Q19" s="275">
        <f t="shared" si="7"/>
        <v>7.4446760407531704E-2</v>
      </c>
      <c r="S19" s="258">
        <f t="shared" si="8"/>
        <v>13.664317981034825</v>
      </c>
    </row>
    <row r="20" spans="1:19">
      <c r="A20" s="269" t="s">
        <v>30</v>
      </c>
      <c r="B20" s="270" t="s">
        <v>31</v>
      </c>
      <c r="C20" s="271">
        <v>28.76</v>
      </c>
      <c r="D20" s="272">
        <v>30.23</v>
      </c>
      <c r="E20" s="272"/>
      <c r="F20" s="222">
        <f>4751.77+238</f>
        <v>4989.7700000000004</v>
      </c>
      <c r="G20" s="222">
        <f>6195.43+481</f>
        <v>6676.43</v>
      </c>
      <c r="H20" s="273">
        <f t="shared" si="0"/>
        <v>394.35131987631223</v>
      </c>
      <c r="I20" s="273">
        <f t="shared" si="1"/>
        <v>32.862609989692686</v>
      </c>
      <c r="J20" s="252">
        <v>4.33</v>
      </c>
      <c r="K20" s="222">
        <f t="shared" si="2"/>
        <v>1707.541215064432</v>
      </c>
      <c r="L20" s="274">
        <v>77</v>
      </c>
      <c r="M20" s="222">
        <f t="shared" si="3"/>
        <v>131480.67355996126</v>
      </c>
      <c r="N20" s="222">
        <f t="shared" si="4"/>
        <v>108409.2662177481</v>
      </c>
      <c r="O20" s="275">
        <f t="shared" si="5"/>
        <v>124.67065615040939</v>
      </c>
      <c r="P20" s="258">
        <f t="shared" si="6"/>
        <v>127.12091172388732</v>
      </c>
      <c r="Q20" s="275">
        <f t="shared" si="7"/>
        <v>7.444676040753169E-2</v>
      </c>
      <c r="S20" s="258">
        <f t="shared" si="8"/>
        <v>127.1209117238873</v>
      </c>
    </row>
    <row r="21" spans="1:19">
      <c r="A21" s="269" t="s">
        <v>32</v>
      </c>
      <c r="B21" s="270" t="s">
        <v>33</v>
      </c>
      <c r="C21" s="271">
        <v>39.57</v>
      </c>
      <c r="D21" s="272">
        <v>41.42</v>
      </c>
      <c r="E21" s="272"/>
      <c r="F21" s="222">
        <v>118.71</v>
      </c>
      <c r="G21" s="222">
        <v>331.36</v>
      </c>
      <c r="H21" s="273">
        <f t="shared" si="0"/>
        <v>11</v>
      </c>
      <c r="I21" s="273">
        <f t="shared" si="1"/>
        <v>0.91666666666666663</v>
      </c>
      <c r="J21" s="252">
        <v>4.33</v>
      </c>
      <c r="K21" s="222">
        <f t="shared" si="2"/>
        <v>47.63</v>
      </c>
      <c r="L21" s="274">
        <v>97</v>
      </c>
      <c r="M21" s="222">
        <f t="shared" si="3"/>
        <v>4620.1100000000006</v>
      </c>
      <c r="N21" s="222">
        <f t="shared" si="4"/>
        <v>3809.4019553137114</v>
      </c>
      <c r="O21" s="275">
        <f t="shared" si="5"/>
        <v>4.3808122486107361</v>
      </c>
      <c r="P21" s="258">
        <f t="shared" si="6"/>
        <v>4.4669119769667711</v>
      </c>
      <c r="Q21" s="275">
        <f t="shared" si="7"/>
        <v>9.378358129260489E-2</v>
      </c>
      <c r="S21" s="258">
        <f t="shared" si="8"/>
        <v>4.4669119769667711</v>
      </c>
    </row>
    <row r="22" spans="1:19">
      <c r="A22" s="269" t="s">
        <v>34</v>
      </c>
      <c r="B22" s="270" t="s">
        <v>35</v>
      </c>
      <c r="C22" s="271">
        <v>35.57</v>
      </c>
      <c r="D22" s="272">
        <v>37.42</v>
      </c>
      <c r="E22" s="272"/>
      <c r="F22" s="222">
        <v>1018.68</v>
      </c>
      <c r="G22" s="222">
        <f>1210.96+166</f>
        <v>1376.96</v>
      </c>
      <c r="H22" s="273">
        <f t="shared" si="0"/>
        <v>65.43617503865805</v>
      </c>
      <c r="I22" s="273">
        <f t="shared" si="1"/>
        <v>5.4530145865548372</v>
      </c>
      <c r="J22" s="252">
        <v>4.33</v>
      </c>
      <c r="K22" s="222">
        <f t="shared" si="2"/>
        <v>283.33863791738935</v>
      </c>
      <c r="L22" s="274">
        <v>97</v>
      </c>
      <c r="M22" s="222">
        <f t="shared" si="3"/>
        <v>27483.847877986766</v>
      </c>
      <c r="N22" s="222">
        <f t="shared" si="4"/>
        <v>22661.153921864927</v>
      </c>
      <c r="O22" s="275">
        <f t="shared" si="5"/>
        <v>26.060327010144473</v>
      </c>
      <c r="P22" s="258">
        <f t="shared" si="6"/>
        <v>26.572512182461416</v>
      </c>
      <c r="Q22" s="275">
        <f t="shared" si="7"/>
        <v>9.3783581292604862E-2</v>
      </c>
      <c r="S22" s="258">
        <f t="shared" si="8"/>
        <v>26.57251218246142</v>
      </c>
    </row>
    <row r="23" spans="1:19">
      <c r="A23" s="269" t="s">
        <v>36</v>
      </c>
      <c r="B23" s="270" t="s">
        <v>23</v>
      </c>
      <c r="C23" s="271">
        <f>C16</f>
        <v>14.89</v>
      </c>
      <c r="D23" s="272">
        <f>D16</f>
        <v>15.54</v>
      </c>
      <c r="E23" s="272"/>
      <c r="F23" s="222">
        <v>1443.56</v>
      </c>
      <c r="G23" s="222">
        <v>0</v>
      </c>
      <c r="H23" s="273">
        <f t="shared" si="0"/>
        <v>96.948287441235721</v>
      </c>
      <c r="I23" s="273">
        <f t="shared" si="1"/>
        <v>8.0790239534363106</v>
      </c>
      <c r="J23" s="252">
        <v>4.33</v>
      </c>
      <c r="K23" s="222">
        <f t="shared" si="2"/>
        <v>419.7860846205507</v>
      </c>
      <c r="L23" s="274">
        <v>34</v>
      </c>
      <c r="M23" s="222">
        <f t="shared" si="3"/>
        <v>14272.726877098723</v>
      </c>
      <c r="N23" s="222">
        <f t="shared" si="4"/>
        <v>11768.237914958396</v>
      </c>
      <c r="O23" s="275">
        <f t="shared" si="5"/>
        <v>13.533473602202056</v>
      </c>
      <c r="P23" s="258">
        <f t="shared" si="6"/>
        <v>13.799458158201388</v>
      </c>
      <c r="Q23" s="275">
        <f t="shared" si="7"/>
        <v>3.2872595504624388E-2</v>
      </c>
      <c r="S23" s="258">
        <f t="shared" si="8"/>
        <v>13.799458158201388</v>
      </c>
    </row>
    <row r="24" spans="1:19">
      <c r="A24" s="269" t="s">
        <v>37</v>
      </c>
      <c r="B24" s="269" t="s">
        <v>38</v>
      </c>
      <c r="C24" s="271">
        <f>C16</f>
        <v>14.89</v>
      </c>
      <c r="D24" s="272">
        <v>15.54</v>
      </c>
      <c r="E24" s="272"/>
      <c r="F24" s="222">
        <v>494.68</v>
      </c>
      <c r="G24" s="222">
        <v>906.79</v>
      </c>
      <c r="H24" s="273">
        <f t="shared" si="0"/>
        <v>91.574291695513992</v>
      </c>
      <c r="I24" s="273">
        <f t="shared" si="1"/>
        <v>7.6311909746261657</v>
      </c>
      <c r="J24" s="252">
        <v>4.33</v>
      </c>
      <c r="K24" s="222">
        <f t="shared" si="2"/>
        <v>396.51668304157562</v>
      </c>
      <c r="L24" s="274">
        <v>37</v>
      </c>
      <c r="M24" s="222">
        <f t="shared" si="3"/>
        <v>14671.117272538298</v>
      </c>
      <c r="N24" s="222">
        <f t="shared" si="4"/>
        <v>12096.721252230824</v>
      </c>
      <c r="O24" s="275">
        <f t="shared" si="5"/>
        <v>13.911229440065345</v>
      </c>
      <c r="P24" s="258">
        <f t="shared" si="6"/>
        <v>14.184638344148814</v>
      </c>
      <c r="Q24" s="275">
        <f t="shared" si="7"/>
        <v>3.5773118637385366E-2</v>
      </c>
      <c r="S24" s="258">
        <f t="shared" si="8"/>
        <v>14.184638344148814</v>
      </c>
    </row>
    <row r="25" spans="1:19" ht="13.5" customHeight="1">
      <c r="A25" s="269" t="s">
        <v>39</v>
      </c>
      <c r="B25" s="269" t="s">
        <v>40</v>
      </c>
      <c r="C25" s="271">
        <f>C18</f>
        <v>21.83</v>
      </c>
      <c r="D25" s="272">
        <v>22.81</v>
      </c>
      <c r="E25" s="272"/>
      <c r="F25" s="222">
        <v>98.24</v>
      </c>
      <c r="G25" s="222">
        <v>273.72000000000003</v>
      </c>
      <c r="H25" s="273">
        <f t="shared" si="0"/>
        <v>16.500229042601926</v>
      </c>
      <c r="I25" s="273">
        <f t="shared" si="1"/>
        <v>1.3750190868834939</v>
      </c>
      <c r="J25" s="252">
        <v>4.33</v>
      </c>
      <c r="K25" s="222">
        <f t="shared" si="2"/>
        <v>71.445991754466348</v>
      </c>
      <c r="L25" s="274">
        <f>L24*2</f>
        <v>74</v>
      </c>
      <c r="M25" s="222">
        <f t="shared" si="3"/>
        <v>5287.0033898305101</v>
      </c>
      <c r="N25" s="222">
        <f t="shared" si="4"/>
        <v>4359.2730586437474</v>
      </c>
      <c r="O25" s="275">
        <f t="shared" si="5"/>
        <v>5.013164017440273</v>
      </c>
      <c r="P25" s="258">
        <f t="shared" si="6"/>
        <v>5.1116918783963632</v>
      </c>
      <c r="Q25" s="275">
        <f t="shared" si="7"/>
        <v>7.1546237274770746E-2</v>
      </c>
      <c r="S25" s="258">
        <f t="shared" si="8"/>
        <v>5.1116918783963641</v>
      </c>
    </row>
    <row r="26" spans="1:19">
      <c r="A26" s="269" t="s">
        <v>41</v>
      </c>
      <c r="B26" s="270" t="s">
        <v>42</v>
      </c>
      <c r="C26" s="271">
        <v>9.92</v>
      </c>
      <c r="D26" s="272">
        <v>10.130000000000001</v>
      </c>
      <c r="E26" s="272"/>
      <c r="F26" s="222">
        <v>3294.68</v>
      </c>
      <c r="G26" s="222">
        <v>1722</v>
      </c>
      <c r="H26" s="273">
        <f t="shared" si="0"/>
        <v>502.11512833168808</v>
      </c>
      <c r="I26" s="273">
        <f t="shared" si="1"/>
        <v>41.842927360974009</v>
      </c>
      <c r="J26" s="252">
        <v>1</v>
      </c>
      <c r="K26" s="222">
        <f t="shared" si="2"/>
        <v>502.11512833168808</v>
      </c>
      <c r="L26" s="274">
        <v>47</v>
      </c>
      <c r="M26" s="222">
        <f t="shared" si="3"/>
        <v>23599.411031589341</v>
      </c>
      <c r="N26" s="222">
        <f t="shared" si="4"/>
        <v>19458.333790318498</v>
      </c>
      <c r="O26" s="275">
        <f t="shared" si="5"/>
        <v>22.377083858866108</v>
      </c>
      <c r="P26" s="258">
        <f t="shared" si="6"/>
        <v>22.816879205553146</v>
      </c>
      <c r="Q26" s="275">
        <f t="shared" si="7"/>
        <v>4.5441529079921952E-2</v>
      </c>
      <c r="S26" s="258">
        <f t="shared" si="8"/>
        <v>22.816879205553146</v>
      </c>
    </row>
    <row r="27" spans="1:19">
      <c r="A27" s="269" t="s">
        <v>43</v>
      </c>
      <c r="B27" s="270" t="s">
        <v>44</v>
      </c>
      <c r="C27" s="271">
        <v>7.92</v>
      </c>
      <c r="D27" s="272">
        <v>8.1300000000000008</v>
      </c>
      <c r="E27" s="272"/>
      <c r="F27" s="222">
        <v>80680.61</v>
      </c>
      <c r="G27" s="222">
        <v>43944.47</v>
      </c>
      <c r="H27" s="273">
        <f t="shared" si="0"/>
        <v>15592.169569309328</v>
      </c>
      <c r="I27" s="273">
        <f t="shared" si="1"/>
        <v>1299.3474641091107</v>
      </c>
      <c r="J27" s="252">
        <v>1</v>
      </c>
      <c r="K27" s="222">
        <f t="shared" si="2"/>
        <v>15592.169569309328</v>
      </c>
      <c r="L27" s="274">
        <v>47</v>
      </c>
      <c r="M27" s="222">
        <f t="shared" si="3"/>
        <v>732831.96975753841</v>
      </c>
      <c r="N27" s="222">
        <f t="shared" si="4"/>
        <v>604239.19311677967</v>
      </c>
      <c r="O27" s="275">
        <f t="shared" si="5"/>
        <v>694.87507208429145</v>
      </c>
      <c r="P27" s="258">
        <f t="shared" si="6"/>
        <v>708.53202690284377</v>
      </c>
      <c r="Q27" s="275">
        <f t="shared" si="7"/>
        <v>4.5441529079921938E-2</v>
      </c>
      <c r="S27" s="258">
        <f t="shared" si="8"/>
        <v>708.53202690284377</v>
      </c>
    </row>
    <row r="28" spans="1:19">
      <c r="A28" s="269" t="s">
        <v>45</v>
      </c>
      <c r="B28" s="270" t="s">
        <v>46</v>
      </c>
      <c r="C28" s="271">
        <v>22.95</v>
      </c>
      <c r="D28" s="272">
        <v>23.85</v>
      </c>
      <c r="E28" s="272"/>
      <c r="F28" s="222">
        <v>143905.71</v>
      </c>
      <c r="G28" s="222">
        <v>69687.22</v>
      </c>
      <c r="H28" s="273">
        <f t="shared" si="0"/>
        <v>9192.297323961031</v>
      </c>
      <c r="I28" s="273">
        <f t="shared" si="1"/>
        <v>766.02477699675262</v>
      </c>
      <c r="J28" s="252">
        <v>4.33</v>
      </c>
      <c r="K28" s="222">
        <f t="shared" si="2"/>
        <v>39802.647412751263</v>
      </c>
      <c r="L28" s="274">
        <v>47</v>
      </c>
      <c r="M28" s="222">
        <f t="shared" si="3"/>
        <v>1870724.4283993093</v>
      </c>
      <c r="N28" s="222">
        <f t="shared" si="4"/>
        <v>1542461.3906156896</v>
      </c>
      <c r="O28" s="275">
        <f t="shared" si="5"/>
        <v>1773.83059920803</v>
      </c>
      <c r="P28" s="258">
        <f t="shared" si="6"/>
        <v>1808.6931598644167</v>
      </c>
      <c r="Q28" s="275">
        <f t="shared" si="7"/>
        <v>4.5441529079921952E-2</v>
      </c>
      <c r="S28" s="258">
        <f t="shared" si="8"/>
        <v>1808.6931598644169</v>
      </c>
    </row>
    <row r="29" spans="1:19">
      <c r="A29" s="269" t="s">
        <v>47</v>
      </c>
      <c r="B29" s="270" t="s">
        <v>48</v>
      </c>
      <c r="C29" s="271">
        <v>20.95</v>
      </c>
      <c r="D29" s="272">
        <v>21.85</v>
      </c>
      <c r="E29" s="272"/>
      <c r="F29" s="222">
        <v>3507626.39</v>
      </c>
      <c r="G29" s="222">
        <v>1826570.87</v>
      </c>
      <c r="H29" s="273">
        <f t="shared" si="0"/>
        <v>251024.38812690126</v>
      </c>
      <c r="I29" s="273">
        <f t="shared" si="1"/>
        <v>20918.699010575107</v>
      </c>
      <c r="J29" s="252">
        <v>4.33</v>
      </c>
      <c r="K29" s="222">
        <f t="shared" si="2"/>
        <v>1086935.6005894826</v>
      </c>
      <c r="L29" s="274">
        <v>47</v>
      </c>
      <c r="M29" s="222">
        <f t="shared" si="3"/>
        <v>51085973.22770568</v>
      </c>
      <c r="N29" s="222">
        <f t="shared" si="4"/>
        <v>42121725.738721788</v>
      </c>
      <c r="O29" s="275">
        <f t="shared" si="5"/>
        <v>48439.9845995297</v>
      </c>
      <c r="P29" s="258">
        <f t="shared" si="6"/>
        <v>49392.015702189405</v>
      </c>
      <c r="Q29" s="275">
        <f t="shared" si="7"/>
        <v>4.5441529079921952E-2</v>
      </c>
      <c r="S29" s="258">
        <f t="shared" si="8"/>
        <v>49392.015702189405</v>
      </c>
    </row>
    <row r="30" spans="1:19" s="249" customFormat="1">
      <c r="A30" s="269" t="s">
        <v>49</v>
      </c>
      <c r="B30" s="269" t="s">
        <v>50</v>
      </c>
      <c r="C30" s="277">
        <v>13.57</v>
      </c>
      <c r="D30" s="272">
        <v>14.02</v>
      </c>
      <c r="E30" s="272"/>
      <c r="F30" s="273">
        <v>661629.6</v>
      </c>
      <c r="G30" s="273">
        <v>68.75</v>
      </c>
      <c r="H30" s="273">
        <f t="shared" si="0"/>
        <v>48761.690739200865</v>
      </c>
      <c r="I30" s="273">
        <f t="shared" si="1"/>
        <v>4063.4742282667389</v>
      </c>
      <c r="J30" s="249">
        <v>2.17</v>
      </c>
      <c r="K30" s="222">
        <f t="shared" si="2"/>
        <v>105812.86890406588</v>
      </c>
      <c r="L30" s="274">
        <v>47</v>
      </c>
      <c r="M30" s="222">
        <f t="shared" si="3"/>
        <v>4973204.8384910962</v>
      </c>
      <c r="N30" s="222">
        <f t="shared" si="4"/>
        <v>4100537.9170460422</v>
      </c>
      <c r="O30" s="275">
        <f t="shared" si="5"/>
        <v>4715.6186046029134</v>
      </c>
      <c r="P30" s="258">
        <f t="shared" si="6"/>
        <v>4808.2985593340782</v>
      </c>
      <c r="Q30" s="275">
        <f t="shared" si="7"/>
        <v>4.5441529079921945E-2</v>
      </c>
      <c r="S30" s="258">
        <f t="shared" si="8"/>
        <v>4808.2985593340782</v>
      </c>
    </row>
    <row r="31" spans="1:19">
      <c r="A31" s="269" t="s">
        <v>51</v>
      </c>
      <c r="B31" s="270" t="s">
        <v>52</v>
      </c>
      <c r="C31" s="271">
        <v>15.57</v>
      </c>
      <c r="D31" s="272">
        <v>16.02</v>
      </c>
      <c r="E31" s="272"/>
      <c r="F31" s="222">
        <v>37887.47</v>
      </c>
      <c r="G31" s="222">
        <v>18552.419999999998</v>
      </c>
      <c r="H31" s="273">
        <f t="shared" si="0"/>
        <v>3591.4421712743465</v>
      </c>
      <c r="I31" s="273">
        <f t="shared" si="1"/>
        <v>299.28684760619552</v>
      </c>
      <c r="J31" s="249">
        <v>2.17</v>
      </c>
      <c r="K31" s="222">
        <f t="shared" si="2"/>
        <v>7793.429511665332</v>
      </c>
      <c r="L31" s="274">
        <v>47</v>
      </c>
      <c r="M31" s="222">
        <f t="shared" si="3"/>
        <v>366291.1870482706</v>
      </c>
      <c r="N31" s="222">
        <f t="shared" si="4"/>
        <v>302016.6974716754</v>
      </c>
      <c r="O31" s="275">
        <f t="shared" si="5"/>
        <v>347.31920209242418</v>
      </c>
      <c r="P31" s="258">
        <f t="shared" si="6"/>
        <v>354.1453537866621</v>
      </c>
      <c r="Q31" s="275">
        <f t="shared" si="7"/>
        <v>4.5441529079921952E-2</v>
      </c>
      <c r="S31" s="258">
        <f t="shared" si="8"/>
        <v>354.1453537866621</v>
      </c>
    </row>
    <row r="32" spans="1:19" s="249" customFormat="1">
      <c r="A32" s="269" t="s">
        <v>53</v>
      </c>
      <c r="B32" s="269" t="s">
        <v>54</v>
      </c>
      <c r="C32" s="277">
        <f>C30</f>
        <v>13.57</v>
      </c>
      <c r="D32" s="272">
        <v>14.02</v>
      </c>
      <c r="E32" s="272"/>
      <c r="F32" s="273">
        <v>299008.18</v>
      </c>
      <c r="G32" s="273">
        <v>515310.6</v>
      </c>
      <c r="H32" s="273">
        <f t="shared" si="0"/>
        <v>58789.893402098489</v>
      </c>
      <c r="I32" s="273">
        <f t="shared" si="1"/>
        <v>4899.1577835082071</v>
      </c>
      <c r="J32" s="249">
        <v>2.17</v>
      </c>
      <c r="K32" s="222">
        <f t="shared" si="2"/>
        <v>127574.06868255371</v>
      </c>
      <c r="L32" s="274">
        <v>47</v>
      </c>
      <c r="M32" s="222">
        <f t="shared" si="3"/>
        <v>5995981.2280800249</v>
      </c>
      <c r="N32" s="222">
        <f t="shared" si="4"/>
        <v>4943843.8942519454</v>
      </c>
      <c r="O32" s="275">
        <f t="shared" si="5"/>
        <v>5685.4204783896957</v>
      </c>
      <c r="P32" s="258">
        <f t="shared" si="6"/>
        <v>5797.1607518822257</v>
      </c>
      <c r="Q32" s="275">
        <f t="shared" si="7"/>
        <v>4.5441529079921959E-2</v>
      </c>
      <c r="S32" s="258">
        <f t="shared" si="8"/>
        <v>5797.1607518822257</v>
      </c>
    </row>
    <row r="33" spans="1:22">
      <c r="A33" s="269" t="s">
        <v>55</v>
      </c>
      <c r="B33" s="270" t="s">
        <v>56</v>
      </c>
      <c r="C33" s="271">
        <v>13.81</v>
      </c>
      <c r="D33" s="272">
        <v>14.11</v>
      </c>
      <c r="E33" s="272"/>
      <c r="F33" s="222">
        <v>32069.85</v>
      </c>
      <c r="G33" s="222">
        <v>112.88</v>
      </c>
      <c r="H33" s="273">
        <f t="shared" si="0"/>
        <v>2330.2194062273711</v>
      </c>
      <c r="I33" s="273">
        <f t="shared" si="1"/>
        <v>194.1849505189476</v>
      </c>
      <c r="J33" s="252">
        <v>1</v>
      </c>
      <c r="K33" s="222">
        <f t="shared" si="2"/>
        <v>2330.2194062273711</v>
      </c>
      <c r="L33" s="274">
        <v>68</v>
      </c>
      <c r="M33" s="222">
        <f t="shared" si="3"/>
        <v>158454.91962346123</v>
      </c>
      <c r="N33" s="222">
        <f t="shared" si="4"/>
        <v>130650.24006845945</v>
      </c>
      <c r="O33" s="275">
        <f t="shared" si="5"/>
        <v>150.24777607872727</v>
      </c>
      <c r="P33" s="258">
        <f t="shared" si="6"/>
        <v>153.20071995587679</v>
      </c>
      <c r="Q33" s="275">
        <f t="shared" si="7"/>
        <v>6.5745191009248777E-2</v>
      </c>
      <c r="S33" s="258">
        <f t="shared" si="8"/>
        <v>153.20071995587679</v>
      </c>
    </row>
    <row r="34" spans="1:22">
      <c r="A34" s="269" t="s">
        <v>57</v>
      </c>
      <c r="B34" s="270" t="s">
        <v>58</v>
      </c>
      <c r="C34" s="271">
        <v>10.81</v>
      </c>
      <c r="D34" s="272">
        <v>11.11</v>
      </c>
      <c r="E34" s="272"/>
      <c r="F34" s="222">
        <v>8403.07</v>
      </c>
      <c r="G34" s="222">
        <v>4326.1499999999996</v>
      </c>
      <c r="H34" s="273">
        <f t="shared" si="0"/>
        <v>1166.7347149145996</v>
      </c>
      <c r="I34" s="273">
        <f t="shared" si="1"/>
        <v>97.227892909549965</v>
      </c>
      <c r="J34" s="252">
        <v>1</v>
      </c>
      <c r="K34" s="222">
        <f t="shared" si="2"/>
        <v>1166.7347149145996</v>
      </c>
      <c r="L34" s="274">
        <v>68</v>
      </c>
      <c r="M34" s="222">
        <f t="shared" si="3"/>
        <v>79337.96061419278</v>
      </c>
      <c r="N34" s="222">
        <f t="shared" si="4"/>
        <v>65416.23084608552</v>
      </c>
      <c r="O34" s="275">
        <f t="shared" si="5"/>
        <v>75.22866547299779</v>
      </c>
      <c r="P34" s="258">
        <f t="shared" si="6"/>
        <v>76.707196689181771</v>
      </c>
      <c r="Q34" s="275">
        <f t="shared" si="7"/>
        <v>6.5745191009248777E-2</v>
      </c>
      <c r="S34" s="258">
        <f t="shared" si="8"/>
        <v>76.707196689181771</v>
      </c>
    </row>
    <row r="35" spans="1:22">
      <c r="A35" s="269" t="s">
        <v>59</v>
      </c>
      <c r="B35" s="270" t="s">
        <v>60</v>
      </c>
      <c r="C35" s="271">
        <v>30.31</v>
      </c>
      <c r="D35" s="272">
        <v>31.59</v>
      </c>
      <c r="E35" s="272"/>
      <c r="F35" s="222">
        <v>10696.73</v>
      </c>
      <c r="G35" s="222">
        <v>20300.03</v>
      </c>
      <c r="H35" s="273">
        <f t="shared" si="0"/>
        <v>995.5202905421022</v>
      </c>
      <c r="I35" s="273">
        <f t="shared" si="1"/>
        <v>82.960024211841855</v>
      </c>
      <c r="J35" s="252">
        <v>4.33</v>
      </c>
      <c r="K35" s="222">
        <f t="shared" si="2"/>
        <v>4310.602858047303</v>
      </c>
      <c r="L35" s="274">
        <v>68</v>
      </c>
      <c r="M35" s="222">
        <f t="shared" si="3"/>
        <v>293120.99434721662</v>
      </c>
      <c r="N35" s="222">
        <f t="shared" si="4"/>
        <v>241685.95315041984</v>
      </c>
      <c r="O35" s="275">
        <f t="shared" si="5"/>
        <v>277.93884612298075</v>
      </c>
      <c r="P35" s="258">
        <f t="shared" si="6"/>
        <v>283.40140826733364</v>
      </c>
      <c r="Q35" s="276">
        <f t="shared" si="7"/>
        <v>6.5745191009248777E-2</v>
      </c>
      <c r="S35" s="258">
        <f t="shared" si="8"/>
        <v>283.40140826733364</v>
      </c>
      <c r="U35" s="258"/>
      <c r="V35" s="258"/>
    </row>
    <row r="36" spans="1:22">
      <c r="A36" s="269" t="s">
        <v>61</v>
      </c>
      <c r="B36" s="270" t="s">
        <v>62</v>
      </c>
      <c r="C36" s="271">
        <v>27.31</v>
      </c>
      <c r="D36" s="272">
        <v>28.59</v>
      </c>
      <c r="E36" s="272"/>
      <c r="F36" s="222">
        <v>1084393.01</v>
      </c>
      <c r="G36" s="222">
        <v>560687.39</v>
      </c>
      <c r="H36" s="273">
        <f t="shared" si="0"/>
        <v>59318.122355876956</v>
      </c>
      <c r="I36" s="273">
        <f t="shared" si="1"/>
        <v>4943.176862989746</v>
      </c>
      <c r="J36" s="252">
        <v>4.33</v>
      </c>
      <c r="K36" s="222">
        <f t="shared" si="2"/>
        <v>256847.46980094723</v>
      </c>
      <c r="L36" s="274">
        <v>68</v>
      </c>
      <c r="M36" s="222">
        <f t="shared" si="3"/>
        <v>17465627.946464412</v>
      </c>
      <c r="N36" s="222">
        <f t="shared" si="4"/>
        <v>14400868.648158448</v>
      </c>
      <c r="O36" s="275">
        <f t="shared" si="5"/>
        <v>16560.998945382093</v>
      </c>
      <c r="P36" s="258">
        <f t="shared" si="6"/>
        <v>16886.485962305531</v>
      </c>
      <c r="Q36" s="275">
        <f t="shared" si="7"/>
        <v>6.5745191009248763E-2</v>
      </c>
      <c r="S36" s="258">
        <f t="shared" si="8"/>
        <v>16886.485962305531</v>
      </c>
    </row>
    <row r="37" spans="1:22">
      <c r="A37" s="269" t="s">
        <v>63</v>
      </c>
      <c r="B37" s="270" t="s">
        <v>64</v>
      </c>
      <c r="C37" s="271">
        <f>C39</f>
        <v>17.579999999999998</v>
      </c>
      <c r="D37" s="272">
        <f>D39</f>
        <v>18.22</v>
      </c>
      <c r="E37" s="272"/>
      <c r="F37" s="222">
        <v>57625.29</v>
      </c>
      <c r="G37" s="222">
        <v>0</v>
      </c>
      <c r="H37" s="273">
        <f t="shared" si="0"/>
        <v>3277.8890784982937</v>
      </c>
      <c r="I37" s="273">
        <f t="shared" si="1"/>
        <v>273.15742320819112</v>
      </c>
      <c r="J37" s="249">
        <v>2.17</v>
      </c>
      <c r="K37" s="222">
        <f t="shared" si="2"/>
        <v>7113.0193003412969</v>
      </c>
      <c r="L37" s="274">
        <v>68</v>
      </c>
      <c r="M37" s="222">
        <f t="shared" si="3"/>
        <v>483685.3124232082</v>
      </c>
      <c r="N37" s="222">
        <f t="shared" si="4"/>
        <v>398811.23499256349</v>
      </c>
      <c r="O37" s="275">
        <f t="shared" si="5"/>
        <v>458.63292024144465</v>
      </c>
      <c r="P37" s="258">
        <f t="shared" si="6"/>
        <v>467.64681255341168</v>
      </c>
      <c r="Q37" s="275">
        <f t="shared" si="7"/>
        <v>6.5745191009248777E-2</v>
      </c>
      <c r="S37" s="258">
        <f t="shared" si="8"/>
        <v>467.64681255341168</v>
      </c>
    </row>
    <row r="38" spans="1:22">
      <c r="A38" s="269" t="s">
        <v>65</v>
      </c>
      <c r="B38" s="270" t="s">
        <v>66</v>
      </c>
      <c r="C38" s="271">
        <v>20.58</v>
      </c>
      <c r="D38" s="272">
        <v>21.22</v>
      </c>
      <c r="E38" s="272"/>
      <c r="F38" s="222">
        <v>2819.46</v>
      </c>
      <c r="G38" s="222">
        <v>1453.57</v>
      </c>
      <c r="H38" s="273">
        <f t="shared" si="0"/>
        <v>205.5</v>
      </c>
      <c r="I38" s="273">
        <f t="shared" si="1"/>
        <v>17.125</v>
      </c>
      <c r="J38" s="249">
        <v>2.17</v>
      </c>
      <c r="K38" s="222">
        <f t="shared" si="2"/>
        <v>445.935</v>
      </c>
      <c r="L38" s="274">
        <v>68</v>
      </c>
      <c r="M38" s="222">
        <f t="shared" si="3"/>
        <v>30323.58</v>
      </c>
      <c r="N38" s="222">
        <f t="shared" si="4"/>
        <v>25002.587588631384</v>
      </c>
      <c r="O38" s="275">
        <f t="shared" si="5"/>
        <v>28.752975726925879</v>
      </c>
      <c r="P38" s="258">
        <f t="shared" si="6"/>
        <v>29.318081752709354</v>
      </c>
      <c r="Q38" s="275">
        <f t="shared" si="7"/>
        <v>6.5745191009248777E-2</v>
      </c>
      <c r="S38" s="258">
        <f t="shared" si="8"/>
        <v>29.318081752709354</v>
      </c>
    </row>
    <row r="39" spans="1:22">
      <c r="A39" s="269" t="s">
        <v>67</v>
      </c>
      <c r="B39" s="270" t="s">
        <v>68</v>
      </c>
      <c r="C39" s="271">
        <v>17.579999999999998</v>
      </c>
      <c r="D39" s="272">
        <v>18.22</v>
      </c>
      <c r="E39" s="272"/>
      <c r="F39" s="222">
        <v>33511.199999999997</v>
      </c>
      <c r="G39" s="222">
        <v>50057.89</v>
      </c>
      <c r="H39" s="273">
        <f t="shared" si="0"/>
        <v>4653.6259838979786</v>
      </c>
      <c r="I39" s="273">
        <f t="shared" si="1"/>
        <v>387.80216532483155</v>
      </c>
      <c r="J39" s="249">
        <v>2.17</v>
      </c>
      <c r="K39" s="222">
        <f t="shared" si="2"/>
        <v>10098.368385058613</v>
      </c>
      <c r="L39" s="274">
        <v>68</v>
      </c>
      <c r="M39" s="222">
        <f t="shared" si="3"/>
        <v>686689.05018398573</v>
      </c>
      <c r="N39" s="222">
        <f t="shared" si="4"/>
        <v>566193.14485226339</v>
      </c>
      <c r="O39" s="275">
        <f t="shared" si="5"/>
        <v>651.12211658009812</v>
      </c>
      <c r="P39" s="258">
        <f t="shared" si="6"/>
        <v>663.91915835743771</v>
      </c>
      <c r="Q39" s="275">
        <f t="shared" si="7"/>
        <v>6.5745191009248791E-2</v>
      </c>
      <c r="S39" s="258">
        <f t="shared" si="8"/>
        <v>663.91915835743771</v>
      </c>
    </row>
    <row r="40" spans="1:22">
      <c r="A40" s="269" t="s">
        <v>69</v>
      </c>
      <c r="B40" s="270" t="s">
        <v>70</v>
      </c>
      <c r="C40" s="271">
        <v>3.46</v>
      </c>
      <c r="D40" s="272">
        <v>3.61</v>
      </c>
      <c r="E40" s="272"/>
      <c r="F40" s="222">
        <v>359.84</v>
      </c>
      <c r="G40" s="222">
        <v>0</v>
      </c>
      <c r="H40" s="273">
        <f t="shared" si="0"/>
        <v>104</v>
      </c>
      <c r="I40" s="273">
        <f t="shared" si="1"/>
        <v>8.6666666666666661</v>
      </c>
      <c r="J40" s="252">
        <v>1</v>
      </c>
      <c r="K40" s="222">
        <f t="shared" si="2"/>
        <v>104</v>
      </c>
      <c r="L40" s="274">
        <v>125</v>
      </c>
      <c r="M40" s="222">
        <f t="shared" si="3"/>
        <v>13000</v>
      </c>
      <c r="N40" s="222">
        <f t="shared" si="4"/>
        <v>10718.841200551122</v>
      </c>
      <c r="O40" s="275">
        <f t="shared" si="5"/>
        <v>12.326667380633699</v>
      </c>
      <c r="P40" s="258">
        <f t="shared" si="6"/>
        <v>12.56893357529756</v>
      </c>
      <c r="Q40" s="275">
        <f t="shared" si="7"/>
        <v>0.12085513053170731</v>
      </c>
      <c r="S40" s="258">
        <f t="shared" si="8"/>
        <v>12.56893357529756</v>
      </c>
    </row>
    <row r="41" spans="1:22">
      <c r="A41" s="269" t="s">
        <v>71</v>
      </c>
      <c r="B41" s="270" t="s">
        <v>72</v>
      </c>
      <c r="C41" s="271">
        <v>3.5</v>
      </c>
      <c r="D41" s="272">
        <v>3.5</v>
      </c>
      <c r="E41" s="272"/>
      <c r="F41" s="222">
        <v>829.5</v>
      </c>
      <c r="G41" s="222">
        <v>752.5</v>
      </c>
      <c r="H41" s="273">
        <f t="shared" si="0"/>
        <v>452</v>
      </c>
      <c r="I41" s="273">
        <f t="shared" si="1"/>
        <v>37.666666666666664</v>
      </c>
      <c r="K41" s="222"/>
      <c r="L41" s="274"/>
    </row>
    <row r="42" spans="1:22">
      <c r="A42" s="269" t="s">
        <v>73</v>
      </c>
      <c r="B42" s="270" t="s">
        <v>74</v>
      </c>
      <c r="C42" s="271">
        <v>3.46</v>
      </c>
      <c r="D42" s="272">
        <v>3.61</v>
      </c>
      <c r="E42" s="272"/>
      <c r="F42" s="222">
        <f>69859.04+685</f>
        <v>70544.039999999994</v>
      </c>
      <c r="G42" s="222">
        <f>26840.46+170</f>
        <v>27010.46</v>
      </c>
      <c r="H42" s="273">
        <f t="shared" si="0"/>
        <v>27870.572750708532</v>
      </c>
      <c r="I42" s="273">
        <f t="shared" si="1"/>
        <v>2322.547729225711</v>
      </c>
      <c r="J42" s="252">
        <v>1</v>
      </c>
      <c r="K42" s="222">
        <f t="shared" si="2"/>
        <v>27870.572750708532</v>
      </c>
      <c r="L42" s="274">
        <v>34</v>
      </c>
      <c r="M42" s="222">
        <f t="shared" ref="M42:M50" si="9">K42*L42</f>
        <v>947599.47352409014</v>
      </c>
      <c r="N42" s="222">
        <f t="shared" si="4"/>
        <v>781320.63680235145</v>
      </c>
      <c r="O42" s="275">
        <f t="shared" si="5"/>
        <v>898.51873232269759</v>
      </c>
      <c r="P42" s="258">
        <f t="shared" si="6"/>
        <v>916.17806451624836</v>
      </c>
      <c r="Q42" s="275">
        <f t="shared" si="7"/>
        <v>3.2872595504624388E-2</v>
      </c>
      <c r="S42" s="258">
        <f t="shared" si="8"/>
        <v>916.17806451624824</v>
      </c>
    </row>
    <row r="43" spans="1:22">
      <c r="A43" s="269" t="s">
        <v>75</v>
      </c>
      <c r="B43" s="270" t="s">
        <v>76</v>
      </c>
      <c r="C43" s="271">
        <v>27.26</v>
      </c>
      <c r="D43" s="272">
        <v>28.03</v>
      </c>
      <c r="E43" s="272"/>
      <c r="F43" s="222">
        <v>136.30000000000001</v>
      </c>
      <c r="G43" s="222">
        <v>0</v>
      </c>
      <c r="H43" s="273">
        <f t="shared" si="0"/>
        <v>5</v>
      </c>
      <c r="I43" s="273">
        <f t="shared" si="1"/>
        <v>0.41666666666666669</v>
      </c>
      <c r="J43" s="252">
        <v>1</v>
      </c>
      <c r="K43" s="222">
        <f t="shared" si="2"/>
        <v>5</v>
      </c>
      <c r="L43" s="274">
        <v>125</v>
      </c>
      <c r="M43" s="222">
        <f t="shared" si="9"/>
        <v>625</v>
      </c>
      <c r="N43" s="222">
        <f t="shared" si="4"/>
        <v>515.32890387265013</v>
      </c>
      <c r="O43" s="275">
        <f t="shared" si="5"/>
        <v>0.59262823945354326</v>
      </c>
      <c r="P43" s="258">
        <f t="shared" si="6"/>
        <v>0.60427565265853656</v>
      </c>
      <c r="Q43" s="275">
        <f t="shared" si="7"/>
        <v>0.12085513053170731</v>
      </c>
      <c r="S43" s="258">
        <f t="shared" si="8"/>
        <v>0.60427565265853656</v>
      </c>
    </row>
    <row r="44" spans="1:22">
      <c r="A44" s="269" t="s">
        <v>77</v>
      </c>
      <c r="B44" s="270" t="s">
        <v>78</v>
      </c>
      <c r="C44" s="271">
        <v>6.56</v>
      </c>
      <c r="D44" s="272">
        <v>6.71</v>
      </c>
      <c r="E44" s="272"/>
      <c r="F44" s="222">
        <f>1731.09+13</f>
        <v>1744.09</v>
      </c>
      <c r="G44" s="222">
        <v>912.71</v>
      </c>
      <c r="H44" s="273">
        <f t="shared" si="0"/>
        <v>401.88973274326634</v>
      </c>
      <c r="I44" s="273">
        <f t="shared" si="1"/>
        <v>33.490811061938864</v>
      </c>
      <c r="J44" s="252">
        <v>1</v>
      </c>
      <c r="K44" s="222">
        <f t="shared" si="2"/>
        <v>401.88973274326634</v>
      </c>
      <c r="L44" s="274">
        <v>34</v>
      </c>
      <c r="M44" s="222">
        <f t="shared" si="9"/>
        <v>13664.250913271055</v>
      </c>
      <c r="N44" s="222">
        <f t="shared" si="4"/>
        <v>11266.533512602929</v>
      </c>
      <c r="O44" s="275">
        <f t="shared" si="5"/>
        <v>12.956513539493274</v>
      </c>
      <c r="P44" s="258">
        <f t="shared" si="6"/>
        <v>13.211158621930995</v>
      </c>
      <c r="Q44" s="275">
        <f t="shared" si="7"/>
        <v>3.2872595504624388E-2</v>
      </c>
      <c r="S44" s="258">
        <f t="shared" si="8"/>
        <v>13.211158621930993</v>
      </c>
    </row>
    <row r="45" spans="1:22">
      <c r="A45" s="269" t="s">
        <v>79</v>
      </c>
      <c r="B45" s="270" t="s">
        <v>80</v>
      </c>
      <c r="C45" s="271">
        <v>6.56</v>
      </c>
      <c r="D45" s="272">
        <v>6.71</v>
      </c>
      <c r="E45" s="272"/>
      <c r="F45" s="222">
        <v>1040</v>
      </c>
      <c r="G45" s="222">
        <v>657.79</v>
      </c>
      <c r="H45" s="273">
        <f t="shared" si="0"/>
        <v>256.56788193813384</v>
      </c>
      <c r="I45" s="273">
        <f t="shared" si="1"/>
        <v>21.38065682817782</v>
      </c>
      <c r="J45" s="252">
        <v>1</v>
      </c>
      <c r="K45" s="222">
        <f t="shared" si="2"/>
        <v>256.56788193813384</v>
      </c>
      <c r="L45" s="274">
        <v>34</v>
      </c>
      <c r="M45" s="222">
        <f t="shared" si="9"/>
        <v>8723.3079858965502</v>
      </c>
      <c r="N45" s="222">
        <f t="shared" si="4"/>
        <v>7192.5963880249665</v>
      </c>
      <c r="O45" s="275">
        <f t="shared" si="5"/>
        <v>8.27148584622865</v>
      </c>
      <c r="P45" s="258">
        <f t="shared" si="6"/>
        <v>8.4340522024304985</v>
      </c>
      <c r="Q45" s="275">
        <f t="shared" si="7"/>
        <v>3.2872595504624388E-2</v>
      </c>
      <c r="S45" s="258">
        <f t="shared" si="8"/>
        <v>8.4340522024304985</v>
      </c>
    </row>
    <row r="46" spans="1:22" s="249" customFormat="1">
      <c r="A46" s="269" t="s">
        <v>81</v>
      </c>
      <c r="B46" s="269" t="s">
        <v>82</v>
      </c>
      <c r="C46" s="277">
        <v>11.04</v>
      </c>
      <c r="D46" s="272">
        <v>11.19</v>
      </c>
      <c r="E46" s="272"/>
      <c r="F46" s="273">
        <v>22.08</v>
      </c>
      <c r="G46" s="273">
        <v>0</v>
      </c>
      <c r="H46" s="273">
        <f t="shared" si="0"/>
        <v>2</v>
      </c>
      <c r="I46" s="273">
        <f t="shared" si="1"/>
        <v>0.16666666666666666</v>
      </c>
      <c r="J46" s="252">
        <v>1</v>
      </c>
      <c r="K46" s="222">
        <f t="shared" si="2"/>
        <v>2</v>
      </c>
      <c r="L46" s="274">
        <v>34</v>
      </c>
      <c r="M46" s="222">
        <f t="shared" si="9"/>
        <v>68</v>
      </c>
      <c r="N46" s="222">
        <f t="shared" si="4"/>
        <v>56.067784741344333</v>
      </c>
      <c r="O46" s="275">
        <f t="shared" si="5"/>
        <v>6.4477952452545506E-2</v>
      </c>
      <c r="P46" s="258">
        <f t="shared" si="6"/>
        <v>6.5745191009248777E-2</v>
      </c>
      <c r="Q46" s="275">
        <f t="shared" si="7"/>
        <v>3.2872595504624388E-2</v>
      </c>
      <c r="S46" s="258">
        <f t="shared" si="8"/>
        <v>6.5745191009248777E-2</v>
      </c>
    </row>
    <row r="47" spans="1:22" s="249" customFormat="1">
      <c r="A47" s="269" t="s">
        <v>83</v>
      </c>
      <c r="B47" s="269" t="s">
        <v>84</v>
      </c>
      <c r="C47" s="277">
        <v>14.49</v>
      </c>
      <c r="D47" s="272">
        <v>14.8</v>
      </c>
      <c r="E47" s="272"/>
      <c r="F47" s="273">
        <v>2550.2399999999998</v>
      </c>
      <c r="G47" s="273">
        <v>967.54</v>
      </c>
      <c r="H47" s="273">
        <f t="shared" si="0"/>
        <v>241.37432432432428</v>
      </c>
      <c r="I47" s="273">
        <f t="shared" si="1"/>
        <v>20.114527027027023</v>
      </c>
      <c r="J47" s="252">
        <v>1</v>
      </c>
      <c r="K47" s="222">
        <f t="shared" si="2"/>
        <v>241.37432432432428</v>
      </c>
      <c r="L47" s="274">
        <v>47</v>
      </c>
      <c r="M47" s="222">
        <f t="shared" si="9"/>
        <v>11344.593243243242</v>
      </c>
      <c r="N47" s="222">
        <f t="shared" si="4"/>
        <v>9353.9148814745804</v>
      </c>
      <c r="O47" s="275">
        <f t="shared" si="5"/>
        <v>10.757002113695687</v>
      </c>
      <c r="P47" s="258">
        <f t="shared" si="6"/>
        <v>10.968418377930295</v>
      </c>
      <c r="Q47" s="275">
        <f t="shared" si="7"/>
        <v>4.5441529079921952E-2</v>
      </c>
      <c r="S47" s="258">
        <f t="shared" si="8"/>
        <v>10.968418377930295</v>
      </c>
    </row>
    <row r="48" spans="1:22" s="249" customFormat="1">
      <c r="A48" s="269" t="s">
        <v>85</v>
      </c>
      <c r="B48" s="269" t="s">
        <v>86</v>
      </c>
      <c r="C48" s="277">
        <v>17.940000000000001</v>
      </c>
      <c r="D48" s="272">
        <v>18.41</v>
      </c>
      <c r="E48" s="272"/>
      <c r="F48" s="273">
        <v>1919.58</v>
      </c>
      <c r="G48" s="273">
        <v>992.08</v>
      </c>
      <c r="H48" s="273">
        <f t="shared" si="0"/>
        <v>160.88810429114611</v>
      </c>
      <c r="I48" s="273">
        <f t="shared" si="1"/>
        <v>13.407342024262176</v>
      </c>
      <c r="J48" s="252">
        <v>1</v>
      </c>
      <c r="K48" s="222">
        <f t="shared" si="2"/>
        <v>160.88810429114611</v>
      </c>
      <c r="L48" s="274">
        <v>68</v>
      </c>
      <c r="M48" s="222">
        <f t="shared" si="9"/>
        <v>10940.391091797936</v>
      </c>
      <c r="N48" s="222">
        <f t="shared" si="4"/>
        <v>9020.6395988389377</v>
      </c>
      <c r="O48" s="275">
        <f t="shared" si="5"/>
        <v>10.373735538664702</v>
      </c>
      <c r="P48" s="258">
        <f t="shared" si="6"/>
        <v>10.577619147737339</v>
      </c>
      <c r="Q48" s="275">
        <f t="shared" si="7"/>
        <v>6.5745191009248777E-2</v>
      </c>
      <c r="S48" s="258">
        <f t="shared" si="8"/>
        <v>10.577619147737339</v>
      </c>
    </row>
    <row r="49" spans="1:19" s="249" customFormat="1">
      <c r="A49" s="269" t="s">
        <v>87</v>
      </c>
      <c r="B49" s="269" t="s">
        <v>88</v>
      </c>
      <c r="C49" s="277">
        <f>C47</f>
        <v>14.49</v>
      </c>
      <c r="D49" s="272">
        <f>D47</f>
        <v>14.8</v>
      </c>
      <c r="E49" s="272"/>
      <c r="F49" s="273">
        <v>57.96</v>
      </c>
      <c r="G49" s="273">
        <v>0</v>
      </c>
      <c r="H49" s="273">
        <f t="shared" si="0"/>
        <v>4</v>
      </c>
      <c r="I49" s="273">
        <f t="shared" si="1"/>
        <v>0.33333333333333331</v>
      </c>
      <c r="J49" s="252">
        <v>1</v>
      </c>
      <c r="K49" s="222">
        <f t="shared" si="2"/>
        <v>4</v>
      </c>
      <c r="L49" s="274">
        <v>47</v>
      </c>
      <c r="M49" s="222">
        <f t="shared" si="9"/>
        <v>188</v>
      </c>
      <c r="N49" s="222">
        <f t="shared" si="4"/>
        <v>155.01093428489315</v>
      </c>
      <c r="O49" s="275">
        <f t="shared" si="5"/>
        <v>0.1782625744276258</v>
      </c>
      <c r="P49" s="258">
        <f t="shared" si="6"/>
        <v>0.18176611631968778</v>
      </c>
      <c r="Q49" s="275">
        <f t="shared" si="7"/>
        <v>4.5441529079921945E-2</v>
      </c>
      <c r="S49" s="258">
        <f t="shared" si="8"/>
        <v>0.18176611631968778</v>
      </c>
    </row>
    <row r="50" spans="1:19" s="249" customFormat="1">
      <c r="A50" s="269" t="s">
        <v>89</v>
      </c>
      <c r="B50" s="269" t="s">
        <v>90</v>
      </c>
      <c r="C50" s="277">
        <f>C48</f>
        <v>17.940000000000001</v>
      </c>
      <c r="D50" s="272">
        <f>D48</f>
        <v>18.41</v>
      </c>
      <c r="E50" s="272"/>
      <c r="F50" s="273">
        <v>39.380000000000003</v>
      </c>
      <c r="G50" s="273">
        <v>0</v>
      </c>
      <c r="H50" s="273">
        <f t="shared" si="0"/>
        <v>2.1950947603121516</v>
      </c>
      <c r="I50" s="273">
        <f t="shared" si="1"/>
        <v>0.18292456335934595</v>
      </c>
      <c r="J50" s="252">
        <v>1</v>
      </c>
      <c r="K50" s="222">
        <f t="shared" si="2"/>
        <v>2.1950947603121516</v>
      </c>
      <c r="L50" s="274">
        <v>68</v>
      </c>
      <c r="M50" s="222">
        <f t="shared" si="9"/>
        <v>149.26644370122631</v>
      </c>
      <c r="N50" s="222">
        <f t="shared" si="4"/>
        <v>123.07410050803455</v>
      </c>
      <c r="O50" s="275">
        <f t="shared" si="5"/>
        <v>0.14153521558423868</v>
      </c>
      <c r="P50" s="258">
        <f t="shared" si="6"/>
        <v>0.14431692430012358</v>
      </c>
      <c r="Q50" s="275">
        <f t="shared" si="7"/>
        <v>6.5745191009248777E-2</v>
      </c>
      <c r="S50" s="258">
        <f t="shared" si="8"/>
        <v>0.14431692430012358</v>
      </c>
    </row>
    <row r="51" spans="1:19" s="249" customFormat="1">
      <c r="A51" s="269" t="s">
        <v>91</v>
      </c>
      <c r="B51" s="269" t="s">
        <v>92</v>
      </c>
      <c r="C51" s="277">
        <v>11.04</v>
      </c>
      <c r="D51" s="272">
        <v>11.19</v>
      </c>
      <c r="E51" s="272"/>
      <c r="F51" s="273">
        <v>17.989999999999998</v>
      </c>
      <c r="G51" s="273">
        <v>0</v>
      </c>
      <c r="H51" s="273">
        <f t="shared" si="0"/>
        <v>1.6295289855072463</v>
      </c>
      <c r="I51" s="273">
        <f t="shared" si="1"/>
        <v>0.13579408212560387</v>
      </c>
      <c r="J51" s="252"/>
      <c r="K51" s="222"/>
      <c r="L51" s="274"/>
    </row>
    <row r="52" spans="1:19" s="249" customFormat="1">
      <c r="A52" s="269" t="s">
        <v>93</v>
      </c>
      <c r="B52" s="269" t="s">
        <v>94</v>
      </c>
      <c r="C52" s="277">
        <v>11.04</v>
      </c>
      <c r="D52" s="272">
        <v>11.19</v>
      </c>
      <c r="E52" s="272"/>
      <c r="F52" s="273">
        <v>22.08</v>
      </c>
      <c r="G52" s="273">
        <v>17.940000000000001</v>
      </c>
      <c r="H52" s="273">
        <f t="shared" si="0"/>
        <v>3.6032171581769439</v>
      </c>
      <c r="I52" s="273">
        <f t="shared" si="1"/>
        <v>0.30026809651474534</v>
      </c>
      <c r="K52" s="272"/>
      <c r="L52" s="274"/>
    </row>
    <row r="53" spans="1:19">
      <c r="A53" s="269" t="s">
        <v>95</v>
      </c>
      <c r="B53" s="270" t="s">
        <v>96</v>
      </c>
      <c r="C53" s="271">
        <f t="shared" ref="C53:C61" si="10">D53</f>
        <v>1.95</v>
      </c>
      <c r="D53" s="272">
        <v>1.95</v>
      </c>
      <c r="E53" s="272"/>
      <c r="F53" s="222">
        <v>563.02</v>
      </c>
      <c r="G53" s="222">
        <v>289.58999999999997</v>
      </c>
      <c r="H53" s="273">
        <f t="shared" si="0"/>
        <v>437.23589743589741</v>
      </c>
      <c r="I53" s="273">
        <f t="shared" si="1"/>
        <v>36.436324786324782</v>
      </c>
      <c r="K53" s="275"/>
      <c r="L53" s="274"/>
    </row>
    <row r="54" spans="1:19">
      <c r="A54" s="269" t="s">
        <v>97</v>
      </c>
      <c r="B54" s="270" t="s">
        <v>98</v>
      </c>
      <c r="C54" s="271">
        <f t="shared" si="10"/>
        <v>3.2</v>
      </c>
      <c r="D54" s="272">
        <f>D53+1.25</f>
        <v>3.2</v>
      </c>
      <c r="E54" s="272"/>
      <c r="F54" s="222">
        <v>153.6</v>
      </c>
      <c r="G54" s="222">
        <v>64</v>
      </c>
      <c r="H54" s="273">
        <f t="shared" si="0"/>
        <v>68</v>
      </c>
      <c r="I54" s="273">
        <f t="shared" si="1"/>
        <v>5.666666666666667</v>
      </c>
      <c r="K54" s="275"/>
      <c r="L54" s="274"/>
      <c r="M54" s="272"/>
      <c r="N54" s="272"/>
    </row>
    <row r="55" spans="1:19">
      <c r="A55" s="269" t="s">
        <v>99</v>
      </c>
      <c r="B55" s="270" t="s">
        <v>100</v>
      </c>
      <c r="C55" s="271">
        <f t="shared" si="10"/>
        <v>4.45</v>
      </c>
      <c r="D55" s="272">
        <f>D54+1.25</f>
        <v>4.45</v>
      </c>
      <c r="E55" s="272"/>
      <c r="F55" s="222">
        <v>2.97</v>
      </c>
      <c r="G55" s="222">
        <v>0</v>
      </c>
      <c r="H55" s="273">
        <f t="shared" si="0"/>
        <v>0.66741573033707868</v>
      </c>
      <c r="I55" s="273">
        <f t="shared" si="1"/>
        <v>5.561797752808989E-2</v>
      </c>
      <c r="K55" s="275"/>
      <c r="L55" s="274"/>
    </row>
    <row r="56" spans="1:19">
      <c r="A56" s="269" t="s">
        <v>101</v>
      </c>
      <c r="B56" s="270" t="s">
        <v>102</v>
      </c>
      <c r="C56" s="271">
        <f t="shared" si="10"/>
        <v>5.7</v>
      </c>
      <c r="D56" s="272">
        <f>D55+1.25</f>
        <v>5.7</v>
      </c>
      <c r="E56" s="272"/>
      <c r="F56" s="222">
        <v>45.84</v>
      </c>
      <c r="G56" s="222">
        <v>0</v>
      </c>
      <c r="H56" s="273">
        <f t="shared" si="0"/>
        <v>8.0421052631578949</v>
      </c>
      <c r="I56" s="273">
        <f t="shared" si="1"/>
        <v>0.6701754385964912</v>
      </c>
      <c r="K56" s="275"/>
      <c r="L56" s="274"/>
    </row>
    <row r="57" spans="1:19">
      <c r="A57" s="269" t="s">
        <v>103</v>
      </c>
      <c r="B57" s="270" t="s">
        <v>104</v>
      </c>
      <c r="C57" s="271">
        <f t="shared" si="10"/>
        <v>6.95</v>
      </c>
      <c r="D57" s="272">
        <f>D56+1.25</f>
        <v>6.95</v>
      </c>
      <c r="E57" s="272"/>
      <c r="F57" s="222">
        <v>17.37</v>
      </c>
      <c r="G57" s="222">
        <v>0</v>
      </c>
      <c r="H57" s="273">
        <f t="shared" si="0"/>
        <v>2.4992805755395686</v>
      </c>
      <c r="I57" s="273">
        <f t="shared" si="1"/>
        <v>0.20827338129496406</v>
      </c>
      <c r="K57" s="275"/>
      <c r="L57" s="274"/>
    </row>
    <row r="58" spans="1:19" s="249" customFormat="1">
      <c r="A58" s="269" t="s">
        <v>105</v>
      </c>
      <c r="B58" s="269" t="s">
        <v>106</v>
      </c>
      <c r="C58" s="277">
        <f t="shared" si="10"/>
        <v>11.95</v>
      </c>
      <c r="D58" s="272">
        <f>D53+(1.25*8)</f>
        <v>11.95</v>
      </c>
      <c r="E58" s="272"/>
      <c r="F58" s="273">
        <v>95.6</v>
      </c>
      <c r="G58" s="273">
        <v>47.8</v>
      </c>
      <c r="H58" s="273">
        <f t="shared" si="0"/>
        <v>12</v>
      </c>
      <c r="I58" s="273">
        <f t="shared" si="1"/>
        <v>1</v>
      </c>
      <c r="K58" s="272"/>
      <c r="L58" s="274"/>
      <c r="N58" s="272"/>
    </row>
    <row r="59" spans="1:19" s="249" customFormat="1">
      <c r="A59" s="269" t="s">
        <v>107</v>
      </c>
      <c r="B59" s="269" t="s">
        <v>108</v>
      </c>
      <c r="C59" s="277">
        <f t="shared" si="10"/>
        <v>8</v>
      </c>
      <c r="D59" s="272">
        <f>6.65+1.35</f>
        <v>8</v>
      </c>
      <c r="E59" s="272"/>
      <c r="F59" s="273">
        <v>56</v>
      </c>
      <c r="G59" s="273">
        <v>32</v>
      </c>
      <c r="H59" s="273">
        <f t="shared" si="0"/>
        <v>11</v>
      </c>
      <c r="I59" s="273">
        <f t="shared" si="1"/>
        <v>0.91666666666666663</v>
      </c>
      <c r="K59" s="272"/>
      <c r="L59" s="274"/>
      <c r="M59" s="278"/>
    </row>
    <row r="60" spans="1:19">
      <c r="A60" s="269" t="s">
        <v>109</v>
      </c>
      <c r="B60" s="270" t="s">
        <v>110</v>
      </c>
      <c r="C60" s="271">
        <f t="shared" si="10"/>
        <v>6.65</v>
      </c>
      <c r="D60" s="272">
        <v>6.65</v>
      </c>
      <c r="E60" s="272"/>
      <c r="F60" s="222">
        <f>7139.14+28</f>
        <v>7167.14</v>
      </c>
      <c r="G60" s="222">
        <f>3673.2+13</f>
        <v>3686.2</v>
      </c>
      <c r="H60" s="273">
        <f t="shared" si="0"/>
        <v>1632.0812030075188</v>
      </c>
      <c r="I60" s="273">
        <f t="shared" si="1"/>
        <v>136.00676691729322</v>
      </c>
      <c r="K60" s="275"/>
      <c r="L60" s="274"/>
    </row>
    <row r="61" spans="1:19">
      <c r="A61" s="269" t="s">
        <v>111</v>
      </c>
      <c r="B61" s="270" t="s">
        <v>112</v>
      </c>
      <c r="C61" s="271">
        <f t="shared" si="10"/>
        <v>4.5</v>
      </c>
      <c r="D61" s="272">
        <v>4.5</v>
      </c>
      <c r="E61" s="272"/>
      <c r="F61" s="222">
        <v>195.5</v>
      </c>
      <c r="G61" s="222">
        <v>90</v>
      </c>
      <c r="H61" s="273">
        <f t="shared" si="0"/>
        <v>63.444444444444443</v>
      </c>
      <c r="I61" s="273">
        <f t="shared" si="1"/>
        <v>5.2870370370370372</v>
      </c>
      <c r="K61" s="275"/>
      <c r="L61" s="274"/>
    </row>
    <row r="62" spans="1:19">
      <c r="A62" s="269" t="s">
        <v>113</v>
      </c>
      <c r="B62" s="270" t="s">
        <v>114</v>
      </c>
      <c r="C62" s="271">
        <v>30</v>
      </c>
      <c r="D62" s="272">
        <v>30</v>
      </c>
      <c r="E62" s="272"/>
      <c r="F62" s="222">
        <v>30</v>
      </c>
      <c r="G62" s="222">
        <v>0</v>
      </c>
      <c r="H62" s="273">
        <f t="shared" si="0"/>
        <v>1</v>
      </c>
      <c r="I62" s="273">
        <f t="shared" si="1"/>
        <v>8.3333333333333329E-2</v>
      </c>
      <c r="K62" s="275"/>
      <c r="L62" s="274"/>
    </row>
    <row r="63" spans="1:19">
      <c r="A63" s="269" t="s">
        <v>115</v>
      </c>
      <c r="B63" s="270" t="s">
        <v>116</v>
      </c>
      <c r="C63" s="271">
        <v>4.1100000000000003</v>
      </c>
      <c r="D63" s="272">
        <v>4.26</v>
      </c>
      <c r="E63" s="272"/>
      <c r="F63" s="222">
        <v>304.14</v>
      </c>
      <c r="G63" s="222">
        <v>117.15</v>
      </c>
      <c r="H63" s="273">
        <f t="shared" si="0"/>
        <v>101.49999999999999</v>
      </c>
      <c r="I63" s="273">
        <f t="shared" si="1"/>
        <v>8.4583333333333321</v>
      </c>
      <c r="J63" s="252">
        <v>1</v>
      </c>
      <c r="K63" s="222">
        <f t="shared" ref="K63:K65" si="11">H63*J63</f>
        <v>101.49999999999999</v>
      </c>
      <c r="L63" s="274">
        <v>34</v>
      </c>
      <c r="M63" s="222">
        <f>K63*L63</f>
        <v>3450.9999999999995</v>
      </c>
      <c r="N63" s="222">
        <f t="shared" ref="N63" si="12">M63*$M$200</f>
        <v>2845.4400756232244</v>
      </c>
      <c r="O63" s="275">
        <f t="shared" ref="O63" si="13">N63*$O$6</f>
        <v>3.2722560869666841</v>
      </c>
      <c r="P63" s="258">
        <f t="shared" ref="P63" si="14">O63/$P$6</f>
        <v>3.3365684437193752</v>
      </c>
      <c r="Q63" s="275">
        <f t="shared" ref="Q63" si="15">P63/K63</f>
        <v>3.2872595504624388E-2</v>
      </c>
      <c r="S63" s="258">
        <f t="shared" ref="S63" si="16">H63*J63*Q63</f>
        <v>3.3365684437193748</v>
      </c>
    </row>
    <row r="64" spans="1:19">
      <c r="A64" s="269" t="s">
        <v>117</v>
      </c>
      <c r="B64" s="269" t="s">
        <v>118</v>
      </c>
      <c r="C64" s="271">
        <v>10</v>
      </c>
      <c r="D64" s="272">
        <v>10</v>
      </c>
      <c r="E64" s="272"/>
      <c r="F64" s="222">
        <v>20</v>
      </c>
      <c r="G64" s="222">
        <v>0</v>
      </c>
      <c r="H64" s="273">
        <f t="shared" si="0"/>
        <v>2</v>
      </c>
      <c r="I64" s="273">
        <f t="shared" si="1"/>
        <v>0.16666666666666666</v>
      </c>
      <c r="K64" s="275"/>
      <c r="L64" s="274"/>
    </row>
    <row r="65" spans="1:22">
      <c r="A65" s="269" t="s">
        <v>119</v>
      </c>
      <c r="B65" s="270" t="s">
        <v>120</v>
      </c>
      <c r="C65" s="271">
        <v>5.81</v>
      </c>
      <c r="D65" s="272">
        <v>5.96</v>
      </c>
      <c r="E65" s="272"/>
      <c r="F65" s="222">
        <v>3711.78</v>
      </c>
      <c r="G65" s="222">
        <v>1655.68</v>
      </c>
      <c r="H65" s="273">
        <f t="shared" si="0"/>
        <v>916.65924291605552</v>
      </c>
      <c r="I65" s="273">
        <f t="shared" si="1"/>
        <v>76.388270243004627</v>
      </c>
      <c r="J65" s="252">
        <v>1</v>
      </c>
      <c r="K65" s="222">
        <f t="shared" si="11"/>
        <v>916.65924291605552</v>
      </c>
      <c r="L65" s="274">
        <v>34</v>
      </c>
      <c r="M65" s="222">
        <f>K65*L65</f>
        <v>31166.414259145888</v>
      </c>
      <c r="N65" s="222">
        <f t="shared" ref="N65" si="17">M65*$M$200</f>
        <v>25697.526556490531</v>
      </c>
      <c r="O65" s="275">
        <f t="shared" ref="O65" si="18">N65*$O$6</f>
        <v>29.552155539963891</v>
      </c>
      <c r="P65" s="258">
        <f t="shared" ref="P65" si="19">O65/$P$6</f>
        <v>30.132968507954718</v>
      </c>
      <c r="Q65" s="275">
        <f t="shared" ref="Q65" si="20">P65/K65</f>
        <v>3.2872595504624381E-2</v>
      </c>
      <c r="S65" s="258">
        <f t="shared" ref="S65" si="21">H65*J65*Q65</f>
        <v>30.132968507954715</v>
      </c>
    </row>
    <row r="66" spans="1:22">
      <c r="A66" s="269" t="s">
        <v>121</v>
      </c>
      <c r="B66" s="270" t="s">
        <v>122</v>
      </c>
      <c r="C66" s="271">
        <f t="shared" ref="C66:C71" si="22">D66</f>
        <v>13</v>
      </c>
      <c r="D66" s="272">
        <v>13</v>
      </c>
      <c r="E66" s="272"/>
      <c r="F66" s="222">
        <v>286</v>
      </c>
      <c r="G66" s="222">
        <v>1570</v>
      </c>
      <c r="H66" s="273">
        <f t="shared" si="0"/>
        <v>142.76923076923077</v>
      </c>
      <c r="I66" s="273">
        <f>IF(D66="","",H66/12)</f>
        <v>11.897435897435898</v>
      </c>
      <c r="K66" s="222"/>
      <c r="L66" s="274"/>
      <c r="M66" s="222"/>
    </row>
    <row r="67" spans="1:22">
      <c r="A67" s="269" t="s">
        <v>123</v>
      </c>
      <c r="B67" s="270" t="s">
        <v>124</v>
      </c>
      <c r="C67" s="271">
        <f t="shared" si="22"/>
        <v>12</v>
      </c>
      <c r="D67" s="272">
        <v>12</v>
      </c>
      <c r="E67" s="272"/>
      <c r="F67" s="222">
        <f>63896.5+168</f>
        <v>64064.5</v>
      </c>
      <c r="G67" s="222">
        <f>24291.58+60</f>
        <v>24351.58</v>
      </c>
      <c r="H67" s="273">
        <f t="shared" si="0"/>
        <v>7368.0066666666662</v>
      </c>
      <c r="I67" s="273">
        <f t="shared" si="1"/>
        <v>614.00055555555548</v>
      </c>
      <c r="K67" s="275"/>
      <c r="L67" s="274"/>
    </row>
    <row r="68" spans="1:22">
      <c r="A68" s="269" t="s">
        <v>125</v>
      </c>
      <c r="B68" s="270" t="s">
        <v>126</v>
      </c>
      <c r="C68" s="271">
        <f t="shared" si="22"/>
        <v>7</v>
      </c>
      <c r="D68" s="272">
        <v>7</v>
      </c>
      <c r="E68" s="272"/>
      <c r="F68" s="222">
        <v>1526</v>
      </c>
      <c r="G68" s="222">
        <v>553</v>
      </c>
      <c r="H68" s="273">
        <f t="shared" si="0"/>
        <v>297</v>
      </c>
      <c r="I68" s="273">
        <f t="shared" si="1"/>
        <v>24.75</v>
      </c>
      <c r="K68" s="275"/>
      <c r="L68" s="274"/>
    </row>
    <row r="69" spans="1:22">
      <c r="A69" s="269" t="s">
        <v>127</v>
      </c>
      <c r="B69" s="270" t="s">
        <v>128</v>
      </c>
      <c r="C69" s="271">
        <f t="shared" si="22"/>
        <v>9</v>
      </c>
      <c r="D69" s="272">
        <v>9</v>
      </c>
      <c r="E69" s="272"/>
      <c r="F69" s="222">
        <v>1134</v>
      </c>
      <c r="G69" s="222">
        <v>342</v>
      </c>
      <c r="H69" s="273">
        <f t="shared" si="0"/>
        <v>164</v>
      </c>
      <c r="I69" s="273">
        <f t="shared" si="1"/>
        <v>13.666666666666666</v>
      </c>
      <c r="K69" s="275"/>
      <c r="L69" s="274"/>
    </row>
    <row r="70" spans="1:22">
      <c r="A70" s="269" t="s">
        <v>129</v>
      </c>
      <c r="B70" s="270" t="s">
        <v>130</v>
      </c>
      <c r="C70" s="271">
        <f t="shared" si="22"/>
        <v>6</v>
      </c>
      <c r="D70" s="272">
        <v>6</v>
      </c>
      <c r="E70" s="272"/>
      <c r="F70" s="222">
        <f>611+6</f>
        <v>617</v>
      </c>
      <c r="G70" s="222">
        <v>209</v>
      </c>
      <c r="H70" s="273">
        <f t="shared" si="0"/>
        <v>137.66666666666666</v>
      </c>
      <c r="I70" s="273">
        <f t="shared" si="1"/>
        <v>11.472222222222221</v>
      </c>
      <c r="K70" s="275"/>
      <c r="L70" s="274"/>
    </row>
    <row r="71" spans="1:22">
      <c r="A71" s="269" t="s">
        <v>131</v>
      </c>
      <c r="B71" s="270" t="s">
        <v>132</v>
      </c>
      <c r="C71" s="271">
        <f t="shared" si="22"/>
        <v>85</v>
      </c>
      <c r="D71" s="272">
        <v>85</v>
      </c>
      <c r="E71" s="272"/>
      <c r="F71" s="222">
        <f>36261.83+80</f>
        <v>36341.83</v>
      </c>
      <c r="G71" s="222">
        <v>9045.02</v>
      </c>
      <c r="H71" s="273">
        <f t="shared" si="0"/>
        <v>533.96294117647062</v>
      </c>
      <c r="I71" s="273">
        <f t="shared" si="1"/>
        <v>44.496911764705885</v>
      </c>
      <c r="K71" s="275"/>
      <c r="L71" s="274"/>
    </row>
    <row r="72" spans="1:22">
      <c r="A72" s="269" t="s">
        <v>133</v>
      </c>
      <c r="B72" s="269" t="s">
        <v>134</v>
      </c>
      <c r="C72" s="271">
        <v>90</v>
      </c>
      <c r="D72" s="272">
        <v>90</v>
      </c>
      <c r="E72" s="272"/>
      <c r="F72" s="222">
        <v>-1980</v>
      </c>
      <c r="G72" s="222">
        <v>-360</v>
      </c>
      <c r="H72" s="273">
        <f t="shared" si="0"/>
        <v>-26</v>
      </c>
      <c r="I72" s="273">
        <f t="shared" si="1"/>
        <v>-2.1666666666666665</v>
      </c>
      <c r="K72" s="275"/>
      <c r="L72" s="274"/>
    </row>
    <row r="73" spans="1:22">
      <c r="A73" s="269"/>
      <c r="B73" s="279" t="s">
        <v>135</v>
      </c>
      <c r="D73" s="280"/>
      <c r="E73" s="280"/>
      <c r="F73" s="281">
        <f>SUM(F11:F72)</f>
        <v>6811023.3299999982</v>
      </c>
      <c r="G73" s="281">
        <f>SUM(G11:G72)</f>
        <v>3523341.84</v>
      </c>
      <c r="H73" s="273"/>
      <c r="I73" s="273"/>
      <c r="J73" s="274">
        <f>SUM(I11:I51)</f>
        <v>45920.720025153787</v>
      </c>
      <c r="M73" s="282">
        <f t="shared" ref="M73:P73" si="23">SUM(M11:M72)</f>
        <v>94892341.999379992</v>
      </c>
      <c r="N73" s="282">
        <f t="shared" si="23"/>
        <v>78241226.541518584</v>
      </c>
      <c r="O73" s="282">
        <f t="shared" si="23"/>
        <v>89977.410522745748</v>
      </c>
      <c r="P73" s="282">
        <f t="shared" si="23"/>
        <v>91745.811030355821</v>
      </c>
      <c r="S73" s="282">
        <f t="shared" ref="S73" si="24">SUM(S11:S72)</f>
        <v>91745.811030355821</v>
      </c>
    </row>
    <row r="74" spans="1:22">
      <c r="A74" s="269"/>
      <c r="B74" s="270"/>
      <c r="D74" s="280"/>
      <c r="E74" s="280"/>
      <c r="F74" s="280"/>
      <c r="G74" s="238"/>
      <c r="H74" s="273"/>
      <c r="I74" s="273"/>
    </row>
    <row r="76" spans="1:22">
      <c r="C76" s="283"/>
    </row>
    <row r="77" spans="1:22">
      <c r="A77" s="263" t="s">
        <v>136</v>
      </c>
      <c r="B77" s="264" t="s">
        <v>136</v>
      </c>
      <c r="D77" s="284"/>
      <c r="E77" s="284"/>
      <c r="F77" s="284"/>
    </row>
    <row r="78" spans="1:22">
      <c r="A78" s="263"/>
      <c r="B78" s="264"/>
      <c r="D78" s="284"/>
      <c r="E78" s="285"/>
      <c r="F78" s="284"/>
    </row>
    <row r="79" spans="1:22">
      <c r="A79" s="267" t="s">
        <v>137</v>
      </c>
      <c r="B79" s="268" t="s">
        <v>137</v>
      </c>
      <c r="D79" s="284"/>
      <c r="E79" s="284"/>
      <c r="F79" s="284"/>
    </row>
    <row r="80" spans="1:22">
      <c r="A80" s="269" t="s">
        <v>138</v>
      </c>
      <c r="B80" s="270" t="s">
        <v>139</v>
      </c>
      <c r="C80" s="271">
        <f>26.42+(13.98*3.33)</f>
        <v>72.973399999999998</v>
      </c>
      <c r="D80" s="272">
        <f>27.19+(14.75*3.33)</f>
        <v>76.307500000000005</v>
      </c>
      <c r="E80" s="272">
        <f>27.19</f>
        <v>27.19</v>
      </c>
      <c r="F80" s="286">
        <f>835265.07+4437</f>
        <v>839702.07</v>
      </c>
      <c r="G80" s="286">
        <f>435727.29+2106</f>
        <v>437833.29</v>
      </c>
      <c r="H80" s="273">
        <f>IF(D80="","",(G80/D80)+(F80/C80))</f>
        <v>17244.710136866066</v>
      </c>
      <c r="I80" s="273">
        <f t="shared" ref="I80:I143" si="25">IF(D80="","",H80/12)</f>
        <v>1437.0591780721722</v>
      </c>
      <c r="J80" s="258">
        <v>4.33</v>
      </c>
      <c r="K80" s="274">
        <f>H80*J80</f>
        <v>74669.594892630063</v>
      </c>
      <c r="L80" s="252">
        <v>175</v>
      </c>
      <c r="M80" s="222">
        <f t="shared" ref="M80:M111" si="26">K80*L80</f>
        <v>13067179.106210262</v>
      </c>
      <c r="N80" s="222">
        <f t="shared" ref="N80:N111" si="27">M80*$M$200</f>
        <v>10774232.136817487</v>
      </c>
      <c r="O80" s="275">
        <f t="shared" ref="O80:O111" si="28">N80*$O$6</f>
        <v>12390.366957340018</v>
      </c>
      <c r="P80" s="258">
        <f t="shared" ref="P80:P111" si="29">O80/$P$6</f>
        <v>12633.885092497916</v>
      </c>
      <c r="Q80" s="275">
        <f t="shared" ref="Q80:Q111" si="30">P80/K80</f>
        <v>0.16919718274439022</v>
      </c>
      <c r="S80" s="258">
        <f t="shared" ref="S80:S111" si="31">H80*J80*Q80</f>
        <v>12633.885092497916</v>
      </c>
      <c r="U80" s="287">
        <f>'Disposal Calc'!F53</f>
        <v>74727.077259752943</v>
      </c>
      <c r="V80" s="274">
        <f>K80-U80</f>
        <v>-57.482367122880532</v>
      </c>
    </row>
    <row r="81" spans="1:19">
      <c r="A81" s="269" t="s">
        <v>140</v>
      </c>
      <c r="B81" s="270" t="s">
        <v>141</v>
      </c>
      <c r="C81" s="271">
        <f>C80+(13.98*4.33)</f>
        <v>133.5068</v>
      </c>
      <c r="D81" s="272">
        <f>D80+(14.75*4.33)</f>
        <v>140.17500000000001</v>
      </c>
      <c r="E81" s="272">
        <v>14.75</v>
      </c>
      <c r="F81" s="286">
        <v>6571.18</v>
      </c>
      <c r="G81" s="286">
        <v>3653.64</v>
      </c>
      <c r="H81" s="273">
        <f t="shared" ref="H81:H143" si="32">IF(D81="","",(G81/D81)+(F81/C81))</f>
        <v>75.284662532696643</v>
      </c>
      <c r="I81" s="273">
        <f t="shared" si="25"/>
        <v>6.2737218777247206</v>
      </c>
      <c r="J81" s="258">
        <v>8.66</v>
      </c>
      <c r="K81" s="274">
        <f t="shared" ref="K81:K111" si="33">H81*J81</f>
        <v>651.965177533153</v>
      </c>
      <c r="L81" s="252">
        <v>175</v>
      </c>
      <c r="M81" s="222">
        <f t="shared" si="26"/>
        <v>114093.90606830177</v>
      </c>
      <c r="N81" s="222">
        <f t="shared" si="27"/>
        <v>94073.420084363286</v>
      </c>
      <c r="O81" s="275">
        <f t="shared" si="28"/>
        <v>108.18443309701698</v>
      </c>
      <c r="P81" s="258">
        <f t="shared" si="29"/>
        <v>110.31067128605571</v>
      </c>
      <c r="Q81" s="275">
        <f t="shared" si="30"/>
        <v>0.16919718274439025</v>
      </c>
      <c r="S81" s="258">
        <f t="shared" si="31"/>
        <v>110.31067128605572</v>
      </c>
    </row>
    <row r="82" spans="1:19">
      <c r="A82" s="269" t="s">
        <v>142</v>
      </c>
      <c r="B82" s="270" t="s">
        <v>143</v>
      </c>
      <c r="C82" s="271">
        <f>C81+(13.98*4.33)</f>
        <v>194.0402</v>
      </c>
      <c r="D82" s="272">
        <f>D81+(14.75*4.33)</f>
        <v>204.04250000000002</v>
      </c>
      <c r="E82" s="272"/>
      <c r="F82" s="286">
        <v>1552.24</v>
      </c>
      <c r="G82" s="286">
        <v>816.2</v>
      </c>
      <c r="H82" s="273">
        <f t="shared" si="32"/>
        <v>11.999726496777001</v>
      </c>
      <c r="I82" s="273">
        <f t="shared" si="25"/>
        <v>0.9999772080647501</v>
      </c>
      <c r="J82" s="252">
        <v>12.99</v>
      </c>
      <c r="K82" s="274">
        <f t="shared" si="33"/>
        <v>155.87644719313323</v>
      </c>
      <c r="L82" s="252">
        <v>175</v>
      </c>
      <c r="M82" s="222">
        <f t="shared" si="26"/>
        <v>27278.378258798315</v>
      </c>
      <c r="N82" s="222">
        <f t="shared" si="27"/>
        <v>22491.738828048103</v>
      </c>
      <c r="O82" s="275">
        <f t="shared" si="28"/>
        <v>25.865499652255128</v>
      </c>
      <c r="P82" s="258">
        <f t="shared" si="29"/>
        <v>26.373855721282855</v>
      </c>
      <c r="Q82" s="275">
        <f t="shared" si="30"/>
        <v>0.16919718274439022</v>
      </c>
      <c r="S82" s="258">
        <f t="shared" si="31"/>
        <v>26.373855721282855</v>
      </c>
    </row>
    <row r="83" spans="1:19">
      <c r="A83" s="269" t="s">
        <v>144</v>
      </c>
      <c r="B83" s="270" t="s">
        <v>145</v>
      </c>
      <c r="C83" s="271">
        <f>35.97+(18.97*3.33)</f>
        <v>99.14009999999999</v>
      </c>
      <c r="D83" s="272">
        <f>37.07+(20.07*3.33)</f>
        <v>103.90309999999999</v>
      </c>
      <c r="E83" s="272">
        <v>37.07</v>
      </c>
      <c r="F83" s="286">
        <f>220802.45+793</f>
        <v>221595.45</v>
      </c>
      <c r="G83" s="286">
        <f>114451.15+416</f>
        <v>114867.15</v>
      </c>
      <c r="H83" s="273">
        <f t="shared" si="32"/>
        <v>3340.6966434992555</v>
      </c>
      <c r="I83" s="273">
        <f t="shared" si="25"/>
        <v>278.39138695827131</v>
      </c>
      <c r="J83" s="258">
        <v>4.33</v>
      </c>
      <c r="K83" s="274">
        <f t="shared" si="33"/>
        <v>14465.216466351776</v>
      </c>
      <c r="L83" s="252">
        <v>250</v>
      </c>
      <c r="M83" s="222">
        <f t="shared" si="26"/>
        <v>3616304.1165879439</v>
      </c>
      <c r="N83" s="222">
        <f t="shared" si="27"/>
        <v>2981737.6583542679</v>
      </c>
      <c r="O83" s="275">
        <f t="shared" si="28"/>
        <v>3428.998307107383</v>
      </c>
      <c r="P83" s="258">
        <f t="shared" si="29"/>
        <v>3496.3912484206921</v>
      </c>
      <c r="Q83" s="275">
        <f t="shared" si="30"/>
        <v>0.24171026106341464</v>
      </c>
      <c r="S83" s="258">
        <f t="shared" si="31"/>
        <v>3496.3912484206921</v>
      </c>
    </row>
    <row r="84" spans="1:19">
      <c r="A84" s="269" t="s">
        <v>146</v>
      </c>
      <c r="B84" s="270" t="s">
        <v>147</v>
      </c>
      <c r="C84" s="271">
        <f>C83+(18.97*4.33)</f>
        <v>181.28019999999998</v>
      </c>
      <c r="D84" s="272">
        <f>D83+(20.07*4.33)</f>
        <v>190.80619999999999</v>
      </c>
      <c r="E84" s="272">
        <v>20.07</v>
      </c>
      <c r="F84" s="286">
        <v>28826.04</v>
      </c>
      <c r="G84" s="286">
        <v>15772.8</v>
      </c>
      <c r="H84" s="273">
        <f t="shared" si="32"/>
        <v>241.67770623356137</v>
      </c>
      <c r="I84" s="273">
        <f t="shared" si="25"/>
        <v>20.139808852796779</v>
      </c>
      <c r="J84" s="258">
        <v>8.66</v>
      </c>
      <c r="K84" s="274">
        <f t="shared" si="33"/>
        <v>2092.9289359826416</v>
      </c>
      <c r="L84" s="252">
        <v>250</v>
      </c>
      <c r="M84" s="222">
        <f t="shared" si="26"/>
        <v>523232.23399566038</v>
      </c>
      <c r="N84" s="222">
        <f t="shared" si="27"/>
        <v>431418.70978531463</v>
      </c>
      <c r="O84" s="275">
        <f t="shared" si="28"/>
        <v>496.13151625310815</v>
      </c>
      <c r="P84" s="258">
        <f t="shared" si="29"/>
        <v>505.88239950353886</v>
      </c>
      <c r="Q84" s="275">
        <f t="shared" si="30"/>
        <v>0.24171026106341462</v>
      </c>
      <c r="S84" s="258">
        <f t="shared" si="31"/>
        <v>505.88239950353886</v>
      </c>
    </row>
    <row r="85" spans="1:19">
      <c r="A85" s="269" t="s">
        <v>148</v>
      </c>
      <c r="B85" s="270" t="s">
        <v>149</v>
      </c>
      <c r="C85" s="271">
        <f>C84+(18.97*4.33)</f>
        <v>263.4203</v>
      </c>
      <c r="D85" s="272">
        <f>D84+(20.07*4.33)</f>
        <v>277.70929999999998</v>
      </c>
      <c r="E85" s="272"/>
      <c r="F85" s="286">
        <v>8429.44</v>
      </c>
      <c r="G85" s="286">
        <v>4443.2</v>
      </c>
      <c r="H85" s="273">
        <f t="shared" si="32"/>
        <v>47.999427744251037</v>
      </c>
      <c r="I85" s="273">
        <f t="shared" si="25"/>
        <v>3.9999523120209197</v>
      </c>
      <c r="J85" s="252">
        <v>12.99</v>
      </c>
      <c r="K85" s="274">
        <f t="shared" si="33"/>
        <v>623.51256639782093</v>
      </c>
      <c r="L85" s="252">
        <v>250</v>
      </c>
      <c r="M85" s="222">
        <f t="shared" si="26"/>
        <v>155878.14159945524</v>
      </c>
      <c r="N85" s="222">
        <f t="shared" si="27"/>
        <v>128525.61895704482</v>
      </c>
      <c r="O85" s="275">
        <f t="shared" si="28"/>
        <v>147.80446180060045</v>
      </c>
      <c r="P85" s="258">
        <f t="shared" si="29"/>
        <v>150.70938520033695</v>
      </c>
      <c r="Q85" s="275">
        <f t="shared" si="30"/>
        <v>0.24171026106341464</v>
      </c>
      <c r="S85" s="258">
        <f t="shared" si="31"/>
        <v>150.70938520033695</v>
      </c>
    </row>
    <row r="86" spans="1:19">
      <c r="A86" s="269" t="s">
        <v>150</v>
      </c>
      <c r="B86" s="270" t="s">
        <v>151</v>
      </c>
      <c r="C86" s="271">
        <f>43.08+(25.08*3.33)</f>
        <v>126.59639999999999</v>
      </c>
      <c r="D86" s="272">
        <f>44.51+(26.51*3.33)</f>
        <v>132.78829999999999</v>
      </c>
      <c r="E86" s="272">
        <v>44.51</v>
      </c>
      <c r="F86" s="286">
        <f>396272.01+6077</f>
        <v>402349.01</v>
      </c>
      <c r="G86" s="286">
        <f>202463.15+3187</f>
        <v>205650.15</v>
      </c>
      <c r="H86" s="273">
        <f t="shared" si="32"/>
        <v>4726.909470147797</v>
      </c>
      <c r="I86" s="273">
        <f t="shared" si="25"/>
        <v>393.9091225123164</v>
      </c>
      <c r="J86" s="258">
        <v>4.33</v>
      </c>
      <c r="K86" s="274">
        <f t="shared" si="33"/>
        <v>20467.518005739963</v>
      </c>
      <c r="L86" s="252">
        <v>324</v>
      </c>
      <c r="M86" s="222">
        <f t="shared" si="26"/>
        <v>6631475.8338597482</v>
      </c>
      <c r="N86" s="222">
        <f t="shared" si="27"/>
        <v>5467825.8760334598</v>
      </c>
      <c r="O86" s="275">
        <f t="shared" si="28"/>
        <v>6287.9997574384324</v>
      </c>
      <c r="P86" s="258">
        <f t="shared" si="29"/>
        <v>6411.5830201518602</v>
      </c>
      <c r="Q86" s="275">
        <f t="shared" si="30"/>
        <v>0.31325649833818536</v>
      </c>
      <c r="S86" s="258">
        <f t="shared" si="31"/>
        <v>6411.5830201518593</v>
      </c>
    </row>
    <row r="87" spans="1:19">
      <c r="A87" s="269" t="s">
        <v>152</v>
      </c>
      <c r="B87" s="270" t="s">
        <v>153</v>
      </c>
      <c r="C87" s="271">
        <f>C86+(25.08*4.33)</f>
        <v>235.19279999999998</v>
      </c>
      <c r="D87" s="272">
        <f>D86+(26.51*4.33)</f>
        <v>247.57659999999998</v>
      </c>
      <c r="E87" s="272">
        <v>26.51</v>
      </c>
      <c r="F87" s="286">
        <v>68759.05</v>
      </c>
      <c r="G87" s="286">
        <v>33487.01</v>
      </c>
      <c r="H87" s="273">
        <f t="shared" si="32"/>
        <v>427.61103767561474</v>
      </c>
      <c r="I87" s="273">
        <f t="shared" si="25"/>
        <v>35.634253139634559</v>
      </c>
      <c r="J87" s="258">
        <v>8.66</v>
      </c>
      <c r="K87" s="274">
        <f t="shared" si="33"/>
        <v>3703.1115862708239</v>
      </c>
      <c r="L87" s="252">
        <v>324</v>
      </c>
      <c r="M87" s="222">
        <f t="shared" si="26"/>
        <v>1199808.1539517469</v>
      </c>
      <c r="N87" s="222">
        <f t="shared" si="27"/>
        <v>989273.31333347445</v>
      </c>
      <c r="O87" s="275">
        <f t="shared" si="28"/>
        <v>1137.6643103334873</v>
      </c>
      <c r="P87" s="258">
        <f t="shared" si="29"/>
        <v>1160.0237684707613</v>
      </c>
      <c r="Q87" s="275">
        <f t="shared" si="30"/>
        <v>0.31325649833818536</v>
      </c>
      <c r="S87" s="258">
        <f t="shared" si="31"/>
        <v>1160.0237684707613</v>
      </c>
    </row>
    <row r="88" spans="1:19">
      <c r="A88" s="269" t="s">
        <v>154</v>
      </c>
      <c r="B88" s="270" t="s">
        <v>155</v>
      </c>
      <c r="C88" s="271">
        <f>C87+(25.08*4.33)</f>
        <v>343.78919999999994</v>
      </c>
      <c r="D88" s="272">
        <f>D87+(26.51*4.33)</f>
        <v>362.36489999999998</v>
      </c>
      <c r="E88" s="272"/>
      <c r="F88" s="286">
        <v>36456.58</v>
      </c>
      <c r="G88" s="286">
        <v>18090.63</v>
      </c>
      <c r="H88" s="273">
        <f t="shared" si="32"/>
        <v>155.96720493720855</v>
      </c>
      <c r="I88" s="273">
        <f t="shared" si="25"/>
        <v>12.997267078100712</v>
      </c>
      <c r="J88" s="252">
        <v>12.99</v>
      </c>
      <c r="K88" s="274">
        <f t="shared" si="33"/>
        <v>2026.0139921343391</v>
      </c>
      <c r="L88" s="252">
        <v>324</v>
      </c>
      <c r="M88" s="222">
        <f t="shared" si="26"/>
        <v>656428.53345152584</v>
      </c>
      <c r="N88" s="222">
        <f t="shared" si="27"/>
        <v>541242.55458288966</v>
      </c>
      <c r="O88" s="275">
        <f t="shared" si="28"/>
        <v>622.4289377703185</v>
      </c>
      <c r="P88" s="258">
        <f t="shared" si="29"/>
        <v>634.66204876017082</v>
      </c>
      <c r="Q88" s="275">
        <f t="shared" si="30"/>
        <v>0.31325649833818531</v>
      </c>
      <c r="S88" s="258">
        <f t="shared" si="31"/>
        <v>634.66204876017082</v>
      </c>
    </row>
    <row r="89" spans="1:19">
      <c r="A89" s="269" t="s">
        <v>156</v>
      </c>
      <c r="B89" s="270" t="s">
        <v>157</v>
      </c>
      <c r="C89" s="271">
        <f>57.7+(35.21*3.33)</f>
        <v>174.94929999999999</v>
      </c>
      <c r="D89" s="272">
        <f>59.79+(37.3*3.33)</f>
        <v>183.999</v>
      </c>
      <c r="E89" s="272">
        <v>59.79</v>
      </c>
      <c r="F89" s="286">
        <f>217917.76+1400</f>
        <v>219317.76000000001</v>
      </c>
      <c r="G89" s="286">
        <f>108312.97+736</f>
        <v>109048.97</v>
      </c>
      <c r="H89" s="273">
        <f t="shared" si="32"/>
        <v>1846.2681975015721</v>
      </c>
      <c r="I89" s="273">
        <f t="shared" si="25"/>
        <v>153.85568312513101</v>
      </c>
      <c r="J89" s="258">
        <v>4.33</v>
      </c>
      <c r="K89" s="274">
        <f t="shared" si="33"/>
        <v>7994.3412951818073</v>
      </c>
      <c r="L89" s="252">
        <v>473</v>
      </c>
      <c r="M89" s="222">
        <f t="shared" si="26"/>
        <v>3781323.4326209947</v>
      </c>
      <c r="N89" s="222">
        <f t="shared" si="27"/>
        <v>3117800.4155528704</v>
      </c>
      <c r="O89" s="275">
        <f t="shared" si="28"/>
        <v>3585.4704778857745</v>
      </c>
      <c r="P89" s="258">
        <f t="shared" si="29"/>
        <v>3655.9386962561111</v>
      </c>
      <c r="Q89" s="275">
        <f t="shared" si="30"/>
        <v>0.45731581393198045</v>
      </c>
      <c r="S89" s="258">
        <f t="shared" si="31"/>
        <v>3655.9386962561111</v>
      </c>
    </row>
    <row r="90" spans="1:19">
      <c r="A90" s="269" t="s">
        <v>158</v>
      </c>
      <c r="B90" s="270" t="s">
        <v>159</v>
      </c>
      <c r="C90" s="271">
        <f>C89+(35.21*4.33)</f>
        <v>327.40859999999998</v>
      </c>
      <c r="D90" s="272">
        <f>D89+(37.3*4.33)</f>
        <v>345.50799999999998</v>
      </c>
      <c r="E90" s="272">
        <v>37.299999999999997</v>
      </c>
      <c r="F90" s="286">
        <v>50030.16</v>
      </c>
      <c r="G90" s="286">
        <v>25567.74</v>
      </c>
      <c r="H90" s="273">
        <f t="shared" si="32"/>
        <v>226.80692152568895</v>
      </c>
      <c r="I90" s="273">
        <f t="shared" si="25"/>
        <v>18.900576793807414</v>
      </c>
      <c r="J90" s="258">
        <v>8.66</v>
      </c>
      <c r="K90" s="274">
        <f t="shared" si="33"/>
        <v>1964.1479404124664</v>
      </c>
      <c r="L90" s="252">
        <v>473</v>
      </c>
      <c r="M90" s="222">
        <f t="shared" si="26"/>
        <v>929041.97581509664</v>
      </c>
      <c r="N90" s="222">
        <f t="shared" si="27"/>
        <v>766019.49287755974</v>
      </c>
      <c r="O90" s="275">
        <f t="shared" si="28"/>
        <v>880.92241680918721</v>
      </c>
      <c r="P90" s="258">
        <f t="shared" si="29"/>
        <v>898.23591405255013</v>
      </c>
      <c r="Q90" s="275">
        <f t="shared" si="30"/>
        <v>0.45731581393198045</v>
      </c>
      <c r="S90" s="258">
        <f t="shared" si="31"/>
        <v>898.23591405255013</v>
      </c>
    </row>
    <row r="91" spans="1:19">
      <c r="A91" s="269" t="s">
        <v>160</v>
      </c>
      <c r="B91" s="270" t="s">
        <v>161</v>
      </c>
      <c r="C91" s="271">
        <f>C90+(35.21*4.33)</f>
        <v>479.86789999999996</v>
      </c>
      <c r="D91" s="272">
        <f>D90+(37.3*4.33)</f>
        <v>507.01699999999994</v>
      </c>
      <c r="E91" s="272"/>
      <c r="F91" s="286">
        <v>18013.580000000002</v>
      </c>
      <c r="G91" s="286">
        <v>9633.3799999999992</v>
      </c>
      <c r="H91" s="273">
        <f t="shared" si="32"/>
        <v>56.538735030696287</v>
      </c>
      <c r="I91" s="273">
        <f t="shared" si="25"/>
        <v>4.7115612525580239</v>
      </c>
      <c r="J91" s="252">
        <v>12.99</v>
      </c>
      <c r="K91" s="274">
        <f t="shared" si="33"/>
        <v>734.43816804874473</v>
      </c>
      <c r="L91" s="252">
        <v>473</v>
      </c>
      <c r="M91" s="222">
        <f t="shared" si="26"/>
        <v>347389.25348705624</v>
      </c>
      <c r="N91" s="222">
        <f t="shared" si="27"/>
        <v>286431.55714659661</v>
      </c>
      <c r="O91" s="275">
        <f t="shared" si="28"/>
        <v>329.39629071858366</v>
      </c>
      <c r="P91" s="258">
        <f t="shared" si="29"/>
        <v>335.8701886039243</v>
      </c>
      <c r="Q91" s="275">
        <f t="shared" si="30"/>
        <v>0.4573158139319804</v>
      </c>
      <c r="S91" s="258">
        <f t="shared" si="31"/>
        <v>335.8701886039243</v>
      </c>
    </row>
    <row r="92" spans="1:19">
      <c r="A92" s="269" t="s">
        <v>162</v>
      </c>
      <c r="B92" s="270" t="s">
        <v>163</v>
      </c>
      <c r="C92" s="272">
        <f>57.7+(35.21*3.33)+(35.21*4.33*4)</f>
        <v>784.78650000000005</v>
      </c>
      <c r="D92" s="272">
        <f>59.79+(37.3*3.33)+(37.3*4.33*4)</f>
        <v>830.03499999999997</v>
      </c>
      <c r="E92" s="272"/>
      <c r="F92" s="286">
        <v>0</v>
      </c>
      <c r="G92" s="286">
        <v>830.04</v>
      </c>
      <c r="H92" s="273">
        <f t="shared" si="32"/>
        <v>1.000006023842368</v>
      </c>
      <c r="I92" s="273">
        <f t="shared" si="25"/>
        <v>8.3333835320197336E-2</v>
      </c>
      <c r="J92" s="252">
        <v>21.65</v>
      </c>
      <c r="K92" s="274">
        <f t="shared" si="33"/>
        <v>21.650130416187267</v>
      </c>
      <c r="L92" s="252">
        <v>473</v>
      </c>
      <c r="M92" s="222">
        <f t="shared" si="26"/>
        <v>10240.511686856576</v>
      </c>
      <c r="N92" s="222">
        <f t="shared" si="27"/>
        <v>8443.5706602925802</v>
      </c>
      <c r="O92" s="275">
        <f t="shared" si="28"/>
        <v>9.7101062593363956</v>
      </c>
      <c r="P92" s="258">
        <f t="shared" si="29"/>
        <v>9.9009470130122068</v>
      </c>
      <c r="Q92" s="275">
        <f t="shared" si="30"/>
        <v>0.45731581393198045</v>
      </c>
      <c r="S92" s="258">
        <f t="shared" si="31"/>
        <v>9.9009470130122068</v>
      </c>
    </row>
    <row r="93" spans="1:19">
      <c r="A93" s="269" t="s">
        <v>164</v>
      </c>
      <c r="B93" s="270" t="s">
        <v>165</v>
      </c>
      <c r="C93" s="271">
        <f>71.87+(47.87*3.33)</f>
        <v>231.27709999999999</v>
      </c>
      <c r="D93" s="272">
        <f>74.57+(50.57*3.33)</f>
        <v>242.96809999999999</v>
      </c>
      <c r="E93" s="272">
        <v>74.569999999999993</v>
      </c>
      <c r="F93" s="286">
        <f>285580.1+3643</f>
        <v>289223.09999999998</v>
      </c>
      <c r="G93" s="286">
        <f>146685.27+1944</f>
        <v>148629.26999999999</v>
      </c>
      <c r="H93" s="273">
        <f t="shared" si="32"/>
        <v>1862.2713266362775</v>
      </c>
      <c r="I93" s="273">
        <f t="shared" si="25"/>
        <v>155.18927721968979</v>
      </c>
      <c r="J93" s="258">
        <v>4.33</v>
      </c>
      <c r="K93" s="274">
        <f t="shared" si="33"/>
        <v>8063.6348443350817</v>
      </c>
      <c r="L93" s="252">
        <v>613</v>
      </c>
      <c r="M93" s="222">
        <f t="shared" si="26"/>
        <v>4943008.1595774051</v>
      </c>
      <c r="N93" s="222">
        <f t="shared" si="27"/>
        <v>4075639.9627337432</v>
      </c>
      <c r="O93" s="275">
        <f t="shared" si="28"/>
        <v>4686.9859571437701</v>
      </c>
      <c r="P93" s="258">
        <f t="shared" si="29"/>
        <v>4779.1031707601724</v>
      </c>
      <c r="Q93" s="275">
        <f t="shared" si="30"/>
        <v>0.59267356012749262</v>
      </c>
      <c r="S93" s="258">
        <f t="shared" si="31"/>
        <v>4779.1031707601724</v>
      </c>
    </row>
    <row r="94" spans="1:19">
      <c r="A94" s="269" t="s">
        <v>166</v>
      </c>
      <c r="B94" s="270" t="s">
        <v>167</v>
      </c>
      <c r="C94" s="271">
        <f>C93+(47.87*4.33)</f>
        <v>438.55419999999998</v>
      </c>
      <c r="D94" s="272">
        <f>D93+(50.57*4.33)</f>
        <v>461.93619999999999</v>
      </c>
      <c r="E94" s="272">
        <v>50.57</v>
      </c>
      <c r="F94" s="286">
        <v>155282.93</v>
      </c>
      <c r="G94" s="286">
        <v>84056.48</v>
      </c>
      <c r="H94" s="273">
        <f t="shared" si="32"/>
        <v>536.04478361288545</v>
      </c>
      <c r="I94" s="273">
        <f t="shared" si="25"/>
        <v>44.670398634407121</v>
      </c>
      <c r="J94" s="258">
        <v>8.66</v>
      </c>
      <c r="K94" s="274">
        <f t="shared" si="33"/>
        <v>4642.1478260875883</v>
      </c>
      <c r="L94" s="252">
        <v>613</v>
      </c>
      <c r="M94" s="222">
        <f t="shared" si="26"/>
        <v>2845636.6173916915</v>
      </c>
      <c r="N94" s="222">
        <f t="shared" si="27"/>
        <v>2346302.078176538</v>
      </c>
      <c r="O94" s="275">
        <f t="shared" si="28"/>
        <v>2698.2473899029987</v>
      </c>
      <c r="P94" s="258">
        <f t="shared" si="29"/>
        <v>2751.2782787254314</v>
      </c>
      <c r="Q94" s="275">
        <f t="shared" si="30"/>
        <v>0.59267356012749262</v>
      </c>
      <c r="S94" s="258">
        <f t="shared" si="31"/>
        <v>2751.2782787254314</v>
      </c>
    </row>
    <row r="95" spans="1:19">
      <c r="A95" s="269" t="s">
        <v>168</v>
      </c>
      <c r="B95" s="270" t="s">
        <v>169</v>
      </c>
      <c r="C95" s="271">
        <f>C94+(47.87*4.33)</f>
        <v>645.83129999999994</v>
      </c>
      <c r="D95" s="272">
        <f>D94+(50.57*4.33)</f>
        <v>680.90429999999992</v>
      </c>
      <c r="E95" s="272"/>
      <c r="F95" s="286">
        <v>34698.22</v>
      </c>
      <c r="G95" s="286">
        <v>16341.84</v>
      </c>
      <c r="H95" s="273">
        <f t="shared" si="32"/>
        <v>77.726646189970126</v>
      </c>
      <c r="I95" s="273">
        <f t="shared" si="25"/>
        <v>6.4772205158308438</v>
      </c>
      <c r="J95" s="252">
        <v>12.99</v>
      </c>
      <c r="K95" s="274">
        <f t="shared" si="33"/>
        <v>1009.6691340077119</v>
      </c>
      <c r="L95" s="252">
        <v>613</v>
      </c>
      <c r="M95" s="222">
        <f t="shared" si="26"/>
        <v>618927.17914672743</v>
      </c>
      <c r="N95" s="222">
        <f t="shared" si="27"/>
        <v>510321.70369067899</v>
      </c>
      <c r="O95" s="275">
        <f t="shared" si="28"/>
        <v>586.86995924427652</v>
      </c>
      <c r="P95" s="258">
        <f t="shared" si="29"/>
        <v>598.40420020319311</v>
      </c>
      <c r="Q95" s="275">
        <f t="shared" si="30"/>
        <v>0.59267356012749273</v>
      </c>
      <c r="S95" s="258">
        <f t="shared" si="31"/>
        <v>598.40420020319311</v>
      </c>
    </row>
    <row r="96" spans="1:19">
      <c r="A96" s="269" t="s">
        <v>170</v>
      </c>
      <c r="B96" s="270" t="s">
        <v>171</v>
      </c>
      <c r="C96" s="271">
        <f>95.93+(65.93*3.33)</f>
        <v>315.4769</v>
      </c>
      <c r="D96" s="272">
        <f>99.64+(69.64*3.33)</f>
        <v>331.5412</v>
      </c>
      <c r="E96" s="272">
        <v>99.64</v>
      </c>
      <c r="F96" s="286">
        <f>390404.76+2524</f>
        <v>392928.76</v>
      </c>
      <c r="G96" s="286">
        <f>207390.33+1326</f>
        <v>208716.33</v>
      </c>
      <c r="H96" s="273">
        <f t="shared" si="32"/>
        <v>1875.0408450069842</v>
      </c>
      <c r="I96" s="273">
        <f t="shared" si="25"/>
        <v>156.25340375058201</v>
      </c>
      <c r="J96" s="258">
        <v>4.33</v>
      </c>
      <c r="K96" s="274">
        <f t="shared" si="33"/>
        <v>8118.9268588802415</v>
      </c>
      <c r="L96" s="252">
        <v>840</v>
      </c>
      <c r="M96" s="222">
        <f t="shared" si="26"/>
        <v>6819898.5614594026</v>
      </c>
      <c r="N96" s="222">
        <f t="shared" si="27"/>
        <v>5623185.3603192596</v>
      </c>
      <c r="O96" s="275">
        <f t="shared" si="28"/>
        <v>6466.6631643671008</v>
      </c>
      <c r="P96" s="258">
        <f t="shared" si="29"/>
        <v>6593.7578468654319</v>
      </c>
      <c r="Q96" s="275">
        <f t="shared" si="30"/>
        <v>0.81214647717307309</v>
      </c>
      <c r="S96" s="258">
        <f t="shared" si="31"/>
        <v>6593.7578468654319</v>
      </c>
    </row>
    <row r="97" spans="1:19">
      <c r="A97" s="269" t="s">
        <v>172</v>
      </c>
      <c r="B97" s="270" t="s">
        <v>173</v>
      </c>
      <c r="C97" s="271">
        <f>C96*2</f>
        <v>630.9538</v>
      </c>
      <c r="D97" s="272">
        <f>D96*2</f>
        <v>663.08240000000001</v>
      </c>
      <c r="E97" s="272">
        <v>69.64</v>
      </c>
      <c r="F97" s="286">
        <v>2523.84</v>
      </c>
      <c r="G97" s="286">
        <v>2532.3200000000002</v>
      </c>
      <c r="H97" s="273">
        <f t="shared" si="32"/>
        <v>7.8190518445867365</v>
      </c>
      <c r="I97" s="273">
        <f t="shared" si="25"/>
        <v>0.65158765371556138</v>
      </c>
      <c r="J97" s="258">
        <v>4.33</v>
      </c>
      <c r="K97" s="274">
        <f t="shared" si="33"/>
        <v>33.856494487060573</v>
      </c>
      <c r="L97" s="252">
        <f>L96*2</f>
        <v>1680</v>
      </c>
      <c r="M97" s="222">
        <f t="shared" si="26"/>
        <v>56878.910738261766</v>
      </c>
      <c r="N97" s="222">
        <f t="shared" si="27"/>
        <v>46898.154758749988</v>
      </c>
      <c r="O97" s="275">
        <f t="shared" si="28"/>
        <v>53.932877972562089</v>
      </c>
      <c r="P97" s="258">
        <f t="shared" si="29"/>
        <v>54.992865454191637</v>
      </c>
      <c r="Q97" s="275">
        <f t="shared" si="30"/>
        <v>1.6242929543461464</v>
      </c>
      <c r="S97" s="258">
        <f t="shared" si="31"/>
        <v>54.992865454191637</v>
      </c>
    </row>
    <row r="98" spans="1:19">
      <c r="A98" s="269" t="s">
        <v>174</v>
      </c>
      <c r="B98" s="270" t="s">
        <v>175</v>
      </c>
      <c r="C98" s="271">
        <f>C96+(65.93*4.33)</f>
        <v>600.9538</v>
      </c>
      <c r="D98" s="272">
        <f>D96+(69.64*4.33)</f>
        <v>633.08240000000001</v>
      </c>
      <c r="E98" s="272"/>
      <c r="F98" s="286">
        <v>469441.37</v>
      </c>
      <c r="G98" s="286">
        <v>256035.44</v>
      </c>
      <c r="H98" s="273">
        <f t="shared" si="32"/>
        <v>1185.5872208625462</v>
      </c>
      <c r="I98" s="273">
        <f t="shared" si="25"/>
        <v>98.798935071878859</v>
      </c>
      <c r="J98" s="252">
        <v>8.66</v>
      </c>
      <c r="K98" s="274">
        <f t="shared" si="33"/>
        <v>10267.185332669651</v>
      </c>
      <c r="L98" s="252">
        <v>840</v>
      </c>
      <c r="M98" s="222">
        <f t="shared" si="26"/>
        <v>8624435.6794425063</v>
      </c>
      <c r="N98" s="222">
        <f t="shared" si="27"/>
        <v>7111073.5763316499</v>
      </c>
      <c r="O98" s="275">
        <f t="shared" si="28"/>
        <v>8177.7346127813371</v>
      </c>
      <c r="P98" s="258">
        <f t="shared" si="29"/>
        <v>8338.458398410703</v>
      </c>
      <c r="Q98" s="275">
        <f t="shared" si="30"/>
        <v>0.81214647717307309</v>
      </c>
      <c r="S98" s="258">
        <f t="shared" si="31"/>
        <v>8338.458398410703</v>
      </c>
    </row>
    <row r="99" spans="1:19">
      <c r="A99" s="269" t="s">
        <v>176</v>
      </c>
      <c r="B99" s="270" t="s">
        <v>177</v>
      </c>
      <c r="C99" s="271">
        <f>C98+(65.93*4.33)</f>
        <v>886.43070000000012</v>
      </c>
      <c r="D99" s="272">
        <f>D98+(69.64*4.33)</f>
        <v>934.62360000000001</v>
      </c>
      <c r="E99" s="272"/>
      <c r="F99" s="286">
        <v>136298.07</v>
      </c>
      <c r="G99" s="286">
        <v>81870.73</v>
      </c>
      <c r="H99" s="273">
        <f t="shared" si="32"/>
        <v>241.3580897198101</v>
      </c>
      <c r="I99" s="273">
        <f t="shared" si="25"/>
        <v>20.113174143317508</v>
      </c>
      <c r="J99" s="252">
        <v>12.99</v>
      </c>
      <c r="K99" s="274">
        <f t="shared" si="33"/>
        <v>3135.2415854603332</v>
      </c>
      <c r="L99" s="252">
        <v>840</v>
      </c>
      <c r="M99" s="222">
        <f t="shared" si="26"/>
        <v>2633602.9317866801</v>
      </c>
      <c r="N99" s="222">
        <f t="shared" si="27"/>
        <v>2171474.7393174842</v>
      </c>
      <c r="O99" s="275">
        <f t="shared" si="28"/>
        <v>2497.1959502150885</v>
      </c>
      <c r="P99" s="258">
        <f t="shared" si="29"/>
        <v>2546.2754087181306</v>
      </c>
      <c r="Q99" s="275">
        <f t="shared" si="30"/>
        <v>0.81214647717307331</v>
      </c>
      <c r="S99" s="258">
        <f t="shared" si="31"/>
        <v>2546.2754087181306</v>
      </c>
    </row>
    <row r="100" spans="1:19">
      <c r="A100" s="269" t="s">
        <v>178</v>
      </c>
      <c r="B100" s="270" t="s">
        <v>179</v>
      </c>
      <c r="C100" s="271">
        <f>C99+(65.93*4.33)</f>
        <v>1171.9076000000002</v>
      </c>
      <c r="D100" s="272">
        <f>D99+(69.64*4.33)</f>
        <v>1236.1648</v>
      </c>
      <c r="E100" s="272"/>
      <c r="F100" s="286">
        <v>9375.36</v>
      </c>
      <c r="G100" s="286">
        <v>2472.3200000000002</v>
      </c>
      <c r="H100" s="273">
        <f t="shared" si="32"/>
        <v>10.000076882357032</v>
      </c>
      <c r="I100" s="273">
        <f t="shared" si="25"/>
        <v>0.83333974019641932</v>
      </c>
      <c r="J100" s="252">
        <v>17.32</v>
      </c>
      <c r="K100" s="274">
        <f t="shared" si="33"/>
        <v>173.20133160242381</v>
      </c>
      <c r="L100" s="252">
        <v>840</v>
      </c>
      <c r="M100" s="222">
        <f t="shared" si="26"/>
        <v>145489.11854603598</v>
      </c>
      <c r="N100" s="222">
        <f t="shared" si="27"/>
        <v>119959.59677716283</v>
      </c>
      <c r="O100" s="275">
        <f t="shared" si="28"/>
        <v>137.95353629373625</v>
      </c>
      <c r="P100" s="258">
        <f t="shared" si="29"/>
        <v>140.66485130259375</v>
      </c>
      <c r="Q100" s="275">
        <f t="shared" si="30"/>
        <v>0.81214647717307309</v>
      </c>
      <c r="S100" s="258">
        <f t="shared" si="31"/>
        <v>140.66485130259375</v>
      </c>
    </row>
    <row r="101" spans="1:19" ht="15" customHeight="1">
      <c r="A101" s="269" t="s">
        <v>180</v>
      </c>
      <c r="B101" s="270" t="s">
        <v>181</v>
      </c>
      <c r="C101" s="271">
        <f>C100+(65.93*4.33)</f>
        <v>1457.3845000000003</v>
      </c>
      <c r="D101" s="272">
        <f>D100+(69.64*4.33)</f>
        <v>1537.7060000000001</v>
      </c>
      <c r="E101" s="272"/>
      <c r="F101" s="286">
        <v>24666.39</v>
      </c>
      <c r="G101" s="286">
        <v>13870.56</v>
      </c>
      <c r="H101" s="273">
        <f t="shared" si="32"/>
        <v>25.945401825130258</v>
      </c>
      <c r="I101" s="273">
        <f t="shared" si="25"/>
        <v>2.1621168187608548</v>
      </c>
      <c r="J101" s="252">
        <v>21.65</v>
      </c>
      <c r="K101" s="274">
        <f t="shared" si="33"/>
        <v>561.71794951407003</v>
      </c>
      <c r="L101" s="252">
        <v>840</v>
      </c>
      <c r="M101" s="222">
        <f t="shared" si="26"/>
        <v>471843.07759181882</v>
      </c>
      <c r="N101" s="222">
        <f t="shared" si="27"/>
        <v>389047.00156046363</v>
      </c>
      <c r="O101" s="275">
        <f t="shared" si="28"/>
        <v>447.40405179452989</v>
      </c>
      <c r="P101" s="258">
        <f t="shared" si="29"/>
        <v>456.1972538627341</v>
      </c>
      <c r="Q101" s="275">
        <f t="shared" si="30"/>
        <v>0.81214647717307309</v>
      </c>
      <c r="S101" s="258">
        <f t="shared" si="31"/>
        <v>456.1972538627341</v>
      </c>
    </row>
    <row r="102" spans="1:19" s="249" customFormat="1">
      <c r="A102" s="269" t="s">
        <v>182</v>
      </c>
      <c r="B102" s="269" t="s">
        <v>183</v>
      </c>
      <c r="C102" s="277">
        <f>79.4*4.33</f>
        <v>343.80200000000002</v>
      </c>
      <c r="D102" s="272">
        <f>83.33*4.33</f>
        <v>360.81889999999999</v>
      </c>
      <c r="E102" s="272">
        <v>83.33</v>
      </c>
      <c r="F102" s="286">
        <v>2750.4</v>
      </c>
      <c r="G102" s="286">
        <v>1443.28</v>
      </c>
      <c r="H102" s="273">
        <f t="shared" si="32"/>
        <v>11.999965656068607</v>
      </c>
      <c r="I102" s="273">
        <f t="shared" si="25"/>
        <v>0.99999713800571721</v>
      </c>
      <c r="J102" s="258">
        <v>4.33</v>
      </c>
      <c r="K102" s="274">
        <f t="shared" si="33"/>
        <v>51.959851290777067</v>
      </c>
      <c r="L102" s="249">
        <f>L86*2.75</f>
        <v>891</v>
      </c>
      <c r="M102" s="222">
        <f t="shared" si="26"/>
        <v>46296.227500082365</v>
      </c>
      <c r="N102" s="222">
        <f t="shared" si="27"/>
        <v>38172.454673690059</v>
      </c>
      <c r="O102" s="275">
        <f t="shared" si="28"/>
        <v>43.898322874743243</v>
      </c>
      <c r="P102" s="258">
        <f t="shared" si="29"/>
        <v>44.761092941184579</v>
      </c>
      <c r="Q102" s="275">
        <f t="shared" si="30"/>
        <v>0.86145537043000975</v>
      </c>
      <c r="S102" s="258">
        <f t="shared" si="31"/>
        <v>44.761092941184579</v>
      </c>
    </row>
    <row r="103" spans="1:19" s="249" customFormat="1">
      <c r="A103" s="269" t="s">
        <v>184</v>
      </c>
      <c r="B103" s="269" t="s">
        <v>185</v>
      </c>
      <c r="C103" s="277">
        <f>110.32*4.33</f>
        <v>477.68559999999997</v>
      </c>
      <c r="D103" s="272">
        <f>116.06*4.33</f>
        <v>502.53980000000001</v>
      </c>
      <c r="E103" s="272"/>
      <c r="F103" s="286">
        <v>15286.08</v>
      </c>
      <c r="G103" s="286">
        <v>8040.64</v>
      </c>
      <c r="H103" s="273">
        <f t="shared" si="32"/>
        <v>48.000301122196348</v>
      </c>
      <c r="I103" s="273">
        <f t="shared" si="25"/>
        <v>4.0000250935163626</v>
      </c>
      <c r="J103" s="252">
        <v>8.66</v>
      </c>
      <c r="K103" s="274">
        <f t="shared" si="33"/>
        <v>415.68260771822037</v>
      </c>
      <c r="L103" s="249">
        <f>L89*2.75</f>
        <v>1300.75</v>
      </c>
      <c r="M103" s="222">
        <f t="shared" si="26"/>
        <v>540699.15198947513</v>
      </c>
      <c r="N103" s="222">
        <f t="shared" si="27"/>
        <v>445820.64211137226</v>
      </c>
      <c r="O103" s="275">
        <f t="shared" si="28"/>
        <v>512.69373842807431</v>
      </c>
      <c r="P103" s="258">
        <f t="shared" si="29"/>
        <v>522.77013273657178</v>
      </c>
      <c r="Q103" s="275">
        <f t="shared" si="30"/>
        <v>1.2576184883129464</v>
      </c>
      <c r="S103" s="258">
        <f t="shared" si="31"/>
        <v>522.77013273657178</v>
      </c>
    </row>
    <row r="104" spans="1:19">
      <c r="A104" s="269" t="s">
        <v>186</v>
      </c>
      <c r="B104" s="270" t="s">
        <v>187</v>
      </c>
      <c r="C104" s="271">
        <f>146.08*4.33</f>
        <v>632.52640000000008</v>
      </c>
      <c r="D104" s="272">
        <f>153.52*4.33</f>
        <v>664.74160000000006</v>
      </c>
      <c r="E104" s="272"/>
      <c r="F104" s="286">
        <v>15180.72</v>
      </c>
      <c r="G104" s="286">
        <v>7976.88</v>
      </c>
      <c r="H104" s="273">
        <f t="shared" si="32"/>
        <v>36.00010771168543</v>
      </c>
      <c r="I104" s="273">
        <f t="shared" si="25"/>
        <v>3.000008975973786</v>
      </c>
      <c r="J104" s="258">
        <v>4.33</v>
      </c>
      <c r="K104" s="274">
        <f t="shared" si="33"/>
        <v>155.88046639159791</v>
      </c>
      <c r="L104" s="252">
        <f>L93*2.75</f>
        <v>1685.75</v>
      </c>
      <c r="M104" s="222">
        <f t="shared" si="26"/>
        <v>262775.49621963617</v>
      </c>
      <c r="N104" s="222">
        <f t="shared" si="27"/>
        <v>216665.29349033092</v>
      </c>
      <c r="O104" s="275">
        <f t="shared" si="28"/>
        <v>249.16508751387872</v>
      </c>
      <c r="P104" s="258">
        <f t="shared" si="29"/>
        <v>254.06213516926633</v>
      </c>
      <c r="Q104" s="275">
        <f t="shared" si="30"/>
        <v>1.6298522903506047</v>
      </c>
      <c r="S104" s="258">
        <f t="shared" si="31"/>
        <v>254.06213516926633</v>
      </c>
    </row>
    <row r="105" spans="1:19">
      <c r="A105" s="269" t="s">
        <v>188</v>
      </c>
      <c r="B105" s="270" t="s">
        <v>189</v>
      </c>
      <c r="C105" s="271">
        <f>C104*2</f>
        <v>1265.0528000000002</v>
      </c>
      <c r="D105" s="272">
        <f>D104*2</f>
        <v>1329.4832000000001</v>
      </c>
      <c r="E105" s="272"/>
      <c r="F105" s="286">
        <v>10120.48</v>
      </c>
      <c r="G105" s="286">
        <v>5317.92</v>
      </c>
      <c r="H105" s="273">
        <f t="shared" si="32"/>
        <v>12.000035903895144</v>
      </c>
      <c r="I105" s="273">
        <f t="shared" si="25"/>
        <v>1.0000029919912621</v>
      </c>
      <c r="J105" s="252">
        <v>8.66</v>
      </c>
      <c r="K105" s="274">
        <f t="shared" si="33"/>
        <v>103.92031092773195</v>
      </c>
      <c r="L105" s="252">
        <f>L94*2.75</f>
        <v>1685.75</v>
      </c>
      <c r="M105" s="222">
        <f t="shared" si="26"/>
        <v>175183.66414642413</v>
      </c>
      <c r="N105" s="222">
        <f t="shared" si="27"/>
        <v>144443.52899355395</v>
      </c>
      <c r="O105" s="275">
        <f t="shared" si="28"/>
        <v>166.1100583425858</v>
      </c>
      <c r="P105" s="258">
        <f t="shared" si="29"/>
        <v>169.37475677951088</v>
      </c>
      <c r="Q105" s="275">
        <f t="shared" si="30"/>
        <v>1.6298522903506045</v>
      </c>
      <c r="S105" s="258">
        <f t="shared" si="31"/>
        <v>169.37475677951088</v>
      </c>
    </row>
    <row r="106" spans="1:19">
      <c r="A106" s="269" t="s">
        <v>190</v>
      </c>
      <c r="B106" s="270" t="s">
        <v>191</v>
      </c>
      <c r="C106" s="271">
        <v>18.52</v>
      </c>
      <c r="D106" s="272">
        <v>19.29</v>
      </c>
      <c r="E106" s="272"/>
      <c r="F106" s="286">
        <v>537.08000000000004</v>
      </c>
      <c r="G106" s="286">
        <v>501.54</v>
      </c>
      <c r="H106" s="273">
        <f t="shared" si="32"/>
        <v>55.000000000000007</v>
      </c>
      <c r="I106" s="273">
        <f t="shared" si="25"/>
        <v>4.5833333333333339</v>
      </c>
      <c r="J106" s="258">
        <v>1</v>
      </c>
      <c r="K106" s="274">
        <f t="shared" si="33"/>
        <v>55.000000000000007</v>
      </c>
      <c r="L106" s="252">
        <v>175</v>
      </c>
      <c r="M106" s="222">
        <f t="shared" si="26"/>
        <v>9625.0000000000018</v>
      </c>
      <c r="N106" s="222">
        <f t="shared" si="27"/>
        <v>7936.0651196388126</v>
      </c>
      <c r="O106" s="275">
        <f t="shared" si="28"/>
        <v>9.1264748875845676</v>
      </c>
      <c r="P106" s="258">
        <f t="shared" si="29"/>
        <v>9.3058450509414641</v>
      </c>
      <c r="Q106" s="275">
        <f t="shared" si="30"/>
        <v>0.16919718274439025</v>
      </c>
      <c r="S106" s="258">
        <f t="shared" si="31"/>
        <v>9.3058450509414641</v>
      </c>
    </row>
    <row r="107" spans="1:19">
      <c r="A107" s="269" t="s">
        <v>192</v>
      </c>
      <c r="B107" s="270" t="s">
        <v>193</v>
      </c>
      <c r="C107" s="271">
        <v>24.4</v>
      </c>
      <c r="D107" s="272">
        <v>25.5</v>
      </c>
      <c r="E107" s="272"/>
      <c r="F107" s="286">
        <v>805.2</v>
      </c>
      <c r="G107" s="286">
        <v>357</v>
      </c>
      <c r="H107" s="273">
        <f t="shared" si="32"/>
        <v>47.000000000000007</v>
      </c>
      <c r="I107" s="273">
        <f t="shared" si="25"/>
        <v>3.9166666666666674</v>
      </c>
      <c r="J107" s="258">
        <v>1</v>
      </c>
      <c r="K107" s="274">
        <f t="shared" si="33"/>
        <v>47.000000000000007</v>
      </c>
      <c r="L107" s="252">
        <v>250</v>
      </c>
      <c r="M107" s="222">
        <f t="shared" si="26"/>
        <v>11750.000000000002</v>
      </c>
      <c r="N107" s="222">
        <f t="shared" si="27"/>
        <v>9688.183392805824</v>
      </c>
      <c r="O107" s="275">
        <f t="shared" si="28"/>
        <v>11.141410901726616</v>
      </c>
      <c r="P107" s="258">
        <f t="shared" si="29"/>
        <v>11.360382269980491</v>
      </c>
      <c r="Q107" s="275">
        <f t="shared" si="30"/>
        <v>0.24171026106341467</v>
      </c>
      <c r="S107" s="258">
        <f t="shared" si="31"/>
        <v>11.360382269980491</v>
      </c>
    </row>
    <row r="108" spans="1:19">
      <c r="A108" s="269" t="s">
        <v>194</v>
      </c>
      <c r="B108" s="270" t="s">
        <v>195</v>
      </c>
      <c r="C108" s="271">
        <v>29.35</v>
      </c>
      <c r="D108" s="272">
        <v>30.78</v>
      </c>
      <c r="E108" s="272"/>
      <c r="F108" s="286">
        <v>12372.62</v>
      </c>
      <c r="G108" s="286">
        <v>5501.04</v>
      </c>
      <c r="H108" s="273">
        <f t="shared" si="32"/>
        <v>600.27559168601044</v>
      </c>
      <c r="I108" s="273">
        <f t="shared" si="25"/>
        <v>50.022965973834204</v>
      </c>
      <c r="J108" s="258">
        <v>1</v>
      </c>
      <c r="K108" s="274">
        <f t="shared" si="33"/>
        <v>600.27559168601044</v>
      </c>
      <c r="L108" s="252">
        <v>324</v>
      </c>
      <c r="M108" s="222">
        <f t="shared" si="26"/>
        <v>194489.2917062674</v>
      </c>
      <c r="N108" s="222">
        <f t="shared" si="27"/>
        <v>160361.5256159342</v>
      </c>
      <c r="O108" s="275">
        <f t="shared" si="28"/>
        <v>184.41575445832297</v>
      </c>
      <c r="P108" s="258">
        <f t="shared" si="29"/>
        <v>188.04022988944197</v>
      </c>
      <c r="Q108" s="275">
        <f t="shared" si="30"/>
        <v>0.31325649833818536</v>
      </c>
      <c r="S108" s="258">
        <f t="shared" si="31"/>
        <v>188.04022988944197</v>
      </c>
    </row>
    <row r="109" spans="1:19">
      <c r="A109" s="269" t="s">
        <v>196</v>
      </c>
      <c r="B109" s="270" t="s">
        <v>197</v>
      </c>
      <c r="C109" s="271">
        <v>40.79</v>
      </c>
      <c r="D109" s="272">
        <v>42.88</v>
      </c>
      <c r="E109" s="272"/>
      <c r="F109" s="286">
        <v>407.9</v>
      </c>
      <c r="G109" s="286">
        <v>42.88</v>
      </c>
      <c r="H109" s="273">
        <f t="shared" si="32"/>
        <v>11</v>
      </c>
      <c r="I109" s="273">
        <f t="shared" si="25"/>
        <v>0.91666666666666663</v>
      </c>
      <c r="J109" s="258">
        <v>1</v>
      </c>
      <c r="K109" s="274">
        <f t="shared" si="33"/>
        <v>11</v>
      </c>
      <c r="L109" s="252">
        <v>473</v>
      </c>
      <c r="M109" s="222">
        <f t="shared" si="26"/>
        <v>5203</v>
      </c>
      <c r="N109" s="222">
        <f t="shared" si="27"/>
        <v>4290.0100589590375</v>
      </c>
      <c r="O109" s="275">
        <f t="shared" si="28"/>
        <v>4.9335115678028565</v>
      </c>
      <c r="P109" s="258">
        <f t="shared" si="29"/>
        <v>5.0304739532517848</v>
      </c>
      <c r="Q109" s="275">
        <f t="shared" si="30"/>
        <v>0.45731581393198045</v>
      </c>
      <c r="S109" s="258">
        <f t="shared" si="31"/>
        <v>5.0304739532517848</v>
      </c>
    </row>
    <row r="110" spans="1:19">
      <c r="A110" s="269" t="s">
        <v>198</v>
      </c>
      <c r="B110" s="270" t="s">
        <v>199</v>
      </c>
      <c r="C110" s="271">
        <v>52.58</v>
      </c>
      <c r="D110" s="272">
        <v>55.28</v>
      </c>
      <c r="E110" s="272"/>
      <c r="F110" s="286">
        <v>262.89999999999998</v>
      </c>
      <c r="G110" s="286">
        <v>0</v>
      </c>
      <c r="H110" s="273">
        <f t="shared" si="32"/>
        <v>5</v>
      </c>
      <c r="I110" s="273">
        <f t="shared" si="25"/>
        <v>0.41666666666666669</v>
      </c>
      <c r="J110" s="258">
        <v>1</v>
      </c>
      <c r="K110" s="274">
        <f t="shared" si="33"/>
        <v>5</v>
      </c>
      <c r="L110" s="252">
        <v>613</v>
      </c>
      <c r="M110" s="222">
        <f t="shared" si="26"/>
        <v>3065</v>
      </c>
      <c r="N110" s="222">
        <f t="shared" si="27"/>
        <v>2527.1729445914762</v>
      </c>
      <c r="O110" s="275">
        <f t="shared" si="28"/>
        <v>2.9062488862801761</v>
      </c>
      <c r="P110" s="258">
        <f t="shared" si="29"/>
        <v>2.9633678006374633</v>
      </c>
      <c r="Q110" s="275">
        <f t="shared" si="30"/>
        <v>0.59267356012749262</v>
      </c>
      <c r="S110" s="258">
        <f t="shared" si="31"/>
        <v>2.9633678006374629</v>
      </c>
    </row>
    <row r="111" spans="1:19">
      <c r="A111" s="269" t="s">
        <v>200</v>
      </c>
      <c r="B111" s="270" t="s">
        <v>201</v>
      </c>
      <c r="C111" s="271">
        <v>73.23</v>
      </c>
      <c r="D111" s="272">
        <v>76.94</v>
      </c>
      <c r="E111" s="272"/>
      <c r="F111" s="286">
        <v>758.12</v>
      </c>
      <c r="G111" s="286">
        <f>230.82+77</f>
        <v>307.82</v>
      </c>
      <c r="H111" s="273">
        <f t="shared" si="32"/>
        <v>14.353367565703891</v>
      </c>
      <c r="I111" s="273">
        <f t="shared" si="25"/>
        <v>1.1961139638086575</v>
      </c>
      <c r="J111" s="252">
        <v>1</v>
      </c>
      <c r="K111" s="274">
        <f t="shared" si="33"/>
        <v>14.353367565703891</v>
      </c>
      <c r="L111" s="252">
        <v>840</v>
      </c>
      <c r="M111" s="222">
        <f t="shared" si="26"/>
        <v>12056.828755191269</v>
      </c>
      <c r="N111" s="222">
        <f t="shared" si="27"/>
        <v>9941.1717545487445</v>
      </c>
      <c r="O111" s="275">
        <f t="shared" si="28"/>
        <v>11.432347517730973</v>
      </c>
      <c r="P111" s="258">
        <f t="shared" si="29"/>
        <v>11.657036904056666</v>
      </c>
      <c r="Q111" s="275">
        <f t="shared" si="30"/>
        <v>0.81214647717307331</v>
      </c>
      <c r="S111" s="258">
        <f t="shared" si="31"/>
        <v>11.657036904056666</v>
      </c>
    </row>
    <row r="112" spans="1:19">
      <c r="A112" s="269" t="s">
        <v>202</v>
      </c>
      <c r="B112" s="270" t="s">
        <v>203</v>
      </c>
      <c r="C112" s="271">
        <f t="shared" ref="C112:C117" si="34">D112</f>
        <v>0.5</v>
      </c>
      <c r="D112" s="272">
        <v>0.5</v>
      </c>
      <c r="E112" s="272"/>
      <c r="F112" s="286">
        <v>1393.8</v>
      </c>
      <c r="G112" s="286">
        <v>589.79999999999995</v>
      </c>
      <c r="H112" s="273">
        <f t="shared" si="32"/>
        <v>3967.2</v>
      </c>
      <c r="I112" s="273">
        <f t="shared" si="25"/>
        <v>330.59999999999997</v>
      </c>
    </row>
    <row r="113" spans="1:19">
      <c r="A113" s="269" t="s">
        <v>204</v>
      </c>
      <c r="B113" s="270" t="s">
        <v>205</v>
      </c>
      <c r="C113" s="271">
        <f t="shared" si="34"/>
        <v>0.45</v>
      </c>
      <c r="D113" s="272">
        <v>0.45</v>
      </c>
      <c r="E113" s="272"/>
      <c r="F113" s="286">
        <v>288.45</v>
      </c>
      <c r="G113" s="286">
        <v>192.6</v>
      </c>
      <c r="H113" s="273">
        <f t="shared" si="32"/>
        <v>1069</v>
      </c>
      <c r="I113" s="273">
        <f t="shared" si="25"/>
        <v>89.083333333333329</v>
      </c>
    </row>
    <row r="114" spans="1:19">
      <c r="A114" s="269" t="s">
        <v>206</v>
      </c>
      <c r="B114" s="270" t="s">
        <v>207</v>
      </c>
      <c r="C114" s="271">
        <f t="shared" si="34"/>
        <v>0.6</v>
      </c>
      <c r="D114" s="272">
        <v>0.6</v>
      </c>
      <c r="E114" s="272"/>
      <c r="F114" s="286">
        <v>4383.54</v>
      </c>
      <c r="G114" s="286">
        <v>1688.35</v>
      </c>
      <c r="H114" s="273">
        <f t="shared" si="32"/>
        <v>10119.816666666668</v>
      </c>
      <c r="I114" s="273">
        <f t="shared" si="25"/>
        <v>843.31805555555559</v>
      </c>
    </row>
    <row r="115" spans="1:19">
      <c r="A115" s="269" t="s">
        <v>208</v>
      </c>
      <c r="B115" s="270" t="s">
        <v>209</v>
      </c>
      <c r="C115" s="271">
        <f t="shared" si="34"/>
        <v>0.65</v>
      </c>
      <c r="D115" s="272">
        <v>0.65</v>
      </c>
      <c r="E115" s="272"/>
      <c r="F115" s="286">
        <v>85.8</v>
      </c>
      <c r="G115" s="286">
        <v>0</v>
      </c>
      <c r="H115" s="273">
        <f t="shared" si="32"/>
        <v>132</v>
      </c>
      <c r="I115" s="273">
        <f t="shared" si="25"/>
        <v>11</v>
      </c>
    </row>
    <row r="116" spans="1:19">
      <c r="A116" s="269" t="s">
        <v>210</v>
      </c>
      <c r="B116" s="270" t="s">
        <v>211</v>
      </c>
      <c r="C116" s="271">
        <f t="shared" si="34"/>
        <v>0.85</v>
      </c>
      <c r="D116" s="272">
        <v>0.85</v>
      </c>
      <c r="E116" s="272"/>
      <c r="F116" s="286">
        <v>8.9700000000000006</v>
      </c>
      <c r="G116" s="286">
        <v>0</v>
      </c>
      <c r="H116" s="273">
        <f t="shared" si="32"/>
        <v>10.55294117647059</v>
      </c>
      <c r="I116" s="273">
        <f t="shared" si="25"/>
        <v>0.87941176470588245</v>
      </c>
    </row>
    <row r="117" spans="1:19">
      <c r="A117" s="269" t="s">
        <v>212</v>
      </c>
      <c r="B117" s="270" t="s">
        <v>213</v>
      </c>
      <c r="C117" s="271">
        <f t="shared" si="34"/>
        <v>1.25</v>
      </c>
      <c r="D117" s="272">
        <v>1.25</v>
      </c>
      <c r="E117" s="272"/>
      <c r="F117" s="286">
        <v>173.75</v>
      </c>
      <c r="G117" s="286">
        <f>58.75+8</f>
        <v>66.75</v>
      </c>
      <c r="H117" s="273">
        <f t="shared" si="32"/>
        <v>192.4</v>
      </c>
      <c r="I117" s="273">
        <f t="shared" si="25"/>
        <v>16.033333333333335</v>
      </c>
    </row>
    <row r="118" spans="1:19" s="249" customFormat="1">
      <c r="A118" s="269" t="s">
        <v>214</v>
      </c>
      <c r="B118" s="269" t="s">
        <v>215</v>
      </c>
      <c r="C118" s="277">
        <v>11.41</v>
      </c>
      <c r="D118" s="272">
        <v>11.79</v>
      </c>
      <c r="E118" s="272"/>
      <c r="F118" s="286">
        <v>174.95</v>
      </c>
      <c r="G118" s="286">
        <v>11.79</v>
      </c>
      <c r="H118" s="273">
        <f t="shared" si="32"/>
        <v>16.333041191936896</v>
      </c>
      <c r="I118" s="273">
        <f t="shared" si="25"/>
        <v>1.3610867659947414</v>
      </c>
      <c r="J118" s="249">
        <v>4.33</v>
      </c>
      <c r="K118" s="274">
        <f t="shared" ref="K118:K144" si="35">H118*J118</f>
        <v>70.722068361086755</v>
      </c>
      <c r="L118" s="249">
        <v>20</v>
      </c>
      <c r="M118" s="222">
        <f t="shared" ref="M118:M142" si="36">K118*L118</f>
        <v>1414.4413672217352</v>
      </c>
      <c r="N118" s="222">
        <f t="shared" ref="N118:N142" si="37">M118*$M$200</f>
        <v>1166.2440309800149</v>
      </c>
      <c r="O118" s="275">
        <f t="shared" ref="O118:O142" si="38">N118*$O$6</f>
        <v>1.3411806356270073</v>
      </c>
      <c r="P118" s="258">
        <f t="shared" ref="P118:P142" si="39">O118/$P$6</f>
        <v>1.367539968520235</v>
      </c>
      <c r="Q118" s="275">
        <f t="shared" ref="Q118:Q142" si="40">P118/K118</f>
        <v>1.9336820885073172E-2</v>
      </c>
      <c r="S118" s="258">
        <f t="shared" ref="S118:S142" si="41">H118*J118*Q118</f>
        <v>1.367539968520235</v>
      </c>
    </row>
    <row r="119" spans="1:19">
      <c r="A119" s="269" t="s">
        <v>216</v>
      </c>
      <c r="B119" s="270" t="s">
        <v>217</v>
      </c>
      <c r="C119" s="271">
        <v>14.2</v>
      </c>
      <c r="D119" s="272">
        <v>14.75</v>
      </c>
      <c r="E119" s="272"/>
      <c r="F119" s="286">
        <v>994.26</v>
      </c>
      <c r="G119" s="286">
        <v>309.01</v>
      </c>
      <c r="H119" s="273">
        <f t="shared" si="32"/>
        <v>90.968140367629516</v>
      </c>
      <c r="I119" s="273">
        <f t="shared" si="25"/>
        <v>7.5806783639691266</v>
      </c>
      <c r="J119" s="249">
        <v>4.33</v>
      </c>
      <c r="K119" s="274">
        <f t="shared" si="35"/>
        <v>393.89204779183581</v>
      </c>
      <c r="L119" s="252">
        <v>29</v>
      </c>
      <c r="M119" s="222">
        <f t="shared" si="36"/>
        <v>11422.869385963239</v>
      </c>
      <c r="N119" s="222">
        <f t="shared" si="37"/>
        <v>9418.4556155982191</v>
      </c>
      <c r="O119" s="275">
        <f t="shared" si="38"/>
        <v>10.831223957937873</v>
      </c>
      <c r="P119" s="258">
        <f t="shared" si="39"/>
        <v>11.044098965497843</v>
      </c>
      <c r="Q119" s="275">
        <f t="shared" si="40"/>
        <v>2.8038390283356095E-2</v>
      </c>
      <c r="S119" s="258">
        <f t="shared" si="41"/>
        <v>11.044098965497843</v>
      </c>
    </row>
    <row r="120" spans="1:19">
      <c r="A120" s="269" t="s">
        <v>218</v>
      </c>
      <c r="B120" s="270" t="s">
        <v>219</v>
      </c>
      <c r="C120" s="271">
        <v>14.2</v>
      </c>
      <c r="D120" s="272">
        <v>14.75</v>
      </c>
      <c r="E120" s="272"/>
      <c r="F120" s="286">
        <f>7441.64+118</f>
        <v>7559.64</v>
      </c>
      <c r="G120" s="286">
        <v>1380.61</v>
      </c>
      <c r="H120" s="273">
        <f t="shared" si="32"/>
        <v>625.96969205060873</v>
      </c>
      <c r="I120" s="273">
        <f t="shared" si="25"/>
        <v>52.164141004217392</v>
      </c>
      <c r="J120" s="249">
        <v>4.33</v>
      </c>
      <c r="K120" s="274">
        <f t="shared" si="35"/>
        <v>2710.4487665791357</v>
      </c>
      <c r="L120" s="252">
        <v>29</v>
      </c>
      <c r="M120" s="222">
        <f t="shared" si="36"/>
        <v>78603.014230794943</v>
      </c>
      <c r="N120" s="222">
        <f t="shared" si="37"/>
        <v>64810.248263426998</v>
      </c>
      <c r="O120" s="275">
        <f t="shared" si="38"/>
        <v>74.531785502940494</v>
      </c>
      <c r="P120" s="258">
        <f t="shared" si="39"/>
        <v>75.996620360386956</v>
      </c>
      <c r="Q120" s="275">
        <f t="shared" si="40"/>
        <v>2.8038390283356095E-2</v>
      </c>
      <c r="S120" s="258">
        <f t="shared" si="41"/>
        <v>75.996620360386956</v>
      </c>
    </row>
    <row r="121" spans="1:19">
      <c r="A121" s="269" t="s">
        <v>220</v>
      </c>
      <c r="B121" s="270" t="s">
        <v>217</v>
      </c>
      <c r="C121" s="271">
        <f>2.55*4.33*2</f>
        <v>22.082999999999998</v>
      </c>
      <c r="D121" s="272">
        <f>2.68*4.33*2</f>
        <v>23.2088</v>
      </c>
      <c r="E121" s="272"/>
      <c r="F121" s="286">
        <v>874.37</v>
      </c>
      <c r="G121" s="286">
        <v>1670.4</v>
      </c>
      <c r="H121" s="273">
        <f t="shared" si="32"/>
        <v>111.56741087390112</v>
      </c>
      <c r="I121" s="273">
        <f t="shared" si="25"/>
        <v>9.297284239491761</v>
      </c>
      <c r="J121" s="249">
        <v>4.33</v>
      </c>
      <c r="K121" s="274">
        <f t="shared" si="35"/>
        <v>483.08688908399188</v>
      </c>
      <c r="L121" s="252">
        <f>L120*2</f>
        <v>58</v>
      </c>
      <c r="M121" s="222">
        <f t="shared" si="36"/>
        <v>28019.039566871528</v>
      </c>
      <c r="N121" s="222">
        <f t="shared" si="37"/>
        <v>23102.433516096509</v>
      </c>
      <c r="O121" s="275">
        <f t="shared" si="38"/>
        <v>26.56779854351079</v>
      </c>
      <c r="P121" s="258">
        <f t="shared" si="39"/>
        <v>27.089957473818647</v>
      </c>
      <c r="Q121" s="275">
        <f t="shared" si="40"/>
        <v>5.6076780566712198E-2</v>
      </c>
      <c r="S121" s="258">
        <f t="shared" si="41"/>
        <v>27.089957473818647</v>
      </c>
    </row>
    <row r="122" spans="1:19">
      <c r="A122" s="269" t="s">
        <v>221</v>
      </c>
      <c r="B122" s="270" t="s">
        <v>222</v>
      </c>
      <c r="C122" s="271">
        <f>C121</f>
        <v>22.082999999999998</v>
      </c>
      <c r="D122" s="272">
        <f>D121</f>
        <v>23.2088</v>
      </c>
      <c r="E122" s="272">
        <v>2.68</v>
      </c>
      <c r="F122" s="286">
        <f>47.47+94</f>
        <v>141.47</v>
      </c>
      <c r="G122" s="286">
        <f>197.2+93</f>
        <v>290.2</v>
      </c>
      <c r="H122" s="273">
        <f t="shared" si="32"/>
        <v>18.910163217332709</v>
      </c>
      <c r="I122" s="273">
        <f t="shared" si="25"/>
        <v>1.5758469347777257</v>
      </c>
      <c r="J122" s="249">
        <v>4.33</v>
      </c>
      <c r="K122" s="274">
        <f t="shared" si="35"/>
        <v>81.881006731050633</v>
      </c>
      <c r="L122" s="252">
        <f>L121</f>
        <v>58</v>
      </c>
      <c r="M122" s="222">
        <f t="shared" si="36"/>
        <v>4749.0983904009363</v>
      </c>
      <c r="N122" s="222">
        <f t="shared" si="37"/>
        <v>3915.7562686538904</v>
      </c>
      <c r="O122" s="275">
        <f t="shared" si="38"/>
        <v>4.5031197089519406</v>
      </c>
      <c r="P122" s="258">
        <f t="shared" si="39"/>
        <v>4.5916232470386102</v>
      </c>
      <c r="Q122" s="275">
        <f t="shared" si="40"/>
        <v>5.6076780566712191E-2</v>
      </c>
      <c r="S122" s="258">
        <f t="shared" si="41"/>
        <v>4.5916232470386102</v>
      </c>
    </row>
    <row r="123" spans="1:19">
      <c r="A123" s="269" t="s">
        <v>223</v>
      </c>
      <c r="B123" s="270" t="s">
        <v>217</v>
      </c>
      <c r="C123" s="271">
        <f>2.55*4.33*3</f>
        <v>33.124499999999998</v>
      </c>
      <c r="D123" s="272">
        <f>2.68*4.33*3</f>
        <v>34.813200000000002</v>
      </c>
      <c r="E123" s="272"/>
      <c r="F123" s="286">
        <v>124.2</v>
      </c>
      <c r="G123" s="286">
        <v>0</v>
      </c>
      <c r="H123" s="273">
        <f t="shared" si="32"/>
        <v>3.7494905583480507</v>
      </c>
      <c r="I123" s="273">
        <f t="shared" si="25"/>
        <v>0.3124575465290042</v>
      </c>
      <c r="J123" s="249">
        <v>4.33</v>
      </c>
      <c r="K123" s="274">
        <f t="shared" si="35"/>
        <v>16.235294117647058</v>
      </c>
      <c r="L123" s="252">
        <f>L120*3</f>
        <v>87</v>
      </c>
      <c r="M123" s="222">
        <f t="shared" si="36"/>
        <v>1412.4705882352941</v>
      </c>
      <c r="N123" s="222">
        <f t="shared" si="37"/>
        <v>1164.6190719802423</v>
      </c>
      <c r="O123" s="275">
        <f t="shared" si="38"/>
        <v>1.3393119327772689</v>
      </c>
      <c r="P123" s="258">
        <f t="shared" si="39"/>
        <v>1.3656345385069912</v>
      </c>
      <c r="Q123" s="275">
        <f t="shared" si="40"/>
        <v>8.411517085006831E-2</v>
      </c>
      <c r="S123" s="258">
        <f t="shared" si="41"/>
        <v>1.3656345385069912</v>
      </c>
    </row>
    <row r="124" spans="1:19">
      <c r="A124" s="269" t="s">
        <v>224</v>
      </c>
      <c r="B124" s="270" t="s">
        <v>225</v>
      </c>
      <c r="C124" s="271">
        <f>C123</f>
        <v>33.124499999999998</v>
      </c>
      <c r="D124" s="272">
        <f>D123</f>
        <v>34.813200000000002</v>
      </c>
      <c r="E124" s="272"/>
      <c r="F124" s="286">
        <v>66.239999999999995</v>
      </c>
      <c r="G124" s="286">
        <v>271.44</v>
      </c>
      <c r="H124" s="273">
        <f t="shared" si="32"/>
        <v>9.7967707989058912</v>
      </c>
      <c r="I124" s="273">
        <f t="shared" si="25"/>
        <v>0.8163975665754909</v>
      </c>
      <c r="J124" s="249">
        <v>4.33</v>
      </c>
      <c r="K124" s="274">
        <f t="shared" si="35"/>
        <v>42.420017559262511</v>
      </c>
      <c r="L124" s="252">
        <f>L123</f>
        <v>87</v>
      </c>
      <c r="M124" s="222">
        <f t="shared" si="36"/>
        <v>3690.5415276558383</v>
      </c>
      <c r="N124" s="222">
        <f t="shared" si="37"/>
        <v>3042.9483522294058</v>
      </c>
      <c r="O124" s="275">
        <f t="shared" si="38"/>
        <v>3.4993906050637911</v>
      </c>
      <c r="P124" s="258">
        <f t="shared" si="39"/>
        <v>3.5681670244602626</v>
      </c>
      <c r="Q124" s="275">
        <f t="shared" si="40"/>
        <v>8.4115170850068283E-2</v>
      </c>
      <c r="S124" s="258">
        <f t="shared" si="41"/>
        <v>3.5681670244602626</v>
      </c>
    </row>
    <row r="125" spans="1:19">
      <c r="A125" s="269" t="s">
        <v>226</v>
      </c>
      <c r="B125" s="270" t="s">
        <v>227</v>
      </c>
      <c r="C125" s="271">
        <f>2.55*4.33*4</f>
        <v>44.165999999999997</v>
      </c>
      <c r="D125" s="272">
        <f>2.68*4.33*4</f>
        <v>46.4176</v>
      </c>
      <c r="E125" s="272"/>
      <c r="F125" s="286">
        <v>998.02</v>
      </c>
      <c r="G125" s="286">
        <v>1647.2</v>
      </c>
      <c r="H125" s="273">
        <f t="shared" si="32"/>
        <v>58.083559920814352</v>
      </c>
      <c r="I125" s="273">
        <f t="shared" si="25"/>
        <v>4.840296660067863</v>
      </c>
      <c r="J125" s="249">
        <v>4.33</v>
      </c>
      <c r="K125" s="274">
        <f t="shared" si="35"/>
        <v>251.50181445712616</v>
      </c>
      <c r="L125" s="252">
        <f>L120*4</f>
        <v>116</v>
      </c>
      <c r="M125" s="222">
        <f t="shared" si="36"/>
        <v>29174.210477026634</v>
      </c>
      <c r="N125" s="222">
        <f t="shared" si="37"/>
        <v>24054.902250361793</v>
      </c>
      <c r="O125" s="275">
        <f t="shared" si="38"/>
        <v>27.663137587915859</v>
      </c>
      <c r="P125" s="258">
        <f t="shared" si="39"/>
        <v>28.206824122884459</v>
      </c>
      <c r="Q125" s="275">
        <f t="shared" si="40"/>
        <v>0.1121535611334244</v>
      </c>
      <c r="S125" s="258">
        <f t="shared" si="41"/>
        <v>28.206824122884459</v>
      </c>
    </row>
    <row r="126" spans="1:19">
      <c r="A126" s="269" t="s">
        <v>228</v>
      </c>
      <c r="B126" s="270" t="s">
        <v>229</v>
      </c>
      <c r="C126" s="271">
        <f>2.55*4.33*5</f>
        <v>55.207499999999996</v>
      </c>
      <c r="D126" s="272">
        <f>2.68*4.33*5</f>
        <v>58.021999999999998</v>
      </c>
      <c r="E126" s="272"/>
      <c r="F126" s="286">
        <v>110.4</v>
      </c>
      <c r="G126" s="286">
        <v>232</v>
      </c>
      <c r="H126" s="273">
        <f t="shared" si="32"/>
        <v>5.9982116316934553</v>
      </c>
      <c r="I126" s="273">
        <f t="shared" si="25"/>
        <v>0.49985096930778794</v>
      </c>
      <c r="J126" s="249">
        <v>4.33</v>
      </c>
      <c r="K126" s="274">
        <f t="shared" si="35"/>
        <v>25.972256365232663</v>
      </c>
      <c r="L126" s="252">
        <f>L120*5</f>
        <v>145</v>
      </c>
      <c r="M126" s="222">
        <f t="shared" si="36"/>
        <v>3765.977172958736</v>
      </c>
      <c r="N126" s="222">
        <f t="shared" si="37"/>
        <v>3105.147021680395</v>
      </c>
      <c r="O126" s="275">
        <f t="shared" si="38"/>
        <v>3.5709190749324278</v>
      </c>
      <c r="P126" s="258">
        <f t="shared" si="39"/>
        <v>3.6411013025388645</v>
      </c>
      <c r="Q126" s="275">
        <f t="shared" si="40"/>
        <v>0.14019195141678045</v>
      </c>
      <c r="S126" s="258">
        <f t="shared" si="41"/>
        <v>3.6411013025388645</v>
      </c>
    </row>
    <row r="127" spans="1:19">
      <c r="A127" s="269" t="s">
        <v>230</v>
      </c>
      <c r="B127" s="270" t="s">
        <v>231</v>
      </c>
      <c r="C127" s="271">
        <v>23.38</v>
      </c>
      <c r="D127" s="272">
        <f>5.61*4.33</f>
        <v>24.291300000000003</v>
      </c>
      <c r="E127" s="272">
        <v>5.61</v>
      </c>
      <c r="F127" s="286">
        <v>6355.26</v>
      </c>
      <c r="G127" s="286">
        <v>3408.65</v>
      </c>
      <c r="H127" s="273">
        <f t="shared" si="32"/>
        <v>412.14853841453731</v>
      </c>
      <c r="I127" s="273">
        <f t="shared" si="25"/>
        <v>34.345711534544776</v>
      </c>
      <c r="J127" s="249">
        <v>4.33</v>
      </c>
      <c r="K127" s="274">
        <f t="shared" si="35"/>
        <v>1784.6031713349466</v>
      </c>
      <c r="L127" s="252">
        <v>47</v>
      </c>
      <c r="M127" s="222">
        <f t="shared" si="36"/>
        <v>83876.349052742487</v>
      </c>
      <c r="N127" s="222">
        <f t="shared" si="37"/>
        <v>69158.25122910332</v>
      </c>
      <c r="O127" s="275">
        <f t="shared" si="38"/>
        <v>79.531988913468226</v>
      </c>
      <c r="P127" s="258">
        <f t="shared" si="39"/>
        <v>81.095096906337886</v>
      </c>
      <c r="Q127" s="275">
        <f t="shared" si="40"/>
        <v>4.5441529079921938E-2</v>
      </c>
      <c r="S127" s="258">
        <f t="shared" si="41"/>
        <v>81.095096906337886</v>
      </c>
    </row>
    <row r="128" spans="1:19">
      <c r="A128" s="269" t="s">
        <v>232</v>
      </c>
      <c r="B128" s="270" t="s">
        <v>233</v>
      </c>
      <c r="C128" s="271">
        <f>C127</f>
        <v>23.38</v>
      </c>
      <c r="D128" s="272">
        <f>D127</f>
        <v>24.291300000000003</v>
      </c>
      <c r="E128" s="272"/>
      <c r="F128" s="286">
        <v>82578.100000000006</v>
      </c>
      <c r="G128" s="286">
        <v>41879.839999999997</v>
      </c>
      <c r="H128" s="273">
        <f t="shared" si="32"/>
        <v>5256.0648981871891</v>
      </c>
      <c r="I128" s="273">
        <f t="shared" si="25"/>
        <v>438.00540818226574</v>
      </c>
      <c r="J128" s="249">
        <v>4.33</v>
      </c>
      <c r="K128" s="274">
        <f t="shared" si="35"/>
        <v>22758.76100915053</v>
      </c>
      <c r="L128" s="252">
        <v>47</v>
      </c>
      <c r="M128" s="222">
        <f t="shared" si="36"/>
        <v>1069661.767430075</v>
      </c>
      <c r="N128" s="222">
        <f t="shared" si="37"/>
        <v>881964.20179875533</v>
      </c>
      <c r="O128" s="275">
        <f t="shared" si="38"/>
        <v>1014.2588320685611</v>
      </c>
      <c r="P128" s="258">
        <f t="shared" si="39"/>
        <v>1034.1929002203076</v>
      </c>
      <c r="Q128" s="275">
        <f t="shared" si="40"/>
        <v>4.5441529079921945E-2</v>
      </c>
      <c r="S128" s="258">
        <f t="shared" si="41"/>
        <v>1034.1929002203076</v>
      </c>
    </row>
    <row r="129" spans="1:19">
      <c r="A129" s="269" t="s">
        <v>234</v>
      </c>
      <c r="B129" s="270" t="s">
        <v>235</v>
      </c>
      <c r="C129" s="271">
        <f>C127*2</f>
        <v>46.76</v>
      </c>
      <c r="D129" s="272">
        <f>D127*2</f>
        <v>48.582600000000006</v>
      </c>
      <c r="E129" s="272"/>
      <c r="F129" s="286">
        <v>29.23</v>
      </c>
      <c r="G129" s="286">
        <v>0</v>
      </c>
      <c r="H129" s="273">
        <f t="shared" si="32"/>
        <v>0.62510692899914455</v>
      </c>
      <c r="I129" s="273">
        <f t="shared" si="25"/>
        <v>5.2092244083262046E-2</v>
      </c>
      <c r="J129" s="249">
        <v>4.33</v>
      </c>
      <c r="K129" s="274">
        <f t="shared" si="35"/>
        <v>2.7067130025662958</v>
      </c>
      <c r="L129" s="252">
        <f>L128*2</f>
        <v>94</v>
      </c>
      <c r="M129" s="222">
        <f t="shared" si="36"/>
        <v>254.4310222412318</v>
      </c>
      <c r="N129" s="222">
        <f t="shared" si="37"/>
        <v>209.78505568443495</v>
      </c>
      <c r="O129" s="275">
        <f t="shared" si="38"/>
        <v>0.24125281403709842</v>
      </c>
      <c r="P129" s="258">
        <f t="shared" si="39"/>
        <v>0.24599435523423838</v>
      </c>
      <c r="Q129" s="275">
        <f t="shared" si="40"/>
        <v>9.0883058159843905E-2</v>
      </c>
      <c r="S129" s="258">
        <f t="shared" si="41"/>
        <v>0.24599435523423838</v>
      </c>
    </row>
    <row r="130" spans="1:19">
      <c r="A130" s="269" t="s">
        <v>236</v>
      </c>
      <c r="B130" s="270" t="s">
        <v>237</v>
      </c>
      <c r="C130" s="271">
        <v>16.37</v>
      </c>
      <c r="D130" s="272">
        <v>16.82</v>
      </c>
      <c r="E130" s="272"/>
      <c r="F130" s="286">
        <v>744.84</v>
      </c>
      <c r="G130" s="286">
        <v>353.22</v>
      </c>
      <c r="H130" s="273">
        <f t="shared" si="32"/>
        <v>66.500305436774596</v>
      </c>
      <c r="I130" s="273">
        <f t="shared" si="25"/>
        <v>5.5416921197312163</v>
      </c>
      <c r="J130" s="252">
        <v>2.17</v>
      </c>
      <c r="K130" s="274">
        <f t="shared" si="35"/>
        <v>144.30566279780086</v>
      </c>
      <c r="L130" s="252">
        <v>47</v>
      </c>
      <c r="M130" s="222">
        <f t="shared" si="36"/>
        <v>6782.3661514966407</v>
      </c>
      <c r="N130" s="222">
        <f t="shared" si="37"/>
        <v>5592.2389032219653</v>
      </c>
      <c r="O130" s="275">
        <f t="shared" si="38"/>
        <v>6.4310747387052123</v>
      </c>
      <c r="P130" s="258">
        <f t="shared" si="39"/>
        <v>6.5574699724236787</v>
      </c>
      <c r="Q130" s="275">
        <f t="shared" si="40"/>
        <v>4.5441529079921945E-2</v>
      </c>
      <c r="S130" s="258">
        <f t="shared" si="41"/>
        <v>6.5574699724236787</v>
      </c>
    </row>
    <row r="131" spans="1:19">
      <c r="A131" s="269" t="s">
        <v>238</v>
      </c>
      <c r="B131" s="270" t="s">
        <v>239</v>
      </c>
      <c r="C131" s="271">
        <f>C130</f>
        <v>16.37</v>
      </c>
      <c r="D131" s="272">
        <f>D130</f>
        <v>16.82</v>
      </c>
      <c r="E131" s="272"/>
      <c r="F131" s="286">
        <v>16517.439999999999</v>
      </c>
      <c r="G131" s="286">
        <v>8494.1</v>
      </c>
      <c r="H131" s="273">
        <f t="shared" si="32"/>
        <v>1514.0067196090408</v>
      </c>
      <c r="I131" s="273">
        <f t="shared" si="25"/>
        <v>126.16722663408673</v>
      </c>
      <c r="J131" s="252">
        <v>2.17</v>
      </c>
      <c r="K131" s="274">
        <f t="shared" si="35"/>
        <v>3285.3945815516186</v>
      </c>
      <c r="L131" s="252">
        <v>47</v>
      </c>
      <c r="M131" s="222">
        <f t="shared" si="36"/>
        <v>154413.54533292606</v>
      </c>
      <c r="N131" s="222">
        <f t="shared" si="37"/>
        <v>127318.02089521049</v>
      </c>
      <c r="O131" s="275">
        <f t="shared" si="38"/>
        <v>146.41572402949097</v>
      </c>
      <c r="P131" s="258">
        <f t="shared" si="39"/>
        <v>149.29335341659586</v>
      </c>
      <c r="Q131" s="275">
        <f t="shared" si="40"/>
        <v>4.5441529079921945E-2</v>
      </c>
      <c r="S131" s="258">
        <f t="shared" si="41"/>
        <v>149.29335341659586</v>
      </c>
    </row>
    <row r="132" spans="1:19">
      <c r="A132" s="269" t="s">
        <v>240</v>
      </c>
      <c r="B132" s="270" t="s">
        <v>241</v>
      </c>
      <c r="C132" s="271">
        <f>6.73*4.33</f>
        <v>29.140900000000002</v>
      </c>
      <c r="D132" s="272">
        <f>7.03*4.33</f>
        <v>30.439900000000002</v>
      </c>
      <c r="E132" s="272">
        <v>7.03</v>
      </c>
      <c r="F132" s="286">
        <v>9105.27</v>
      </c>
      <c r="G132" s="286">
        <v>4846.05</v>
      </c>
      <c r="H132" s="273">
        <f t="shared" si="32"/>
        <v>471.65730760811721</v>
      </c>
      <c r="I132" s="273">
        <f t="shared" si="25"/>
        <v>39.304775634009765</v>
      </c>
      <c r="J132" s="249">
        <v>4.33</v>
      </c>
      <c r="K132" s="274">
        <f t="shared" si="35"/>
        <v>2042.2761419431476</v>
      </c>
      <c r="L132" s="252">
        <v>68</v>
      </c>
      <c r="M132" s="222">
        <f t="shared" si="36"/>
        <v>138874.77765213404</v>
      </c>
      <c r="N132" s="222">
        <f t="shared" si="37"/>
        <v>114505.89910885159</v>
      </c>
      <c r="O132" s="275">
        <f t="shared" si="38"/>
        <v>131.68178397517835</v>
      </c>
      <c r="P132" s="258">
        <f t="shared" si="39"/>
        <v>134.26983504568392</v>
      </c>
      <c r="Q132" s="275">
        <f t="shared" si="40"/>
        <v>6.5745191009248777E-2</v>
      </c>
      <c r="S132" s="258">
        <f t="shared" si="41"/>
        <v>134.26983504568392</v>
      </c>
    </row>
    <row r="133" spans="1:19">
      <c r="A133" s="269" t="s">
        <v>242</v>
      </c>
      <c r="B133" s="270" t="s">
        <v>243</v>
      </c>
      <c r="C133" s="271">
        <f>C132</f>
        <v>29.140900000000002</v>
      </c>
      <c r="D133" s="272">
        <f>D132</f>
        <v>30.439900000000002</v>
      </c>
      <c r="E133" s="272"/>
      <c r="F133" s="286">
        <v>42854.16</v>
      </c>
      <c r="G133" s="286">
        <v>22870.53</v>
      </c>
      <c r="H133" s="273">
        <f t="shared" si="32"/>
        <v>2221.918582197145</v>
      </c>
      <c r="I133" s="273">
        <f t="shared" si="25"/>
        <v>185.15988184976209</v>
      </c>
      <c r="J133" s="249">
        <v>4.33</v>
      </c>
      <c r="K133" s="274">
        <f t="shared" si="35"/>
        <v>9620.9074609136387</v>
      </c>
      <c r="L133" s="252">
        <v>68</v>
      </c>
      <c r="M133" s="222">
        <f t="shared" si="36"/>
        <v>654221.70734212745</v>
      </c>
      <c r="N133" s="222">
        <f t="shared" si="37"/>
        <v>539422.96853489953</v>
      </c>
      <c r="O133" s="275">
        <f t="shared" si="38"/>
        <v>620.33641381512984</v>
      </c>
      <c r="P133" s="258">
        <f t="shared" si="39"/>
        <v>632.52839870007381</v>
      </c>
      <c r="Q133" s="275">
        <f t="shared" si="40"/>
        <v>6.5745191009248777E-2</v>
      </c>
      <c r="S133" s="258">
        <f t="shared" si="41"/>
        <v>632.52839870007381</v>
      </c>
    </row>
    <row r="134" spans="1:19">
      <c r="A134" s="269" t="s">
        <v>244</v>
      </c>
      <c r="B134" s="270" t="s">
        <v>245</v>
      </c>
      <c r="C134" s="271">
        <v>20.100000000000001</v>
      </c>
      <c r="D134" s="272">
        <v>20.74</v>
      </c>
      <c r="E134" s="272"/>
      <c r="F134" s="286">
        <v>598.98</v>
      </c>
      <c r="G134" s="286">
        <v>316.29000000000002</v>
      </c>
      <c r="H134" s="273">
        <f t="shared" si="32"/>
        <v>45.050241080038575</v>
      </c>
      <c r="I134" s="273">
        <f t="shared" si="25"/>
        <v>3.7541867566698812</v>
      </c>
      <c r="J134" s="252">
        <v>2.17</v>
      </c>
      <c r="K134" s="274">
        <f t="shared" si="35"/>
        <v>97.759023143683706</v>
      </c>
      <c r="L134" s="252">
        <v>68</v>
      </c>
      <c r="M134" s="222">
        <f t="shared" si="36"/>
        <v>6647.6135737704917</v>
      </c>
      <c r="N134" s="222">
        <f t="shared" si="37"/>
        <v>5481.1318661441564</v>
      </c>
      <c r="O134" s="275">
        <f t="shared" si="38"/>
        <v>6.3033016460657336</v>
      </c>
      <c r="P134" s="258">
        <f t="shared" si="39"/>
        <v>6.4271856494590569</v>
      </c>
      <c r="Q134" s="275">
        <f t="shared" si="40"/>
        <v>6.5745191009248777E-2</v>
      </c>
      <c r="S134" s="258">
        <f t="shared" si="41"/>
        <v>6.4271856494590569</v>
      </c>
    </row>
    <row r="135" spans="1:19">
      <c r="A135" s="269" t="s">
        <v>246</v>
      </c>
      <c r="B135" s="270" t="s">
        <v>247</v>
      </c>
      <c r="C135" s="271">
        <f>C134</f>
        <v>20.100000000000001</v>
      </c>
      <c r="D135" s="272">
        <f>D134</f>
        <v>20.74</v>
      </c>
      <c r="E135" s="272"/>
      <c r="F135" s="286">
        <v>2301.4499999999998</v>
      </c>
      <c r="G135" s="286">
        <v>1145.8900000000001</v>
      </c>
      <c r="H135" s="273">
        <f t="shared" si="32"/>
        <v>169.75024108003856</v>
      </c>
      <c r="I135" s="273">
        <f t="shared" si="25"/>
        <v>14.145853423336547</v>
      </c>
      <c r="J135" s="252">
        <v>2.17</v>
      </c>
      <c r="K135" s="274">
        <f t="shared" si="35"/>
        <v>368.35802314368368</v>
      </c>
      <c r="L135" s="252">
        <v>68</v>
      </c>
      <c r="M135" s="222">
        <f t="shared" si="36"/>
        <v>25048.34557377049</v>
      </c>
      <c r="N135" s="222">
        <f t="shared" si="37"/>
        <v>20653.01834936719</v>
      </c>
      <c r="O135" s="275">
        <f t="shared" si="38"/>
        <v>23.750971101772095</v>
      </c>
      <c r="P135" s="258">
        <f t="shared" si="39"/>
        <v>24.217768591370767</v>
      </c>
      <c r="Q135" s="275">
        <f t="shared" si="40"/>
        <v>6.5745191009248777E-2</v>
      </c>
      <c r="S135" s="258">
        <f t="shared" si="41"/>
        <v>24.217768591370763</v>
      </c>
    </row>
    <row r="136" spans="1:19">
      <c r="A136" s="269" t="s">
        <v>248</v>
      </c>
      <c r="B136" s="270" t="s">
        <v>249</v>
      </c>
      <c r="C136" s="271">
        <v>5.4</v>
      </c>
      <c r="D136" s="272">
        <v>5.61</v>
      </c>
      <c r="E136" s="272"/>
      <c r="F136" s="286">
        <v>12823.8</v>
      </c>
      <c r="G136" s="286">
        <v>7799.6</v>
      </c>
      <c r="H136" s="273">
        <f t="shared" si="32"/>
        <v>3765.0808080808074</v>
      </c>
      <c r="I136" s="273">
        <f t="shared" si="25"/>
        <v>313.75673400673395</v>
      </c>
      <c r="J136" s="252">
        <v>1</v>
      </c>
      <c r="K136" s="274">
        <f t="shared" si="35"/>
        <v>3765.0808080808074</v>
      </c>
      <c r="L136" s="252">
        <v>47</v>
      </c>
      <c r="M136" s="222">
        <f t="shared" si="36"/>
        <v>176958.79797979794</v>
      </c>
      <c r="N136" s="222">
        <f t="shared" si="37"/>
        <v>145907.1734296816</v>
      </c>
      <c r="O136" s="275">
        <f t="shared" si="38"/>
        <v>167.79324944413261</v>
      </c>
      <c r="P136" s="258">
        <f t="shared" si="39"/>
        <v>171.09102902866005</v>
      </c>
      <c r="Q136" s="275">
        <f t="shared" si="40"/>
        <v>4.5441529079921952E-2</v>
      </c>
      <c r="S136" s="258">
        <f t="shared" si="41"/>
        <v>171.09102902866005</v>
      </c>
    </row>
    <row r="137" spans="1:19">
      <c r="A137" s="269" t="s">
        <v>250</v>
      </c>
      <c r="B137" s="270" t="s">
        <v>251</v>
      </c>
      <c r="C137" s="271">
        <v>6.75</v>
      </c>
      <c r="D137" s="272">
        <v>7.03</v>
      </c>
      <c r="E137" s="272"/>
      <c r="F137" s="286">
        <v>35090.67</v>
      </c>
      <c r="G137" s="286">
        <v>19687.79</v>
      </c>
      <c r="H137" s="273">
        <f t="shared" si="32"/>
        <v>7999.1568958432108</v>
      </c>
      <c r="I137" s="273">
        <f t="shared" si="25"/>
        <v>666.5964079869342</v>
      </c>
      <c r="J137" s="252">
        <v>1</v>
      </c>
      <c r="K137" s="274">
        <f t="shared" si="35"/>
        <v>7999.1568958432108</v>
      </c>
      <c r="L137" s="252">
        <v>68</v>
      </c>
      <c r="M137" s="222">
        <f t="shared" si="36"/>
        <v>543942.66891733836</v>
      </c>
      <c r="N137" s="222">
        <f t="shared" si="37"/>
        <v>448495.0069483773</v>
      </c>
      <c r="O137" s="275">
        <f t="shared" si="38"/>
        <v>515.76925799063008</v>
      </c>
      <c r="P137" s="258">
        <f t="shared" si="39"/>
        <v>525.9060980301615</v>
      </c>
      <c r="Q137" s="275">
        <f t="shared" si="40"/>
        <v>6.5745191009248791E-2</v>
      </c>
      <c r="S137" s="258">
        <f t="shared" si="41"/>
        <v>525.9060980301615</v>
      </c>
    </row>
    <row r="138" spans="1:19">
      <c r="A138" s="269" t="s">
        <v>252</v>
      </c>
      <c r="B138" s="270" t="s">
        <v>253</v>
      </c>
      <c r="C138" s="271">
        <v>2.5499999999999998</v>
      </c>
      <c r="D138" s="272">
        <v>2.68</v>
      </c>
      <c r="E138" s="272"/>
      <c r="F138" s="286">
        <v>144021.18</v>
      </c>
      <c r="G138" s="286">
        <v>76668.179999999993</v>
      </c>
      <c r="H138" s="273">
        <f t="shared" si="32"/>
        <v>85086.423968393327</v>
      </c>
      <c r="I138" s="273">
        <f t="shared" si="25"/>
        <v>7090.5353306994439</v>
      </c>
      <c r="J138" s="252">
        <v>1</v>
      </c>
      <c r="K138" s="274">
        <f t="shared" si="35"/>
        <v>85086.423968393327</v>
      </c>
      <c r="L138" s="252">
        <v>29</v>
      </c>
      <c r="M138" s="222">
        <f t="shared" si="36"/>
        <v>2467506.2950834064</v>
      </c>
      <c r="N138" s="222">
        <f t="shared" si="37"/>
        <v>2034523.7029507132</v>
      </c>
      <c r="O138" s="275">
        <f t="shared" si="38"/>
        <v>2339.7022583933031</v>
      </c>
      <c r="P138" s="258">
        <f t="shared" si="39"/>
        <v>2385.6863630409166</v>
      </c>
      <c r="Q138" s="275">
        <f t="shared" si="40"/>
        <v>2.8038390283356095E-2</v>
      </c>
      <c r="S138" s="258">
        <f t="shared" si="41"/>
        <v>2385.6863630409166</v>
      </c>
    </row>
    <row r="139" spans="1:19">
      <c r="A139" s="269" t="s">
        <v>254</v>
      </c>
      <c r="B139" s="270" t="s">
        <v>255</v>
      </c>
      <c r="C139" s="271">
        <f>C125</f>
        <v>44.165999999999997</v>
      </c>
      <c r="D139" s="272">
        <f>D125</f>
        <v>46.4176</v>
      </c>
      <c r="E139" s="272"/>
      <c r="F139" s="286">
        <v>1413.12</v>
      </c>
      <c r="G139" s="286">
        <v>742.4</v>
      </c>
      <c r="H139" s="273">
        <f>IF(D139="","",(G139/D139)+(F139/C139))</f>
        <v>47.989586100201343</v>
      </c>
      <c r="I139" s="273">
        <f t="shared" si="25"/>
        <v>3.9991321750167788</v>
      </c>
      <c r="J139" s="249">
        <v>4.33</v>
      </c>
      <c r="K139" s="274">
        <f t="shared" si="35"/>
        <v>207.79490781387182</v>
      </c>
      <c r="L139" s="252">
        <v>29</v>
      </c>
      <c r="M139" s="222">
        <f t="shared" si="36"/>
        <v>6026.0523266022828</v>
      </c>
      <c r="N139" s="222">
        <f t="shared" si="37"/>
        <v>4968.6383042355001</v>
      </c>
      <c r="O139" s="275">
        <f t="shared" si="38"/>
        <v>5.7139340498707831</v>
      </c>
      <c r="P139" s="258">
        <f t="shared" si="39"/>
        <v>5.82623472417934</v>
      </c>
      <c r="Q139" s="275">
        <f t="shared" si="40"/>
        <v>2.8038390283356099E-2</v>
      </c>
      <c r="S139" s="258">
        <f t="shared" si="41"/>
        <v>5.82623472417934</v>
      </c>
    </row>
    <row r="140" spans="1:19">
      <c r="A140" s="269" t="s">
        <v>256</v>
      </c>
      <c r="B140" s="270" t="s">
        <v>257</v>
      </c>
      <c r="C140" s="271">
        <f>C126</f>
        <v>55.207499999999996</v>
      </c>
      <c r="D140" s="272">
        <f>D126</f>
        <v>58.021999999999998</v>
      </c>
      <c r="E140" s="272"/>
      <c r="F140" s="286">
        <v>883.2</v>
      </c>
      <c r="G140" s="286">
        <v>464</v>
      </c>
      <c r="H140" s="273">
        <f t="shared" si="32"/>
        <v>23.994793050100675</v>
      </c>
      <c r="I140" s="273">
        <f t="shared" si="25"/>
        <v>1.9995660875083896</v>
      </c>
      <c r="J140" s="249">
        <v>4.33</v>
      </c>
      <c r="K140" s="274">
        <f t="shared" si="35"/>
        <v>103.89745390693592</v>
      </c>
      <c r="L140" s="252">
        <v>29</v>
      </c>
      <c r="M140" s="222">
        <f t="shared" si="36"/>
        <v>3013.0261633011419</v>
      </c>
      <c r="N140" s="222">
        <f t="shared" si="37"/>
        <v>2484.31915211775</v>
      </c>
      <c r="O140" s="275">
        <f t="shared" si="38"/>
        <v>2.8569670249353916</v>
      </c>
      <c r="P140" s="258">
        <f t="shared" si="39"/>
        <v>2.91311736208967</v>
      </c>
      <c r="Q140" s="275">
        <f t="shared" si="40"/>
        <v>2.8038390283356095E-2</v>
      </c>
      <c r="S140" s="258">
        <f t="shared" si="41"/>
        <v>2.91311736208967</v>
      </c>
    </row>
    <row r="141" spans="1:19">
      <c r="A141" s="269" t="s">
        <v>258</v>
      </c>
      <c r="B141" s="270" t="s">
        <v>259</v>
      </c>
      <c r="C141" s="288">
        <v>11.04</v>
      </c>
      <c r="D141" s="272">
        <v>11.19</v>
      </c>
      <c r="E141" s="272"/>
      <c r="F141" s="286">
        <v>706.56</v>
      </c>
      <c r="G141" s="286">
        <v>358.08</v>
      </c>
      <c r="H141" s="273">
        <f t="shared" si="32"/>
        <v>96</v>
      </c>
      <c r="I141" s="273">
        <f t="shared" si="25"/>
        <v>8</v>
      </c>
      <c r="J141" s="252">
        <v>1</v>
      </c>
      <c r="K141" s="274">
        <f t="shared" si="35"/>
        <v>96</v>
      </c>
      <c r="L141" s="252">
        <v>29</v>
      </c>
      <c r="M141" s="222">
        <f t="shared" si="36"/>
        <v>2784</v>
      </c>
      <c r="N141" s="222">
        <f t="shared" si="37"/>
        <v>2295.4810694103326</v>
      </c>
      <c r="O141" s="275">
        <f t="shared" si="38"/>
        <v>2.639803229821863</v>
      </c>
      <c r="P141" s="258">
        <f t="shared" si="39"/>
        <v>2.691685467202185</v>
      </c>
      <c r="Q141" s="275">
        <f t="shared" si="40"/>
        <v>2.8038390283356095E-2</v>
      </c>
      <c r="S141" s="258">
        <f t="shared" si="41"/>
        <v>2.691685467202185</v>
      </c>
    </row>
    <row r="142" spans="1:19">
      <c r="A142" s="269" t="s">
        <v>260</v>
      </c>
      <c r="B142" s="270" t="s">
        <v>261</v>
      </c>
      <c r="C142" s="271">
        <v>3.46</v>
      </c>
      <c r="D142" s="272">
        <v>3.61</v>
      </c>
      <c r="E142" s="272"/>
      <c r="F142" s="286">
        <v>24.22</v>
      </c>
      <c r="G142" s="286">
        <v>0</v>
      </c>
      <c r="H142" s="273">
        <f t="shared" si="32"/>
        <v>7</v>
      </c>
      <c r="I142" s="273">
        <f t="shared" si="25"/>
        <v>0.58333333333333337</v>
      </c>
      <c r="J142" s="252">
        <v>1</v>
      </c>
      <c r="K142" s="274">
        <f t="shared" si="35"/>
        <v>7</v>
      </c>
      <c r="L142" s="252">
        <v>125</v>
      </c>
      <c r="M142" s="222">
        <f t="shared" si="36"/>
        <v>875</v>
      </c>
      <c r="N142" s="222">
        <f t="shared" si="37"/>
        <v>721.46046542171018</v>
      </c>
      <c r="O142" s="275">
        <f t="shared" si="38"/>
        <v>0.82967953523496063</v>
      </c>
      <c r="P142" s="258">
        <f t="shared" si="39"/>
        <v>0.84598591372195131</v>
      </c>
      <c r="Q142" s="275">
        <f t="shared" si="40"/>
        <v>0.12085513053170734</v>
      </c>
      <c r="S142" s="258">
        <f t="shared" si="41"/>
        <v>0.84598591372195131</v>
      </c>
    </row>
    <row r="143" spans="1:19">
      <c r="A143" s="269" t="s">
        <v>262</v>
      </c>
      <c r="B143" s="270" t="s">
        <v>263</v>
      </c>
      <c r="C143" s="271">
        <v>3.5</v>
      </c>
      <c r="D143" s="272">
        <v>3.5</v>
      </c>
      <c r="E143" s="272"/>
      <c r="F143" s="286">
        <v>77</v>
      </c>
      <c r="G143" s="286">
        <v>21</v>
      </c>
      <c r="H143" s="273">
        <f t="shared" si="32"/>
        <v>28</v>
      </c>
      <c r="I143" s="273">
        <f t="shared" si="25"/>
        <v>2.3333333333333335</v>
      </c>
      <c r="K143" s="274"/>
    </row>
    <row r="144" spans="1:19">
      <c r="A144" s="269" t="s">
        <v>264</v>
      </c>
      <c r="B144" s="270" t="s">
        <v>265</v>
      </c>
      <c r="C144" s="271">
        <v>3.46</v>
      </c>
      <c r="D144" s="272">
        <v>3.61</v>
      </c>
      <c r="E144" s="272"/>
      <c r="F144" s="286">
        <f>14389.43+138</f>
        <v>14527.43</v>
      </c>
      <c r="G144" s="286">
        <f>6016.69+86</f>
        <v>6102.69</v>
      </c>
      <c r="H144" s="273">
        <f t="shared" ref="H144:H195" si="42">IF(D144="","",(G144/D144)+(F144/C144))</f>
        <v>5889.1750356267912</v>
      </c>
      <c r="I144" s="273">
        <f t="shared" ref="I144:I195" si="43">IF(D144="","",H144/12)</f>
        <v>490.7645863022326</v>
      </c>
      <c r="J144" s="252">
        <v>1</v>
      </c>
      <c r="K144" s="274">
        <f t="shared" si="35"/>
        <v>5889.1750356267912</v>
      </c>
      <c r="L144" s="252">
        <v>29</v>
      </c>
      <c r="M144" s="222">
        <f t="shared" ref="M144" si="44">K144*L144</f>
        <v>170786.07603317694</v>
      </c>
      <c r="N144" s="222">
        <f t="shared" ref="N144" si="45">M144*$M$200</f>
        <v>140817.60217422104</v>
      </c>
      <c r="O144" s="275">
        <f t="shared" ref="O144" si="46">N144*$O$6</f>
        <v>161.94024250035301</v>
      </c>
      <c r="P144" s="258">
        <f t="shared" ref="P144" si="47">O144/$P$6</f>
        <v>165.12298809590152</v>
      </c>
      <c r="Q144" s="275">
        <f t="shared" ref="Q144" si="48">P144/K144</f>
        <v>2.8038390283356095E-2</v>
      </c>
      <c r="S144" s="258">
        <f t="shared" ref="S144" si="49">H144*J144*Q144</f>
        <v>165.12298809590152</v>
      </c>
    </row>
    <row r="145" spans="1:19">
      <c r="A145" s="269" t="s">
        <v>266</v>
      </c>
      <c r="B145" s="270" t="s">
        <v>267</v>
      </c>
      <c r="C145" s="271">
        <v>3.5</v>
      </c>
      <c r="D145" s="272">
        <v>3.5</v>
      </c>
      <c r="E145" s="272"/>
      <c r="F145" s="286">
        <v>290.20999999999998</v>
      </c>
      <c r="G145" s="286">
        <v>31.45</v>
      </c>
      <c r="H145" s="273">
        <f t="shared" si="42"/>
        <v>91.90285714285713</v>
      </c>
      <c r="I145" s="273">
        <f t="shared" si="43"/>
        <v>7.6585714285714275</v>
      </c>
    </row>
    <row r="146" spans="1:19">
      <c r="A146" s="269" t="s">
        <v>268</v>
      </c>
      <c r="B146" s="270" t="s">
        <v>269</v>
      </c>
      <c r="C146" s="271">
        <v>27.26</v>
      </c>
      <c r="D146" s="272">
        <v>28.03</v>
      </c>
      <c r="E146" s="272"/>
      <c r="F146" s="286">
        <v>6349.9</v>
      </c>
      <c r="G146" s="286">
        <v>3527.69</v>
      </c>
      <c r="H146" s="273">
        <f t="shared" si="42"/>
        <v>358.79245614893796</v>
      </c>
      <c r="I146" s="273">
        <f t="shared" si="43"/>
        <v>29.899371345744829</v>
      </c>
      <c r="J146" s="252">
        <v>1</v>
      </c>
      <c r="K146" s="274">
        <f t="shared" ref="K146:K149" si="50">H146*J146</f>
        <v>358.79245614893796</v>
      </c>
      <c r="L146" s="252">
        <v>125</v>
      </c>
      <c r="M146" s="222">
        <f t="shared" ref="M146:M149" si="51">K146*L146</f>
        <v>44849.057018617248</v>
      </c>
      <c r="N146" s="222">
        <f t="shared" ref="N146:N149" si="52">M146*$M$200</f>
        <v>36979.224629001619</v>
      </c>
      <c r="O146" s="275">
        <f t="shared" ref="O146:O149" si="53">N146*$O$6</f>
        <v>42.526108323351551</v>
      </c>
      <c r="P146" s="258">
        <f t="shared" ref="P146:P149" si="54">O146/$P$6</f>
        <v>43.361909121671779</v>
      </c>
      <c r="Q146" s="275">
        <f t="shared" ref="Q146:Q149" si="55">P146/K146</f>
        <v>0.12085513053170734</v>
      </c>
      <c r="S146" s="258">
        <f t="shared" ref="S146:S149" si="56">H146*J146*Q146</f>
        <v>43.361909121671779</v>
      </c>
    </row>
    <row r="147" spans="1:19">
      <c r="A147" s="269" t="s">
        <v>270</v>
      </c>
      <c r="B147" s="270" t="s">
        <v>271</v>
      </c>
      <c r="C147" s="271">
        <v>5.81</v>
      </c>
      <c r="D147" s="272">
        <v>5.96</v>
      </c>
      <c r="E147" s="272"/>
      <c r="F147" s="286">
        <v>136.88</v>
      </c>
      <c r="G147" s="286">
        <v>0</v>
      </c>
      <c r="H147" s="273">
        <f t="shared" si="42"/>
        <v>23.559380378657487</v>
      </c>
      <c r="I147" s="273">
        <f t="shared" si="43"/>
        <v>1.9632816982214571</v>
      </c>
      <c r="J147" s="252">
        <v>1</v>
      </c>
      <c r="K147" s="274">
        <f t="shared" si="50"/>
        <v>23.559380378657487</v>
      </c>
      <c r="L147" s="252">
        <v>29</v>
      </c>
      <c r="M147" s="222">
        <f t="shared" si="51"/>
        <v>683.22203098106706</v>
      </c>
      <c r="N147" s="222">
        <f t="shared" si="52"/>
        <v>563.3344965233905</v>
      </c>
      <c r="O147" s="275">
        <f t="shared" si="53"/>
        <v>0.64783467100189429</v>
      </c>
      <c r="P147" s="258">
        <f t="shared" si="54"/>
        <v>0.66056710189084022</v>
      </c>
      <c r="Q147" s="275">
        <f t="shared" si="55"/>
        <v>2.8038390283356092E-2</v>
      </c>
      <c r="S147" s="258">
        <f t="shared" si="56"/>
        <v>0.66056710189084022</v>
      </c>
    </row>
    <row r="148" spans="1:19">
      <c r="A148" s="269" t="s">
        <v>272</v>
      </c>
      <c r="B148" s="270" t="s">
        <v>80</v>
      </c>
      <c r="C148" s="271">
        <v>6.56</v>
      </c>
      <c r="D148" s="272">
        <v>6.71</v>
      </c>
      <c r="E148" s="272"/>
      <c r="F148" s="286">
        <v>13.12</v>
      </c>
      <c r="G148" s="286">
        <v>20.13</v>
      </c>
      <c r="H148" s="273">
        <f t="shared" si="42"/>
        <v>5</v>
      </c>
      <c r="I148" s="273">
        <f t="shared" si="43"/>
        <v>0.41666666666666669</v>
      </c>
      <c r="J148" s="252">
        <v>1</v>
      </c>
      <c r="K148" s="274">
        <f t="shared" si="50"/>
        <v>5</v>
      </c>
      <c r="L148" s="252">
        <v>29</v>
      </c>
      <c r="M148" s="222">
        <f t="shared" si="51"/>
        <v>145</v>
      </c>
      <c r="N148" s="222">
        <f t="shared" si="52"/>
        <v>119.55630569845482</v>
      </c>
      <c r="O148" s="275">
        <f t="shared" si="53"/>
        <v>0.13748975155322202</v>
      </c>
      <c r="P148" s="258">
        <f t="shared" si="54"/>
        <v>0.14019195141678048</v>
      </c>
      <c r="Q148" s="275">
        <f t="shared" si="55"/>
        <v>2.8038390283356095E-2</v>
      </c>
      <c r="S148" s="258">
        <f t="shared" si="56"/>
        <v>0.14019195141678048</v>
      </c>
    </row>
    <row r="149" spans="1:19">
      <c r="A149" s="269" t="s">
        <v>273</v>
      </c>
      <c r="B149" s="270" t="s">
        <v>274</v>
      </c>
      <c r="C149" s="271">
        <v>6.56</v>
      </c>
      <c r="D149" s="272">
        <v>6.71</v>
      </c>
      <c r="E149" s="272"/>
      <c r="F149" s="286">
        <v>13.12</v>
      </c>
      <c r="G149" s="286">
        <v>20.13</v>
      </c>
      <c r="H149" s="273">
        <f t="shared" si="42"/>
        <v>5</v>
      </c>
      <c r="I149" s="273">
        <f t="shared" si="43"/>
        <v>0.41666666666666669</v>
      </c>
      <c r="J149" s="252">
        <v>1</v>
      </c>
      <c r="K149" s="274">
        <f t="shared" si="50"/>
        <v>5</v>
      </c>
      <c r="L149" s="252">
        <v>29</v>
      </c>
      <c r="M149" s="222">
        <f t="shared" si="51"/>
        <v>145</v>
      </c>
      <c r="N149" s="222">
        <f t="shared" si="52"/>
        <v>119.55630569845482</v>
      </c>
      <c r="O149" s="275">
        <f t="shared" si="53"/>
        <v>0.13748975155322202</v>
      </c>
      <c r="P149" s="258">
        <f t="shared" si="54"/>
        <v>0.14019195141678048</v>
      </c>
      <c r="Q149" s="275">
        <f t="shared" si="55"/>
        <v>2.8038390283356095E-2</v>
      </c>
      <c r="S149" s="258">
        <f t="shared" si="56"/>
        <v>0.14019195141678048</v>
      </c>
    </row>
    <row r="150" spans="1:19">
      <c r="A150" s="269" t="s">
        <v>275</v>
      </c>
      <c r="B150" s="270" t="s">
        <v>276</v>
      </c>
      <c r="C150" s="271">
        <f>D150</f>
        <v>4.5</v>
      </c>
      <c r="D150" s="272">
        <v>4.5</v>
      </c>
      <c r="E150" s="272"/>
      <c r="F150" s="286">
        <v>7166.02</v>
      </c>
      <c r="G150" s="286">
        <v>3886.01</v>
      </c>
      <c r="H150" s="273">
        <f t="shared" si="42"/>
        <v>2456.0066666666671</v>
      </c>
      <c r="I150" s="273">
        <f t="shared" si="43"/>
        <v>204.66722222222225</v>
      </c>
    </row>
    <row r="151" spans="1:19">
      <c r="A151" s="269" t="s">
        <v>277</v>
      </c>
      <c r="B151" s="270" t="s">
        <v>278</v>
      </c>
      <c r="C151" s="271">
        <f>D151</f>
        <v>4.5</v>
      </c>
      <c r="D151" s="272">
        <v>4.5</v>
      </c>
      <c r="E151" s="272"/>
      <c r="F151" s="286">
        <v>46.08</v>
      </c>
      <c r="G151" s="286">
        <v>44.28</v>
      </c>
      <c r="H151" s="273">
        <f t="shared" si="42"/>
        <v>20.079999999999998</v>
      </c>
      <c r="I151" s="273">
        <f t="shared" si="43"/>
        <v>1.6733333333333331</v>
      </c>
    </row>
    <row r="152" spans="1:19">
      <c r="A152" s="269" t="s">
        <v>279</v>
      </c>
      <c r="B152" s="270" t="s">
        <v>280</v>
      </c>
      <c r="C152" s="271">
        <v>30</v>
      </c>
      <c r="D152" s="272">
        <v>30</v>
      </c>
      <c r="E152" s="272"/>
      <c r="F152" s="286">
        <v>30</v>
      </c>
      <c r="G152" s="286">
        <v>30</v>
      </c>
      <c r="H152" s="273">
        <f t="shared" si="42"/>
        <v>2</v>
      </c>
      <c r="I152" s="273">
        <f t="shared" si="43"/>
        <v>0.16666666666666666</v>
      </c>
    </row>
    <row r="153" spans="1:19">
      <c r="A153" s="269" t="s">
        <v>281</v>
      </c>
      <c r="B153" s="270" t="s">
        <v>282</v>
      </c>
      <c r="C153" s="271">
        <v>3.5</v>
      </c>
      <c r="D153" s="272">
        <v>3.5</v>
      </c>
      <c r="E153" s="272"/>
      <c r="F153" s="286">
        <v>360.5</v>
      </c>
      <c r="G153" s="286">
        <v>0</v>
      </c>
      <c r="H153" s="273">
        <f t="shared" si="42"/>
        <v>103</v>
      </c>
      <c r="I153" s="273">
        <f t="shared" si="43"/>
        <v>8.5833333333333339</v>
      </c>
    </row>
    <row r="154" spans="1:19" s="249" customFormat="1">
      <c r="A154" s="269" t="s">
        <v>283</v>
      </c>
      <c r="B154" s="269" t="s">
        <v>284</v>
      </c>
      <c r="C154" s="277">
        <v>112.94</v>
      </c>
      <c r="D154" s="272">
        <v>123.29</v>
      </c>
      <c r="E154" s="272"/>
      <c r="F154" s="286">
        <v>34916.080000000002</v>
      </c>
      <c r="G154" s="286">
        <v>9446.48</v>
      </c>
      <c r="H154" s="273">
        <f t="shared" si="42"/>
        <v>385.77601366398369</v>
      </c>
      <c r="I154" s="273">
        <f t="shared" si="43"/>
        <v>32.148001138665308</v>
      </c>
      <c r="J154" s="249">
        <v>1</v>
      </c>
      <c r="K154" s="274">
        <f t="shared" ref="K154" si="57">H154*J154</f>
        <v>385.77601366398369</v>
      </c>
      <c r="L154" s="249">
        <v>125</v>
      </c>
      <c r="M154" s="222">
        <f t="shared" ref="M154" si="58">K154*L154</f>
        <v>48222.001707997959</v>
      </c>
      <c r="N154" s="222">
        <f t="shared" ref="N154" si="59">M154*$M$200</f>
        <v>39760.306052364242</v>
      </c>
      <c r="O154" s="275">
        <f t="shared" ref="O154" si="60">N154*$O$6</f>
        <v>45.724351960218542</v>
      </c>
      <c r="P154" s="258">
        <f t="shared" ref="P154" si="61">O154/$P$6</f>
        <v>46.623010487362457</v>
      </c>
      <c r="Q154" s="275">
        <f t="shared" ref="Q154" si="62">P154/K154</f>
        <v>0.12085513053170732</v>
      </c>
      <c r="S154" s="258">
        <f t="shared" ref="S154" si="63">H154*J154*Q154</f>
        <v>46.623010487362457</v>
      </c>
    </row>
    <row r="155" spans="1:19">
      <c r="A155" s="269" t="s">
        <v>285</v>
      </c>
      <c r="B155" s="270" t="s">
        <v>286</v>
      </c>
      <c r="C155" s="271">
        <f>D155</f>
        <v>6.65</v>
      </c>
      <c r="D155" s="272">
        <v>6.65</v>
      </c>
      <c r="E155" s="272"/>
      <c r="F155" s="286">
        <v>816.16</v>
      </c>
      <c r="G155" s="286">
        <v>1503.68</v>
      </c>
      <c r="H155" s="273">
        <f t="shared" si="42"/>
        <v>348.84812030075187</v>
      </c>
      <c r="I155" s="273">
        <f t="shared" si="43"/>
        <v>29.070676691729322</v>
      </c>
    </row>
    <row r="156" spans="1:19">
      <c r="A156" s="269" t="s">
        <v>287</v>
      </c>
      <c r="B156" s="270" t="s">
        <v>288</v>
      </c>
      <c r="C156" s="271">
        <f>C155</f>
        <v>6.65</v>
      </c>
      <c r="D156" s="272">
        <f>D155</f>
        <v>6.65</v>
      </c>
      <c r="E156" s="272"/>
      <c r="F156" s="286">
        <v>2196.19</v>
      </c>
      <c r="G156" s="286">
        <v>13.26</v>
      </c>
      <c r="H156" s="273">
        <f t="shared" si="42"/>
        <v>332.24812030075185</v>
      </c>
      <c r="I156" s="273">
        <f t="shared" si="43"/>
        <v>27.687343358395989</v>
      </c>
    </row>
    <row r="157" spans="1:19" s="249" customFormat="1">
      <c r="A157" s="269" t="s">
        <v>289</v>
      </c>
      <c r="B157" s="269" t="s">
        <v>290</v>
      </c>
      <c r="C157" s="277">
        <f t="shared" ref="C157:C163" si="64">D157</f>
        <v>10</v>
      </c>
      <c r="D157" s="272">
        <v>10</v>
      </c>
      <c r="E157" s="272"/>
      <c r="F157" s="286">
        <v>270</v>
      </c>
      <c r="G157" s="286">
        <v>90</v>
      </c>
      <c r="H157" s="273">
        <f t="shared" si="42"/>
        <v>36</v>
      </c>
      <c r="I157" s="273">
        <f t="shared" si="43"/>
        <v>3</v>
      </c>
      <c r="M157" s="272"/>
      <c r="Q157" s="275"/>
    </row>
    <row r="158" spans="1:19">
      <c r="A158" s="269" t="s">
        <v>291</v>
      </c>
      <c r="B158" s="270" t="s">
        <v>292</v>
      </c>
      <c r="C158" s="271">
        <f t="shared" si="64"/>
        <v>3.6</v>
      </c>
      <c r="D158" s="272">
        <v>3.6</v>
      </c>
      <c r="E158" s="272"/>
      <c r="F158" s="286">
        <v>7.2</v>
      </c>
      <c r="G158" s="286">
        <v>62.36</v>
      </c>
      <c r="H158" s="273">
        <f t="shared" si="42"/>
        <v>19.322222222222223</v>
      </c>
      <c r="I158" s="273">
        <f t="shared" si="43"/>
        <v>1.6101851851851852</v>
      </c>
    </row>
    <row r="159" spans="1:19">
      <c r="A159" s="269" t="s">
        <v>293</v>
      </c>
      <c r="B159" s="270" t="s">
        <v>294</v>
      </c>
      <c r="C159" s="271">
        <f t="shared" si="64"/>
        <v>1.95</v>
      </c>
      <c r="D159" s="272">
        <v>1.95</v>
      </c>
      <c r="E159" s="272"/>
      <c r="F159" s="286">
        <v>62.4</v>
      </c>
      <c r="G159" s="286">
        <v>31.2</v>
      </c>
      <c r="H159" s="273">
        <f t="shared" si="42"/>
        <v>48</v>
      </c>
      <c r="I159" s="273">
        <f t="shared" si="43"/>
        <v>4</v>
      </c>
    </row>
    <row r="160" spans="1:19">
      <c r="A160" s="269" t="s">
        <v>295</v>
      </c>
      <c r="B160" s="270" t="s">
        <v>296</v>
      </c>
      <c r="C160" s="271">
        <f t="shared" si="64"/>
        <v>3.2057000000000002</v>
      </c>
      <c r="D160" s="272">
        <f>D159+(0.29*4.33)</f>
        <v>3.2057000000000002</v>
      </c>
      <c r="E160" s="272"/>
      <c r="F160" s="286">
        <v>25.68</v>
      </c>
      <c r="G160" s="286">
        <v>11.24</v>
      </c>
      <c r="H160" s="273">
        <f t="shared" si="42"/>
        <v>11.516985369810026</v>
      </c>
      <c r="I160" s="273">
        <f t="shared" si="43"/>
        <v>0.95974878081750215</v>
      </c>
    </row>
    <row r="161" spans="1:13">
      <c r="A161" s="269" t="s">
        <v>297</v>
      </c>
      <c r="B161" s="270" t="s">
        <v>298</v>
      </c>
      <c r="C161" s="271">
        <f t="shared" si="64"/>
        <v>4.4614000000000003</v>
      </c>
      <c r="D161" s="278">
        <f>D160+(0.29*4.33)</f>
        <v>4.4614000000000003</v>
      </c>
      <c r="E161" s="278"/>
      <c r="F161" s="286">
        <v>0</v>
      </c>
      <c r="G161" s="286">
        <v>22.92</v>
      </c>
      <c r="H161" s="273">
        <f t="shared" si="42"/>
        <v>5.1374008158873901</v>
      </c>
      <c r="I161" s="273">
        <f t="shared" si="43"/>
        <v>0.4281167346572825</v>
      </c>
      <c r="M161" s="249"/>
    </row>
    <row r="162" spans="1:13">
      <c r="A162" s="269" t="s">
        <v>299</v>
      </c>
      <c r="B162" s="270" t="s">
        <v>300</v>
      </c>
      <c r="C162" s="271">
        <f t="shared" si="64"/>
        <v>5.7171000000000003</v>
      </c>
      <c r="D162" s="272">
        <f>D161+(0.29*4.33)</f>
        <v>5.7171000000000003</v>
      </c>
      <c r="E162" s="272"/>
      <c r="F162" s="286">
        <v>55.92</v>
      </c>
      <c r="G162" s="286">
        <v>27.96</v>
      </c>
      <c r="H162" s="273">
        <f t="shared" si="42"/>
        <v>14.671774151230519</v>
      </c>
      <c r="I162" s="273">
        <f t="shared" si="43"/>
        <v>1.2226478459358765</v>
      </c>
      <c r="M162" s="249"/>
    </row>
    <row r="163" spans="1:13">
      <c r="A163" s="269" t="s">
        <v>301</v>
      </c>
      <c r="B163" s="270" t="s">
        <v>302</v>
      </c>
      <c r="C163" s="271">
        <f t="shared" si="64"/>
        <v>5.25</v>
      </c>
      <c r="D163" s="272">
        <f>3.5*1.5</f>
        <v>5.25</v>
      </c>
      <c r="E163" s="272"/>
      <c r="F163" s="286">
        <v>3492.3</v>
      </c>
      <c r="G163" s="286">
        <v>1544.55</v>
      </c>
      <c r="H163" s="273">
        <f t="shared" si="42"/>
        <v>959.40000000000009</v>
      </c>
      <c r="I163" s="273">
        <f t="shared" si="43"/>
        <v>79.95</v>
      </c>
    </row>
    <row r="164" spans="1:13">
      <c r="A164" s="269" t="s">
        <v>303</v>
      </c>
      <c r="B164" s="270" t="s">
        <v>304</v>
      </c>
      <c r="C164" s="271">
        <v>3.5</v>
      </c>
      <c r="D164" s="272">
        <v>3.5</v>
      </c>
      <c r="E164" s="272"/>
      <c r="F164" s="286">
        <v>21</v>
      </c>
      <c r="G164" s="286">
        <v>10.5</v>
      </c>
      <c r="H164" s="273">
        <f t="shared" si="42"/>
        <v>9</v>
      </c>
      <c r="I164" s="273">
        <f t="shared" si="43"/>
        <v>0.75</v>
      </c>
    </row>
    <row r="165" spans="1:13">
      <c r="A165" s="269" t="s">
        <v>305</v>
      </c>
      <c r="B165" s="270" t="s">
        <v>306</v>
      </c>
      <c r="C165" s="271">
        <f>D165</f>
        <v>7</v>
      </c>
      <c r="D165" s="272">
        <f>3.5*2</f>
        <v>7</v>
      </c>
      <c r="E165" s="272"/>
      <c r="F165" s="286">
        <v>922.25</v>
      </c>
      <c r="G165" s="286">
        <v>499.89</v>
      </c>
      <c r="H165" s="273">
        <f t="shared" si="42"/>
        <v>203.16285714285715</v>
      </c>
      <c r="I165" s="273">
        <f t="shared" si="43"/>
        <v>16.930238095238096</v>
      </c>
      <c r="M165" s="255"/>
    </row>
    <row r="166" spans="1:13">
      <c r="A166" s="269" t="s">
        <v>307</v>
      </c>
      <c r="B166" s="270" t="s">
        <v>308</v>
      </c>
      <c r="C166" s="271">
        <f>C164*3</f>
        <v>10.5</v>
      </c>
      <c r="D166" s="272">
        <f>D164*3</f>
        <v>10.5</v>
      </c>
      <c r="E166" s="272"/>
      <c r="F166" s="286">
        <v>31.5</v>
      </c>
      <c r="G166" s="286">
        <v>0</v>
      </c>
      <c r="H166" s="273">
        <f t="shared" si="42"/>
        <v>3</v>
      </c>
      <c r="I166" s="273">
        <f t="shared" si="43"/>
        <v>0.25</v>
      </c>
    </row>
    <row r="167" spans="1:13">
      <c r="A167" s="269" t="s">
        <v>309</v>
      </c>
      <c r="B167" s="270" t="s">
        <v>310</v>
      </c>
      <c r="C167" s="271">
        <f>C164*4</f>
        <v>14</v>
      </c>
      <c r="D167" s="272">
        <f>D164*4</f>
        <v>14</v>
      </c>
      <c r="E167" s="272"/>
      <c r="F167" s="286">
        <v>42</v>
      </c>
      <c r="G167" s="286">
        <v>0</v>
      </c>
      <c r="H167" s="273">
        <f t="shared" si="42"/>
        <v>3</v>
      </c>
      <c r="I167" s="273">
        <f t="shared" si="43"/>
        <v>0.25</v>
      </c>
    </row>
    <row r="168" spans="1:13">
      <c r="A168" s="269" t="s">
        <v>311</v>
      </c>
      <c r="B168" s="270" t="s">
        <v>312</v>
      </c>
      <c r="C168" s="271">
        <f>C164*6</f>
        <v>21</v>
      </c>
      <c r="D168" s="272">
        <f>D164*6</f>
        <v>21</v>
      </c>
      <c r="E168" s="272"/>
      <c r="F168" s="286">
        <v>105</v>
      </c>
      <c r="G168" s="286">
        <f>21+21</f>
        <v>42</v>
      </c>
      <c r="H168" s="273">
        <f t="shared" si="42"/>
        <v>7</v>
      </c>
      <c r="I168" s="273">
        <f t="shared" si="43"/>
        <v>0.58333333333333337</v>
      </c>
    </row>
    <row r="169" spans="1:13">
      <c r="A169" s="269" t="s">
        <v>281</v>
      </c>
      <c r="B169" s="270" t="s">
        <v>313</v>
      </c>
      <c r="C169" s="271">
        <f t="shared" ref="C169:C177" si="65">D169</f>
        <v>3.5</v>
      </c>
      <c r="D169" s="272">
        <v>3.5</v>
      </c>
      <c r="E169" s="272"/>
      <c r="F169" s="286">
        <v>2027.6</v>
      </c>
      <c r="G169" s="286">
        <v>922.6</v>
      </c>
      <c r="H169" s="273">
        <f t="shared" si="42"/>
        <v>842.91428571428571</v>
      </c>
      <c r="I169" s="273">
        <f t="shared" si="43"/>
        <v>70.242857142857147</v>
      </c>
    </row>
    <row r="170" spans="1:13">
      <c r="A170" s="269" t="s">
        <v>314</v>
      </c>
      <c r="B170" s="270" t="s">
        <v>315</v>
      </c>
      <c r="C170" s="271">
        <f t="shared" si="65"/>
        <v>21.5</v>
      </c>
      <c r="D170" s="272">
        <v>21.5</v>
      </c>
      <c r="E170" s="272"/>
      <c r="F170" s="286">
        <v>236.5</v>
      </c>
      <c r="G170" s="286">
        <v>86</v>
      </c>
      <c r="H170" s="273">
        <f t="shared" si="42"/>
        <v>15</v>
      </c>
      <c r="I170" s="273">
        <f t="shared" si="43"/>
        <v>1.25</v>
      </c>
    </row>
    <row r="171" spans="1:13">
      <c r="A171" s="269" t="s">
        <v>316</v>
      </c>
      <c r="B171" s="270" t="s">
        <v>317</v>
      </c>
      <c r="C171" s="271">
        <f t="shared" si="65"/>
        <v>21.5</v>
      </c>
      <c r="D171" s="272">
        <f>D170</f>
        <v>21.5</v>
      </c>
      <c r="E171" s="272"/>
      <c r="F171" s="286">
        <v>279.5</v>
      </c>
      <c r="G171" s="286">
        <v>107.5</v>
      </c>
      <c r="H171" s="273">
        <f t="shared" si="42"/>
        <v>18</v>
      </c>
      <c r="I171" s="273">
        <f t="shared" si="43"/>
        <v>1.5</v>
      </c>
    </row>
    <row r="172" spans="1:13">
      <c r="A172" s="269" t="s">
        <v>318</v>
      </c>
      <c r="B172" s="270" t="s">
        <v>319</v>
      </c>
      <c r="C172" s="271">
        <f t="shared" si="65"/>
        <v>21.5</v>
      </c>
      <c r="D172" s="272">
        <f>D170</f>
        <v>21.5</v>
      </c>
      <c r="E172" s="272"/>
      <c r="F172" s="286">
        <v>3655</v>
      </c>
      <c r="G172" s="286">
        <v>1720</v>
      </c>
      <c r="H172" s="273">
        <f t="shared" si="42"/>
        <v>250</v>
      </c>
      <c r="I172" s="273">
        <f t="shared" si="43"/>
        <v>20.833333333333332</v>
      </c>
    </row>
    <row r="173" spans="1:13">
      <c r="A173" s="269" t="s">
        <v>320</v>
      </c>
      <c r="B173" s="270" t="s">
        <v>321</v>
      </c>
      <c r="C173" s="271">
        <f t="shared" si="65"/>
        <v>21.5</v>
      </c>
      <c r="D173" s="272">
        <f>D170</f>
        <v>21.5</v>
      </c>
      <c r="E173" s="272"/>
      <c r="F173" s="286">
        <v>86</v>
      </c>
      <c r="G173" s="286">
        <v>21.5</v>
      </c>
      <c r="H173" s="273">
        <f t="shared" si="42"/>
        <v>5</v>
      </c>
      <c r="I173" s="273">
        <f t="shared" si="43"/>
        <v>0.41666666666666669</v>
      </c>
    </row>
    <row r="174" spans="1:13">
      <c r="A174" s="269" t="s">
        <v>322</v>
      </c>
      <c r="B174" s="270" t="s">
        <v>323</v>
      </c>
      <c r="C174" s="271">
        <f t="shared" si="65"/>
        <v>21.5</v>
      </c>
      <c r="D174" s="272">
        <f>D170</f>
        <v>21.5</v>
      </c>
      <c r="E174" s="272"/>
      <c r="F174" s="286">
        <v>107.5</v>
      </c>
      <c r="G174" s="286">
        <v>0</v>
      </c>
      <c r="H174" s="273">
        <f t="shared" si="42"/>
        <v>5</v>
      </c>
      <c r="I174" s="273">
        <f t="shared" si="43"/>
        <v>0.41666666666666669</v>
      </c>
    </row>
    <row r="175" spans="1:13">
      <c r="A175" s="269" t="s">
        <v>324</v>
      </c>
      <c r="B175" s="270" t="s">
        <v>325</v>
      </c>
      <c r="C175" s="271">
        <f t="shared" si="65"/>
        <v>40.5</v>
      </c>
      <c r="D175" s="272">
        <v>40.5</v>
      </c>
      <c r="E175" s="272"/>
      <c r="F175" s="286">
        <v>202.5</v>
      </c>
      <c r="G175" s="286">
        <f>81+41</f>
        <v>122</v>
      </c>
      <c r="H175" s="273">
        <f t="shared" si="42"/>
        <v>8.0123456790123448</v>
      </c>
      <c r="I175" s="273">
        <f t="shared" si="43"/>
        <v>0.66769547325102874</v>
      </c>
    </row>
    <row r="176" spans="1:13" s="249" customFormat="1">
      <c r="A176" s="269" t="s">
        <v>326</v>
      </c>
      <c r="B176" s="269" t="s">
        <v>327</v>
      </c>
      <c r="C176" s="277">
        <f t="shared" si="65"/>
        <v>21.5</v>
      </c>
      <c r="D176" s="272">
        <v>21.5</v>
      </c>
      <c r="E176" s="272"/>
      <c r="F176" s="286">
        <v>250.24</v>
      </c>
      <c r="G176" s="286">
        <v>43</v>
      </c>
      <c r="H176" s="273">
        <f t="shared" si="42"/>
        <v>13.63906976744186</v>
      </c>
      <c r="I176" s="273">
        <f t="shared" si="43"/>
        <v>1.1365891472868217</v>
      </c>
    </row>
    <row r="177" spans="1:19">
      <c r="A177" s="269" t="s">
        <v>328</v>
      </c>
      <c r="B177" s="270" t="s">
        <v>329</v>
      </c>
      <c r="C177" s="271">
        <f t="shared" si="65"/>
        <v>12</v>
      </c>
      <c r="D177" s="272">
        <v>12</v>
      </c>
      <c r="E177" s="272"/>
      <c r="F177" s="286">
        <v>3708</v>
      </c>
      <c r="G177" s="286">
        <f>1056+12</f>
        <v>1068</v>
      </c>
      <c r="H177" s="273">
        <f t="shared" si="42"/>
        <v>398</v>
      </c>
      <c r="I177" s="273">
        <f t="shared" si="43"/>
        <v>33.166666666666664</v>
      </c>
    </row>
    <row r="178" spans="1:19">
      <c r="A178" s="269" t="s">
        <v>330</v>
      </c>
      <c r="B178" s="270" t="s">
        <v>331</v>
      </c>
      <c r="C178" s="271">
        <v>6</v>
      </c>
      <c r="D178" s="272">
        <v>6</v>
      </c>
      <c r="E178" s="272"/>
      <c r="F178" s="286">
        <v>0</v>
      </c>
      <c r="G178" s="286">
        <v>12</v>
      </c>
      <c r="H178" s="273">
        <f t="shared" si="42"/>
        <v>2</v>
      </c>
      <c r="I178" s="273">
        <f t="shared" si="43"/>
        <v>0.16666666666666666</v>
      </c>
    </row>
    <row r="179" spans="1:19">
      <c r="A179" s="269" t="s">
        <v>332</v>
      </c>
      <c r="B179" s="270" t="s">
        <v>333</v>
      </c>
      <c r="C179" s="271">
        <f>D179</f>
        <v>7</v>
      </c>
      <c r="D179" s="272">
        <v>7</v>
      </c>
      <c r="E179" s="272"/>
      <c r="F179" s="286">
        <v>7</v>
      </c>
      <c r="G179" s="286">
        <v>42</v>
      </c>
      <c r="H179" s="273">
        <f t="shared" si="42"/>
        <v>7</v>
      </c>
      <c r="I179" s="273">
        <f t="shared" si="43"/>
        <v>0.58333333333333337</v>
      </c>
    </row>
    <row r="180" spans="1:19">
      <c r="A180" s="269" t="s">
        <v>334</v>
      </c>
      <c r="B180" s="270" t="s">
        <v>335</v>
      </c>
      <c r="C180" s="271">
        <v>9</v>
      </c>
      <c r="D180" s="272">
        <v>9</v>
      </c>
      <c r="E180" s="272"/>
      <c r="F180" s="286">
        <v>0</v>
      </c>
      <c r="G180" s="286">
        <v>0</v>
      </c>
      <c r="H180" s="273">
        <f t="shared" si="42"/>
        <v>0</v>
      </c>
      <c r="I180" s="273">
        <f t="shared" si="43"/>
        <v>0</v>
      </c>
    </row>
    <row r="181" spans="1:19">
      <c r="A181" s="269" t="s">
        <v>336</v>
      </c>
      <c r="B181" s="270" t="s">
        <v>337</v>
      </c>
      <c r="C181" s="271">
        <f>D181</f>
        <v>6</v>
      </c>
      <c r="D181" s="272">
        <v>6</v>
      </c>
      <c r="E181" s="272"/>
      <c r="F181" s="286">
        <v>604.20000000000005</v>
      </c>
      <c r="G181" s="286">
        <v>222.6</v>
      </c>
      <c r="H181" s="273">
        <f t="shared" si="42"/>
        <v>137.80000000000001</v>
      </c>
      <c r="I181" s="273">
        <f t="shared" si="43"/>
        <v>11.483333333333334</v>
      </c>
    </row>
    <row r="182" spans="1:19">
      <c r="A182" s="269" t="s">
        <v>338</v>
      </c>
      <c r="B182" s="270" t="s">
        <v>339</v>
      </c>
      <c r="C182" s="271">
        <v>62.17</v>
      </c>
      <c r="D182" s="272">
        <v>63.27</v>
      </c>
      <c r="E182" s="272"/>
      <c r="F182" s="286">
        <v>808.21</v>
      </c>
      <c r="G182" s="286">
        <v>379.62</v>
      </c>
      <c r="H182" s="273">
        <f t="shared" si="42"/>
        <v>19</v>
      </c>
      <c r="I182" s="273">
        <f t="shared" si="43"/>
        <v>1.5833333333333333</v>
      </c>
      <c r="J182" s="252">
        <v>1</v>
      </c>
      <c r="K182" s="274">
        <f>H182*J182</f>
        <v>19</v>
      </c>
      <c r="L182" s="252">
        <v>250</v>
      </c>
      <c r="M182" s="222">
        <f t="shared" ref="M182:M189" si="66">K182*L182</f>
        <v>4750</v>
      </c>
      <c r="N182" s="222">
        <f t="shared" ref="N182:N189" si="67">M182*$M$200</f>
        <v>3916.4996694321408</v>
      </c>
      <c r="O182" s="275">
        <f t="shared" ref="O182:O189" si="68">N182*$O$6</f>
        <v>4.5039746198469288</v>
      </c>
      <c r="P182" s="258">
        <f>O182/$P$6</f>
        <v>4.5924949602048777</v>
      </c>
      <c r="Q182" s="275">
        <f t="shared" ref="Q182:Q189" si="69">P182/K182</f>
        <v>0.24171026106341462</v>
      </c>
      <c r="S182" s="258">
        <f t="shared" ref="S182:S189" si="70">H182*J182*Q182</f>
        <v>4.5924949602048777</v>
      </c>
    </row>
    <row r="183" spans="1:19">
      <c r="A183" s="269" t="s">
        <v>340</v>
      </c>
      <c r="B183" s="270" t="s">
        <v>341</v>
      </c>
      <c r="C183" s="271">
        <v>56.82</v>
      </c>
      <c r="D183" s="272">
        <v>57.59</v>
      </c>
      <c r="E183" s="272"/>
      <c r="F183" s="286">
        <v>1875.06</v>
      </c>
      <c r="G183" s="286">
        <f>1209.39+58</f>
        <v>1267.3900000000001</v>
      </c>
      <c r="H183" s="273">
        <f t="shared" si="42"/>
        <v>55.007119291543674</v>
      </c>
      <c r="I183" s="273">
        <f t="shared" si="43"/>
        <v>4.5839266076286398</v>
      </c>
      <c r="J183" s="252">
        <v>1</v>
      </c>
      <c r="K183" s="274">
        <f t="shared" ref="K183:K189" si="71">H183*J183</f>
        <v>55.007119291543674</v>
      </c>
      <c r="L183" s="252">
        <v>175</v>
      </c>
      <c r="M183" s="222">
        <f t="shared" si="66"/>
        <v>9626.2458760201425</v>
      </c>
      <c r="N183" s="222">
        <f t="shared" si="67"/>
        <v>7937.0923771169255</v>
      </c>
      <c r="O183" s="275">
        <f t="shared" si="68"/>
        <v>9.1276562336843963</v>
      </c>
      <c r="P183" s="258">
        <f t="shared" ref="P183:P189" si="72">O183/$P$6</f>
        <v>9.3070496150137867</v>
      </c>
      <c r="Q183" s="275">
        <f t="shared" si="69"/>
        <v>0.16919718274439019</v>
      </c>
      <c r="S183" s="258">
        <f t="shared" si="70"/>
        <v>9.3070496150137867</v>
      </c>
    </row>
    <row r="184" spans="1:19">
      <c r="A184" s="269" t="s">
        <v>342</v>
      </c>
      <c r="B184" s="270" t="s">
        <v>343</v>
      </c>
      <c r="C184" s="271">
        <v>68.52</v>
      </c>
      <c r="D184" s="272">
        <v>69.95</v>
      </c>
      <c r="E184" s="272"/>
      <c r="F184" s="286">
        <f>3083.4+69</f>
        <v>3152.4</v>
      </c>
      <c r="G184" s="286">
        <f>1399+70</f>
        <v>1469</v>
      </c>
      <c r="H184" s="273">
        <f t="shared" si="42"/>
        <v>67.007720050223526</v>
      </c>
      <c r="I184" s="273">
        <f t="shared" si="43"/>
        <v>5.5839766708519605</v>
      </c>
      <c r="J184" s="252">
        <v>1</v>
      </c>
      <c r="K184" s="274">
        <f t="shared" si="71"/>
        <v>67.007720050223526</v>
      </c>
      <c r="L184" s="252">
        <v>324</v>
      </c>
      <c r="M184" s="222">
        <f t="shared" si="66"/>
        <v>21710.501296272421</v>
      </c>
      <c r="N184" s="222">
        <f t="shared" si="67"/>
        <v>17900.878136854106</v>
      </c>
      <c r="O184" s="275">
        <f t="shared" si="68"/>
        <v>20.58600985738207</v>
      </c>
      <c r="P184" s="258">
        <f t="shared" si="72"/>
        <v>20.990603744558435</v>
      </c>
      <c r="Q184" s="275">
        <f t="shared" si="69"/>
        <v>0.31325649833818536</v>
      </c>
      <c r="S184" s="258">
        <f t="shared" si="70"/>
        <v>20.990603744558435</v>
      </c>
    </row>
    <row r="185" spans="1:19">
      <c r="A185" s="269" t="s">
        <v>344</v>
      </c>
      <c r="B185" s="270" t="s">
        <v>345</v>
      </c>
      <c r="C185" s="271">
        <v>77.209999999999994</v>
      </c>
      <c r="D185" s="272">
        <v>79.3</v>
      </c>
      <c r="E185" s="272"/>
      <c r="F185" s="286">
        <v>926.52</v>
      </c>
      <c r="G185" s="286">
        <v>713.7</v>
      </c>
      <c r="H185" s="273">
        <f t="shared" si="42"/>
        <v>21</v>
      </c>
      <c r="I185" s="273">
        <f t="shared" si="43"/>
        <v>1.75</v>
      </c>
      <c r="J185" s="252">
        <v>1</v>
      </c>
      <c r="K185" s="274">
        <f t="shared" si="71"/>
        <v>21</v>
      </c>
      <c r="L185" s="252">
        <v>473</v>
      </c>
      <c r="M185" s="222">
        <f t="shared" si="66"/>
        <v>9933</v>
      </c>
      <c r="N185" s="222">
        <f t="shared" si="67"/>
        <v>8190.0192034672536</v>
      </c>
      <c r="O185" s="275">
        <f t="shared" si="68"/>
        <v>9.4185220839872716</v>
      </c>
      <c r="P185" s="258">
        <f t="shared" si="72"/>
        <v>9.6036320925715888</v>
      </c>
      <c r="Q185" s="275">
        <f t="shared" si="69"/>
        <v>0.4573158139319804</v>
      </c>
      <c r="S185" s="258">
        <f t="shared" si="70"/>
        <v>9.6036320925715888</v>
      </c>
    </row>
    <row r="186" spans="1:19">
      <c r="A186" s="269" t="s">
        <v>346</v>
      </c>
      <c r="B186" s="270" t="s">
        <v>347</v>
      </c>
      <c r="C186" s="271">
        <v>87.87</v>
      </c>
      <c r="D186" s="272">
        <v>90.57</v>
      </c>
      <c r="E186" s="272"/>
      <c r="F186" s="286">
        <v>4305.63</v>
      </c>
      <c r="G186" s="286">
        <v>1992.54</v>
      </c>
      <c r="H186" s="273">
        <f t="shared" si="42"/>
        <v>71</v>
      </c>
      <c r="I186" s="273">
        <f t="shared" si="43"/>
        <v>5.916666666666667</v>
      </c>
      <c r="J186" s="252">
        <v>1</v>
      </c>
      <c r="K186" s="274">
        <f t="shared" si="71"/>
        <v>71</v>
      </c>
      <c r="L186" s="252">
        <v>613</v>
      </c>
      <c r="M186" s="222">
        <f t="shared" si="66"/>
        <v>43523</v>
      </c>
      <c r="N186" s="222">
        <f t="shared" si="67"/>
        <v>35885.855813198963</v>
      </c>
      <c r="O186" s="275">
        <f t="shared" si="68"/>
        <v>41.268734185178502</v>
      </c>
      <c r="P186" s="258">
        <f t="shared" si="72"/>
        <v>42.079822769051979</v>
      </c>
      <c r="Q186" s="275">
        <f t="shared" si="69"/>
        <v>0.59267356012749262</v>
      </c>
      <c r="S186" s="258">
        <f t="shared" si="70"/>
        <v>42.079822769051972</v>
      </c>
    </row>
    <row r="187" spans="1:19">
      <c r="A187" s="269" t="s">
        <v>348</v>
      </c>
      <c r="B187" s="270" t="s">
        <v>349</v>
      </c>
      <c r="C187" s="271">
        <v>101.93</v>
      </c>
      <c r="D187" s="272">
        <v>105.64</v>
      </c>
      <c r="E187" s="272"/>
      <c r="F187" s="286">
        <v>10574.8</v>
      </c>
      <c r="G187" s="286">
        <v>2104.52</v>
      </c>
      <c r="H187" s="273">
        <f t="shared" si="42"/>
        <v>123.66732843697108</v>
      </c>
      <c r="I187" s="273">
        <f t="shared" si="43"/>
        <v>10.305610703080923</v>
      </c>
      <c r="J187" s="252">
        <v>1</v>
      </c>
      <c r="K187" s="274">
        <f t="shared" si="71"/>
        <v>123.66732843697108</v>
      </c>
      <c r="L187" s="252">
        <v>840</v>
      </c>
      <c r="M187" s="222">
        <f t="shared" si="66"/>
        <v>103880.5558870557</v>
      </c>
      <c r="N187" s="222">
        <f t="shared" si="67"/>
        <v>85652.244798332773</v>
      </c>
      <c r="O187" s="275">
        <f t="shared" si="68"/>
        <v>98.500081518081956</v>
      </c>
      <c r="P187" s="258">
        <f t="shared" si="72"/>
        <v>100.43598513149146</v>
      </c>
      <c r="Q187" s="275">
        <f t="shared" si="69"/>
        <v>0.81214647717307309</v>
      </c>
      <c r="S187" s="258">
        <f t="shared" si="70"/>
        <v>100.43598513149146</v>
      </c>
    </row>
    <row r="188" spans="1:19">
      <c r="A188" s="269" t="s">
        <v>350</v>
      </c>
      <c r="B188" s="270" t="s">
        <v>351</v>
      </c>
      <c r="C188" s="271">
        <v>14.49</v>
      </c>
      <c r="D188" s="272">
        <v>14.8</v>
      </c>
      <c r="E188" s="272"/>
      <c r="F188" s="286">
        <v>188.37</v>
      </c>
      <c r="G188" s="286">
        <v>0</v>
      </c>
      <c r="H188" s="273">
        <f t="shared" si="42"/>
        <v>13</v>
      </c>
      <c r="I188" s="273">
        <f t="shared" si="43"/>
        <v>1.0833333333333333</v>
      </c>
      <c r="J188" s="252">
        <v>1</v>
      </c>
      <c r="K188" s="274">
        <f t="shared" si="71"/>
        <v>13</v>
      </c>
      <c r="L188" s="252">
        <v>47</v>
      </c>
      <c r="M188" s="222">
        <f t="shared" si="66"/>
        <v>611</v>
      </c>
      <c r="N188" s="222">
        <f t="shared" si="67"/>
        <v>503.78553642590271</v>
      </c>
      <c r="O188" s="275">
        <f t="shared" si="68"/>
        <v>0.57935336688978389</v>
      </c>
      <c r="P188" s="258">
        <f t="shared" si="72"/>
        <v>0.59073987803898531</v>
      </c>
      <c r="Q188" s="275">
        <f t="shared" si="69"/>
        <v>4.5441529079921945E-2</v>
      </c>
      <c r="S188" s="258">
        <f t="shared" si="70"/>
        <v>0.59073987803898531</v>
      </c>
    </row>
    <row r="189" spans="1:19">
      <c r="A189" s="269" t="s">
        <v>352</v>
      </c>
      <c r="B189" s="270" t="s">
        <v>353</v>
      </c>
      <c r="C189" s="271">
        <v>17.940000000000001</v>
      </c>
      <c r="D189" s="272">
        <v>18.41</v>
      </c>
      <c r="E189" s="272"/>
      <c r="F189" s="286">
        <v>89.7</v>
      </c>
      <c r="G189" s="286">
        <v>18.41</v>
      </c>
      <c r="H189" s="273">
        <f t="shared" si="42"/>
        <v>6</v>
      </c>
      <c r="I189" s="273">
        <f t="shared" si="43"/>
        <v>0.5</v>
      </c>
      <c r="J189" s="252">
        <v>1</v>
      </c>
      <c r="K189" s="274">
        <f t="shared" si="71"/>
        <v>6</v>
      </c>
      <c r="L189" s="252">
        <v>68</v>
      </c>
      <c r="M189" s="222">
        <f t="shared" si="66"/>
        <v>408</v>
      </c>
      <c r="N189" s="222">
        <f t="shared" si="67"/>
        <v>336.40670844806596</v>
      </c>
      <c r="O189" s="275">
        <f t="shared" si="68"/>
        <v>0.38686771471527298</v>
      </c>
      <c r="P189" s="258">
        <f t="shared" si="72"/>
        <v>0.39447114605549261</v>
      </c>
      <c r="Q189" s="275">
        <f t="shared" si="69"/>
        <v>6.5745191009248763E-2</v>
      </c>
      <c r="S189" s="258">
        <f t="shared" si="70"/>
        <v>0.39447114605549261</v>
      </c>
    </row>
    <row r="190" spans="1:19">
      <c r="A190" s="269" t="s">
        <v>354</v>
      </c>
      <c r="B190" s="270" t="s">
        <v>355</v>
      </c>
      <c r="C190" s="288">
        <v>11.04</v>
      </c>
      <c r="D190" s="272">
        <v>11.19</v>
      </c>
      <c r="E190" s="272"/>
      <c r="F190" s="286">
        <v>165.6</v>
      </c>
      <c r="G190" s="286">
        <v>33.57</v>
      </c>
      <c r="H190" s="273">
        <f t="shared" si="42"/>
        <v>18</v>
      </c>
      <c r="I190" s="273">
        <f t="shared" si="43"/>
        <v>1.5</v>
      </c>
    </row>
    <row r="191" spans="1:19">
      <c r="A191" s="269" t="s">
        <v>356</v>
      </c>
      <c r="B191" s="270" t="s">
        <v>357</v>
      </c>
      <c r="C191" s="271">
        <f>D191</f>
        <v>85</v>
      </c>
      <c r="D191" s="272">
        <v>85</v>
      </c>
      <c r="E191" s="272"/>
      <c r="F191" s="286">
        <v>21632.5</v>
      </c>
      <c r="G191" s="286">
        <v>8372.5</v>
      </c>
      <c r="H191" s="273">
        <f t="shared" si="42"/>
        <v>353</v>
      </c>
      <c r="I191" s="273">
        <f t="shared" si="43"/>
        <v>29.416666666666668</v>
      </c>
    </row>
    <row r="192" spans="1:19" s="249" customFormat="1">
      <c r="A192" s="269" t="s">
        <v>358</v>
      </c>
      <c r="B192" s="269" t="s">
        <v>134</v>
      </c>
      <c r="C192" s="277">
        <v>90</v>
      </c>
      <c r="D192" s="272">
        <v>90</v>
      </c>
      <c r="E192" s="272"/>
      <c r="F192" s="286">
        <v>180</v>
      </c>
      <c r="G192" s="286">
        <v>0</v>
      </c>
      <c r="H192" s="273">
        <f t="shared" si="42"/>
        <v>2</v>
      </c>
      <c r="I192" s="273">
        <f t="shared" si="43"/>
        <v>0.16666666666666666</v>
      </c>
    </row>
    <row r="193" spans="1:19" s="249" customFormat="1">
      <c r="A193" s="269" t="s">
        <v>359</v>
      </c>
      <c r="B193" s="269" t="s">
        <v>360</v>
      </c>
      <c r="C193" s="277">
        <f>D193</f>
        <v>5.0999999999999996</v>
      </c>
      <c r="D193" s="272">
        <v>5.0999999999999996</v>
      </c>
      <c r="E193" s="272"/>
      <c r="F193" s="286">
        <v>25907.95</v>
      </c>
      <c r="G193" s="286">
        <v>13102.75</v>
      </c>
      <c r="H193" s="273">
        <f t="shared" si="42"/>
        <v>7649.1568627450988</v>
      </c>
      <c r="I193" s="273">
        <f t="shared" si="43"/>
        <v>637.42973856209153</v>
      </c>
    </row>
    <row r="194" spans="1:19">
      <c r="A194" s="269" t="s">
        <v>361</v>
      </c>
      <c r="B194" s="269" t="s">
        <v>362</v>
      </c>
      <c r="C194" s="271">
        <v>10</v>
      </c>
      <c r="D194" s="272">
        <v>10</v>
      </c>
      <c r="E194" s="272"/>
      <c r="F194" s="286">
        <v>10</v>
      </c>
      <c r="G194" s="286">
        <v>7.02</v>
      </c>
      <c r="H194" s="273">
        <f t="shared" si="42"/>
        <v>1.702</v>
      </c>
      <c r="I194" s="273">
        <f t="shared" si="43"/>
        <v>0.14183333333333334</v>
      </c>
    </row>
    <row r="195" spans="1:19">
      <c r="A195" s="269" t="s">
        <v>363</v>
      </c>
      <c r="B195" s="270" t="s">
        <v>364</v>
      </c>
      <c r="C195" s="271">
        <v>16.350000000000001</v>
      </c>
      <c r="D195" s="280">
        <v>16.350000000000001</v>
      </c>
      <c r="E195" s="280"/>
      <c r="F195" s="286">
        <v>22.39</v>
      </c>
      <c r="G195" s="286">
        <v>0</v>
      </c>
      <c r="H195" s="273">
        <f t="shared" si="42"/>
        <v>1.3694189602446483</v>
      </c>
      <c r="I195" s="273">
        <f t="shared" si="43"/>
        <v>0.11411824668705402</v>
      </c>
    </row>
    <row r="196" spans="1:19">
      <c r="A196" s="269"/>
      <c r="B196" s="279" t="s">
        <v>365</v>
      </c>
      <c r="C196" s="289"/>
      <c r="D196" s="280"/>
      <c r="E196" s="280"/>
      <c r="F196" s="281">
        <f>SUM(F80:F195)</f>
        <v>4000924.5500000031</v>
      </c>
      <c r="G196" s="281">
        <f>SUM(G80:G195)</f>
        <v>2081910.9</v>
      </c>
      <c r="H196" s="273">
        <f>SUM(F196:G196)</f>
        <v>6082835.450000003</v>
      </c>
      <c r="I196" s="273"/>
      <c r="K196" s="274">
        <f>SUM(K80:K195)</f>
        <v>315525.54019258032</v>
      </c>
      <c r="M196" s="282">
        <f t="shared" ref="M196" si="73">SUM(M80:M195)</f>
        <v>65442948.539750025</v>
      </c>
      <c r="N196" s="282">
        <f>SUM(N80:N195)</f>
        <v>53959428.699493811</v>
      </c>
      <c r="O196" s="282">
        <f t="shared" ref="O196:P196" si="74">SUM(O80:O195)</f>
        <v>62053.343004417417</v>
      </c>
      <c r="P196" s="282">
        <f t="shared" si="74"/>
        <v>63272.928705210361</v>
      </c>
      <c r="S196" s="282">
        <f t="shared" ref="S196" si="75">SUM(S80:S195)</f>
        <v>63272.928705210361</v>
      </c>
    </row>
    <row r="197" spans="1:19">
      <c r="A197" s="269"/>
      <c r="B197" s="270"/>
      <c r="C197" s="289"/>
      <c r="D197" s="280"/>
      <c r="E197" s="280"/>
      <c r="F197" s="286"/>
      <c r="G197" s="273">
        <f>F196+G196</f>
        <v>6082835.450000003</v>
      </c>
      <c r="H197" s="273"/>
      <c r="I197" s="273"/>
    </row>
    <row r="198" spans="1:19" s="290" customFormat="1" ht="15.75" thickBot="1">
      <c r="A198" s="250"/>
      <c r="C198" s="257"/>
      <c r="D198" s="291"/>
      <c r="E198" s="291"/>
      <c r="F198" s="292"/>
      <c r="G198" s="224"/>
      <c r="H198" s="250"/>
      <c r="I198" s="250"/>
      <c r="L198" s="257" t="s">
        <v>423</v>
      </c>
      <c r="M198" s="293">
        <f>M196+M73</f>
        <v>160335290.53913003</v>
      </c>
      <c r="N198" s="293">
        <f>N196+N73</f>
        <v>132200655.24101239</v>
      </c>
      <c r="O198" s="293">
        <f t="shared" ref="O198:P198" si="76">O196+O73</f>
        <v>152030.75352716318</v>
      </c>
      <c r="P198" s="293">
        <f t="shared" si="76"/>
        <v>155018.7397355662</v>
      </c>
      <c r="S198" s="293">
        <f t="shared" ref="S198" si="77">S196+S73</f>
        <v>155018.7397355662</v>
      </c>
    </row>
    <row r="199" spans="1:19" ht="15.75" thickTop="1">
      <c r="F199" s="222"/>
      <c r="G199" s="222"/>
      <c r="L199" s="252" t="s">
        <v>424</v>
      </c>
      <c r="M199" s="222">
        <f>'PCR Disposal'!R7</f>
        <v>132200655.24101242</v>
      </c>
    </row>
    <row r="200" spans="1:19">
      <c r="F200" s="291"/>
      <c r="G200" s="222"/>
      <c r="M200" s="294">
        <f>M199/M198</f>
        <v>0.82452624619624015</v>
      </c>
    </row>
    <row r="201" spans="1:19" ht="15.75" thickBot="1">
      <c r="F201" s="291"/>
      <c r="G201" s="222"/>
    </row>
    <row r="202" spans="1:19">
      <c r="F202" s="291"/>
      <c r="G202" s="222"/>
      <c r="N202" s="295"/>
      <c r="O202" s="296" t="s">
        <v>433</v>
      </c>
      <c r="P202" s="297"/>
    </row>
    <row r="203" spans="1:19" ht="15.75" thickBot="1">
      <c r="B203" s="298" t="s">
        <v>510</v>
      </c>
      <c r="N203" s="299"/>
      <c r="O203" s="300">
        <f>'EQR Disposal'!B30</f>
        <v>1.0300000000000012E-3</v>
      </c>
      <c r="P203" s="301"/>
    </row>
    <row r="205" spans="1:19">
      <c r="F205" s="291"/>
      <c r="G205" s="222"/>
      <c r="I205" s="302" t="s">
        <v>520</v>
      </c>
    </row>
    <row r="206" spans="1:19">
      <c r="B206" s="303" t="s">
        <v>511</v>
      </c>
      <c r="F206" s="291"/>
      <c r="G206" s="222"/>
      <c r="H206" s="273">
        <f>I206*12</f>
        <v>40512</v>
      </c>
      <c r="I206" s="273">
        <f>2596+69+711</f>
        <v>3376</v>
      </c>
      <c r="J206" s="252">
        <v>4.33</v>
      </c>
      <c r="K206" s="222">
        <f>H206*J206</f>
        <v>175416.95999999999</v>
      </c>
      <c r="L206" s="252">
        <v>47</v>
      </c>
      <c r="M206" s="222">
        <f>K206*L206</f>
        <v>8244597.1199999992</v>
      </c>
      <c r="N206" s="222">
        <f>M206*$M$220</f>
        <v>6051250.11433715</v>
      </c>
      <c r="O206" s="222">
        <f>N206*$O$203</f>
        <v>6232.7876177672715</v>
      </c>
      <c r="P206" s="222">
        <f>O206/$P$6</f>
        <v>6355.2857506102846</v>
      </c>
      <c r="Q206" s="275">
        <f>P206/K206</f>
        <v>3.6229596902205376E-2</v>
      </c>
      <c r="S206" s="222">
        <f>Q206*K206</f>
        <v>6355.2857506102837</v>
      </c>
    </row>
    <row r="207" spans="1:19">
      <c r="B207" s="303" t="s">
        <v>512</v>
      </c>
      <c r="F207" s="291"/>
      <c r="G207" s="222"/>
      <c r="H207" s="273">
        <f>I207*12</f>
        <v>9336</v>
      </c>
      <c r="I207" s="273">
        <f>514+114+150</f>
        <v>778</v>
      </c>
      <c r="J207" s="252">
        <v>4.33</v>
      </c>
      <c r="K207" s="222">
        <f t="shared" ref="K207:K216" si="78">H207*J207</f>
        <v>40424.879999999997</v>
      </c>
      <c r="L207" s="252">
        <v>68</v>
      </c>
      <c r="M207" s="222">
        <f t="shared" ref="M207:M208" si="79">K207*L207</f>
        <v>2748891.84</v>
      </c>
      <c r="N207" s="222">
        <f t="shared" ref="N207:N216" si="80">M207*$M$220</f>
        <v>2017591.8627665411</v>
      </c>
      <c r="O207" s="222">
        <f t="shared" ref="O207:O217" si="81">N207*$O$203</f>
        <v>2078.1196186495399</v>
      </c>
      <c r="P207" s="222">
        <f t="shared" ref="P207:P217" si="82">O207/$P$6</f>
        <v>2118.9626232119504</v>
      </c>
      <c r="Q207" s="275">
        <f>P207/K207</f>
        <v>5.2417289135105669E-2</v>
      </c>
      <c r="S207" s="222">
        <f>Q207*K207</f>
        <v>2118.9626232119504</v>
      </c>
    </row>
    <row r="208" spans="1:19" s="249" customFormat="1">
      <c r="B208" s="304" t="s">
        <v>471</v>
      </c>
      <c r="C208" s="253"/>
      <c r="H208" s="273">
        <v>30</v>
      </c>
      <c r="I208" s="273">
        <f>H208/12</f>
        <v>2.5</v>
      </c>
      <c r="J208" s="249">
        <v>1</v>
      </c>
      <c r="K208" s="273">
        <f t="shared" si="78"/>
        <v>30</v>
      </c>
      <c r="L208" s="249">
        <v>34</v>
      </c>
      <c r="M208" s="273">
        <f t="shared" si="79"/>
        <v>1020</v>
      </c>
      <c r="N208" s="273">
        <f t="shared" si="80"/>
        <v>748.64484301494815</v>
      </c>
      <c r="O208" s="273">
        <f t="shared" si="81"/>
        <v>0.77110418830539751</v>
      </c>
      <c r="P208" s="273">
        <f t="shared" si="82"/>
        <v>0.78625933702658501</v>
      </c>
      <c r="Q208" s="272">
        <f>P208/K208</f>
        <v>2.6208644567552834E-2</v>
      </c>
      <c r="S208" s="273">
        <f>Q208*K208</f>
        <v>0.78625933702658501</v>
      </c>
    </row>
    <row r="209" spans="2:19">
      <c r="B209" s="303"/>
      <c r="H209" s="273"/>
      <c r="I209" s="273"/>
      <c r="K209" s="222"/>
      <c r="M209" s="222"/>
      <c r="N209" s="222"/>
      <c r="O209" s="222">
        <f t="shared" si="81"/>
        <v>0</v>
      </c>
      <c r="P209" s="222">
        <f t="shared" si="82"/>
        <v>0</v>
      </c>
      <c r="Q209" s="275"/>
    </row>
    <row r="210" spans="2:19">
      <c r="B210" s="305" t="s">
        <v>513</v>
      </c>
      <c r="C210" s="306"/>
      <c r="D210" s="307"/>
      <c r="E210" s="307"/>
      <c r="F210" s="307"/>
      <c r="G210" s="307"/>
      <c r="H210" s="308">
        <v>1.0000000000000001E-5</v>
      </c>
      <c r="I210" s="308"/>
      <c r="J210" s="307">
        <v>4.33</v>
      </c>
      <c r="K210" s="308">
        <f t="shared" si="78"/>
        <v>4.3300000000000002E-5</v>
      </c>
      <c r="L210" s="307">
        <v>175</v>
      </c>
      <c r="M210" s="308">
        <f t="shared" ref="M210:M216" si="83">K210*L210</f>
        <v>7.5775E-3</v>
      </c>
      <c r="N210" s="308">
        <f t="shared" si="80"/>
        <v>5.5616238215154606E-3</v>
      </c>
      <c r="O210" s="308">
        <f t="shared" si="81"/>
        <v>5.728472536160931E-6</v>
      </c>
      <c r="P210" s="308">
        <f t="shared" si="82"/>
        <v>5.8410589473715172E-6</v>
      </c>
      <c r="Q210" s="309">
        <f>P210/K210</f>
        <v>0.13489743527416898</v>
      </c>
      <c r="R210" s="307"/>
      <c r="S210" s="308">
        <f t="shared" ref="S210:S213" si="84">Q210*K210</f>
        <v>5.8410589473715172E-6</v>
      </c>
    </row>
    <row r="211" spans="2:19">
      <c r="B211" s="305" t="s">
        <v>514</v>
      </c>
      <c r="C211" s="306"/>
      <c r="D211" s="307"/>
      <c r="E211" s="307"/>
      <c r="F211" s="307"/>
      <c r="G211" s="307"/>
      <c r="H211" s="308">
        <v>1.0000000000000001E-5</v>
      </c>
      <c r="I211" s="308"/>
      <c r="J211" s="307">
        <v>4.33</v>
      </c>
      <c r="K211" s="308">
        <f t="shared" si="78"/>
        <v>4.3300000000000002E-5</v>
      </c>
      <c r="L211" s="307">
        <v>250</v>
      </c>
      <c r="M211" s="308">
        <f t="shared" si="83"/>
        <v>1.0825000000000001E-2</v>
      </c>
      <c r="N211" s="308">
        <f t="shared" si="80"/>
        <v>7.9451768878792302E-3</v>
      </c>
      <c r="O211" s="308">
        <f t="shared" si="81"/>
        <v>8.1835321945156171E-6</v>
      </c>
      <c r="P211" s="308">
        <f t="shared" si="82"/>
        <v>8.3443699248164549E-6</v>
      </c>
      <c r="Q211" s="309">
        <f t="shared" ref="Q211:Q213" si="85">P211/K211</f>
        <v>0.19271062182024146</v>
      </c>
      <c r="R211" s="307"/>
      <c r="S211" s="308">
        <f t="shared" si="84"/>
        <v>8.3443699248164549E-6</v>
      </c>
    </row>
    <row r="212" spans="2:19">
      <c r="B212" s="305" t="s">
        <v>515</v>
      </c>
      <c r="C212" s="306"/>
      <c r="D212" s="307"/>
      <c r="E212" s="307"/>
      <c r="F212" s="307"/>
      <c r="G212" s="307"/>
      <c r="H212" s="308">
        <v>1.0000000000000001E-5</v>
      </c>
      <c r="I212" s="308"/>
      <c r="J212" s="307">
        <v>4.33</v>
      </c>
      <c r="K212" s="308">
        <f t="shared" si="78"/>
        <v>4.3300000000000002E-5</v>
      </c>
      <c r="L212" s="307">
        <v>324</v>
      </c>
      <c r="M212" s="308">
        <f t="shared" si="83"/>
        <v>1.40292E-2</v>
      </c>
      <c r="N212" s="308">
        <f t="shared" si="80"/>
        <v>1.0296949246691481E-2</v>
      </c>
      <c r="O212" s="308">
        <f t="shared" si="81"/>
        <v>1.0605857724092238E-5</v>
      </c>
      <c r="P212" s="308">
        <f t="shared" si="82"/>
        <v>1.0814303422562122E-5</v>
      </c>
      <c r="Q212" s="309">
        <f t="shared" si="85"/>
        <v>0.24975296587903284</v>
      </c>
      <c r="R212" s="307"/>
      <c r="S212" s="308">
        <f t="shared" si="84"/>
        <v>1.0814303422562122E-5</v>
      </c>
    </row>
    <row r="213" spans="2:19">
      <c r="B213" s="305" t="s">
        <v>516</v>
      </c>
      <c r="C213" s="306"/>
      <c r="D213" s="307"/>
      <c r="E213" s="307"/>
      <c r="F213" s="307"/>
      <c r="G213" s="307"/>
      <c r="H213" s="308">
        <v>1.0000000000000001E-5</v>
      </c>
      <c r="I213" s="308"/>
      <c r="J213" s="307">
        <v>4.33</v>
      </c>
      <c r="K213" s="308">
        <f t="shared" si="78"/>
        <v>4.3300000000000002E-5</v>
      </c>
      <c r="L213" s="307">
        <v>473</v>
      </c>
      <c r="M213" s="308">
        <f t="shared" si="83"/>
        <v>2.04809E-2</v>
      </c>
      <c r="N213" s="308">
        <f t="shared" si="80"/>
        <v>1.5032274671867501E-2</v>
      </c>
      <c r="O213" s="308">
        <f t="shared" si="81"/>
        <v>1.5483242912023545E-5</v>
      </c>
      <c r="P213" s="308">
        <f t="shared" si="82"/>
        <v>1.5787547897752731E-5</v>
      </c>
      <c r="Q213" s="309">
        <f t="shared" si="85"/>
        <v>0.36460849648389676</v>
      </c>
      <c r="R213" s="307"/>
      <c r="S213" s="308">
        <f t="shared" si="84"/>
        <v>1.5787547897752731E-5</v>
      </c>
    </row>
    <row r="214" spans="2:19">
      <c r="B214" s="304" t="s">
        <v>517</v>
      </c>
      <c r="H214" s="273">
        <f>I214*12</f>
        <v>48</v>
      </c>
      <c r="I214" s="273">
        <f>4</f>
        <v>4</v>
      </c>
      <c r="J214" s="252">
        <v>4.33</v>
      </c>
      <c r="K214" s="222">
        <f>H214*J214</f>
        <v>207.84</v>
      </c>
      <c r="L214" s="252">
        <v>613</v>
      </c>
      <c r="M214" s="222">
        <f>K214*L214</f>
        <v>127405.92</v>
      </c>
      <c r="N214" s="222">
        <f t="shared" si="80"/>
        <v>93511.553899583378</v>
      </c>
      <c r="O214" s="222">
        <f t="shared" si="81"/>
        <v>96.316900516570996</v>
      </c>
      <c r="P214" s="222">
        <f t="shared" si="82"/>
        <v>98.209896267119731</v>
      </c>
      <c r="Q214" s="275">
        <f>P214/K214</f>
        <v>0.47252644470323196</v>
      </c>
      <c r="S214" s="222">
        <f>Q214*K214</f>
        <v>98.209896267119731</v>
      </c>
    </row>
    <row r="215" spans="2:19">
      <c r="B215" s="304" t="s">
        <v>518</v>
      </c>
      <c r="H215" s="273">
        <f t="shared" ref="H215" si="86">I215*12</f>
        <v>576</v>
      </c>
      <c r="I215" s="273">
        <f>48</f>
        <v>48</v>
      </c>
      <c r="J215" s="252">
        <v>4.33</v>
      </c>
      <c r="K215" s="222">
        <f t="shared" si="78"/>
        <v>2494.08</v>
      </c>
      <c r="L215" s="252">
        <v>840</v>
      </c>
      <c r="M215" s="222">
        <f t="shared" si="83"/>
        <v>2095027.2</v>
      </c>
      <c r="N215" s="222">
        <f t="shared" si="80"/>
        <v>1537677.7541725945</v>
      </c>
      <c r="O215" s="222">
        <f t="shared" si="81"/>
        <v>1583.8080867977742</v>
      </c>
      <c r="P215" s="222">
        <f t="shared" si="82"/>
        <v>1614.9359777692771</v>
      </c>
      <c r="Q215" s="275">
        <f t="shared" ref="Q215" si="87">P215/K215</f>
        <v>0.64750768931601121</v>
      </c>
      <c r="S215" s="222">
        <f t="shared" ref="S215" si="88">Q215*K215</f>
        <v>1614.9359777692773</v>
      </c>
    </row>
    <row r="216" spans="2:19">
      <c r="B216" s="305" t="s">
        <v>519</v>
      </c>
      <c r="C216" s="306"/>
      <c r="D216" s="307"/>
      <c r="E216" s="307"/>
      <c r="F216" s="307"/>
      <c r="G216" s="307"/>
      <c r="H216" s="308">
        <v>1.0000000000000001E-5</v>
      </c>
      <c r="I216" s="307"/>
      <c r="J216" s="307">
        <v>4.33</v>
      </c>
      <c r="K216" s="309">
        <f t="shared" si="78"/>
        <v>4.3300000000000002E-5</v>
      </c>
      <c r="L216" s="307">
        <v>980</v>
      </c>
      <c r="M216" s="308">
        <f t="shared" si="83"/>
        <v>4.2433999999999999E-2</v>
      </c>
      <c r="N216" s="309">
        <f t="shared" si="80"/>
        <v>3.1145093400486577E-2</v>
      </c>
      <c r="O216" s="308">
        <f t="shared" si="81"/>
        <v>3.2079446202501213E-5</v>
      </c>
      <c r="P216" s="308">
        <f t="shared" si="82"/>
        <v>3.2709930105280495E-5</v>
      </c>
      <c r="Q216" s="309">
        <f t="shared" ref="Q216" si="89">P216/K216</f>
        <v>0.75542563753534631</v>
      </c>
      <c r="R216" s="307"/>
      <c r="S216" s="308">
        <f t="shared" ref="S216" si="90">Q216*K216</f>
        <v>3.2709930105280495E-5</v>
      </c>
    </row>
    <row r="217" spans="2:19">
      <c r="O217" s="222">
        <f t="shared" si="81"/>
        <v>0</v>
      </c>
      <c r="P217" s="222">
        <f t="shared" si="82"/>
        <v>0</v>
      </c>
      <c r="Q217" s="275"/>
    </row>
    <row r="218" spans="2:19" ht="15.75" thickBot="1">
      <c r="M218" s="293">
        <f>SUM(M206:M217)</f>
        <v>13216942.175346596</v>
      </c>
      <c r="N218" s="293">
        <f t="shared" ref="N218:O218" si="91">SUM(N206:N217)</f>
        <v>9700780.0000000037</v>
      </c>
      <c r="O218" s="293">
        <f t="shared" si="91"/>
        <v>9991.8034000000116</v>
      </c>
      <c r="P218" s="293">
        <f>SUM(P206:P217)</f>
        <v>10188.180580692866</v>
      </c>
      <c r="S218" s="293">
        <f>SUM(S206:S217)</f>
        <v>10188.180580692866</v>
      </c>
    </row>
    <row r="219" spans="2:19" ht="15.75" thickTop="1">
      <c r="L219" s="252" t="s">
        <v>424</v>
      </c>
      <c r="M219" s="273">
        <f>'EQR Disposal'!B24</f>
        <v>9700780</v>
      </c>
    </row>
    <row r="220" spans="2:19">
      <c r="B220" s="310" t="s">
        <v>529</v>
      </c>
      <c r="M220" s="294">
        <f>M219/M218</f>
        <v>0.73396553236759621</v>
      </c>
    </row>
  </sheetData>
  <mergeCells count="1">
    <mergeCell ref="B5:I5"/>
  </mergeCells>
  <pageMargins left="0.7" right="0.7" top="0.75" bottom="0.75" header="0.3" footer="0.3"/>
  <pageSetup scale="52" fitToHeight="4" orientation="landscape" r:id="rId1"/>
  <headerFooter alignWithMargins="0">
    <oddFooter>&amp;L&amp;F - &amp;A&amp;R&amp;P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39"/>
  <sheetViews>
    <sheetView zoomScale="85" zoomScaleNormal="85" workbookViewId="0">
      <selection activeCell="A45" sqref="A45"/>
    </sheetView>
  </sheetViews>
  <sheetFormatPr defaultColWidth="9.140625" defaultRowHeight="15"/>
  <cols>
    <col min="1" max="1" width="19.140625" style="183" customWidth="1"/>
    <col min="2" max="2" width="10" style="183" bestFit="1" customWidth="1"/>
    <col min="3" max="5" width="9.42578125" style="183" bestFit="1" customWidth="1"/>
    <col min="6" max="6" width="10" style="183" bestFit="1" customWidth="1"/>
    <col min="7" max="13" width="8.7109375" style="183" bestFit="1" customWidth="1"/>
    <col min="14" max="14" width="11.5703125" style="183" bestFit="1" customWidth="1"/>
    <col min="15" max="15" width="3" style="239" customWidth="1"/>
    <col min="16" max="16" width="14.85546875" style="239" bestFit="1" customWidth="1"/>
    <col min="17" max="17" width="12" style="239" customWidth="1"/>
    <col min="18" max="18" width="13.140625" style="239" bestFit="1" customWidth="1"/>
    <col min="19" max="19" width="9.42578125" style="239" bestFit="1" customWidth="1"/>
    <col min="20" max="20" width="12.28515625" style="239" customWidth="1"/>
    <col min="21" max="21" width="9.140625" style="239"/>
    <col min="22" max="22" width="9.42578125" style="239" bestFit="1" customWidth="1"/>
    <col min="23" max="16384" width="9.140625" style="239"/>
  </cols>
  <sheetData>
    <row r="1" spans="1:23">
      <c r="A1" s="1" t="s">
        <v>437</v>
      </c>
    </row>
    <row r="2" spans="1:23">
      <c r="A2" s="1" t="s">
        <v>436</v>
      </c>
    </row>
    <row r="3" spans="1:23">
      <c r="A3" s="182" t="s">
        <v>665</v>
      </c>
    </row>
    <row r="4" spans="1:23" ht="30.75" customHeight="1">
      <c r="A4" s="395" t="s">
        <v>650</v>
      </c>
      <c r="B4" s="395"/>
      <c r="C4" s="395"/>
      <c r="D4" s="395"/>
      <c r="E4" s="395"/>
      <c r="F4" s="395"/>
      <c r="G4" s="395"/>
    </row>
    <row r="5" spans="1:23" ht="15.75" thickBot="1">
      <c r="A5" s="184"/>
    </row>
    <row r="6" spans="1:23" s="326" customFormat="1">
      <c r="A6" s="182" t="s">
        <v>367</v>
      </c>
      <c r="B6" s="185">
        <v>40360</v>
      </c>
      <c r="C6" s="185">
        <v>40391</v>
      </c>
      <c r="D6" s="185">
        <v>40422</v>
      </c>
      <c r="E6" s="185">
        <v>40452</v>
      </c>
      <c r="F6" s="185">
        <v>40483</v>
      </c>
      <c r="G6" s="185">
        <v>40513</v>
      </c>
      <c r="H6" s="185">
        <v>40544</v>
      </c>
      <c r="I6" s="185">
        <v>40575</v>
      </c>
      <c r="J6" s="185">
        <v>40603</v>
      </c>
      <c r="K6" s="185">
        <v>40634</v>
      </c>
      <c r="L6" s="185">
        <v>40664</v>
      </c>
      <c r="M6" s="185">
        <v>40695</v>
      </c>
      <c r="N6" s="186" t="s">
        <v>366</v>
      </c>
      <c r="O6" s="325"/>
      <c r="P6" s="328"/>
      <c r="Q6" s="329"/>
      <c r="R6" s="329"/>
      <c r="S6" s="329"/>
      <c r="T6" s="329"/>
      <c r="U6" s="329"/>
      <c r="V6" s="330"/>
      <c r="W6" s="325"/>
    </row>
    <row r="7" spans="1:23">
      <c r="A7" s="182"/>
      <c r="P7" s="331"/>
      <c r="Q7" s="332" t="s">
        <v>421</v>
      </c>
      <c r="R7" s="333">
        <f>N24*2000</f>
        <v>132200655.24101242</v>
      </c>
      <c r="S7" s="334"/>
      <c r="T7" s="334"/>
      <c r="U7" s="334"/>
      <c r="V7" s="335"/>
    </row>
    <row r="8" spans="1:23" s="189" customFormat="1">
      <c r="A8" s="187" t="s">
        <v>368</v>
      </c>
      <c r="B8" s="188">
        <v>832843</v>
      </c>
      <c r="C8" s="188">
        <v>834307</v>
      </c>
      <c r="D8" s="188">
        <v>840919</v>
      </c>
      <c r="E8" s="188">
        <v>802594</v>
      </c>
      <c r="F8" s="188">
        <v>800211</v>
      </c>
      <c r="G8" s="188">
        <v>858638</v>
      </c>
      <c r="H8" s="188">
        <v>767173</v>
      </c>
      <c r="I8" s="188">
        <v>663416</v>
      </c>
      <c r="J8" s="189">
        <v>864084</v>
      </c>
      <c r="K8" s="188">
        <v>838515</v>
      </c>
      <c r="L8" s="188">
        <v>887453</v>
      </c>
      <c r="M8" s="188">
        <v>910739</v>
      </c>
      <c r="N8" s="190">
        <f>SUM(B8:M8)</f>
        <v>9900892</v>
      </c>
      <c r="O8" s="327"/>
      <c r="P8" s="336"/>
      <c r="Q8" s="337"/>
      <c r="R8" s="337"/>
      <c r="S8" s="337"/>
      <c r="T8" s="337"/>
      <c r="U8" s="337"/>
      <c r="V8" s="338"/>
    </row>
    <row r="9" spans="1:23">
      <c r="A9" s="182"/>
      <c r="P9" s="336"/>
      <c r="Q9" s="339" t="s">
        <v>422</v>
      </c>
      <c r="R9" s="337">
        <v>137.08000000000001</v>
      </c>
      <c r="S9" s="337"/>
      <c r="T9" s="337"/>
      <c r="U9" s="337"/>
      <c r="V9" s="338"/>
    </row>
    <row r="10" spans="1:23">
      <c r="A10" s="182" t="s">
        <v>369</v>
      </c>
      <c r="B10" s="183">
        <v>112.94</v>
      </c>
      <c r="C10" s="183">
        <v>112.94</v>
      </c>
      <c r="D10" s="183">
        <v>112.94</v>
      </c>
      <c r="E10" s="183">
        <v>112.94</v>
      </c>
      <c r="F10" s="183">
        <v>112.94</v>
      </c>
      <c r="G10" s="183">
        <v>112.94</v>
      </c>
      <c r="H10" s="183">
        <v>112.94</v>
      </c>
      <c r="I10" s="183">
        <v>112.94</v>
      </c>
      <c r="J10" s="183">
        <v>123.29</v>
      </c>
      <c r="K10" s="183">
        <v>123.29</v>
      </c>
      <c r="L10" s="183">
        <v>123.29</v>
      </c>
      <c r="M10" s="183">
        <v>123.29</v>
      </c>
      <c r="P10" s="340"/>
      <c r="Q10" s="339" t="s">
        <v>425</v>
      </c>
      <c r="R10" s="341">
        <v>139.38</v>
      </c>
      <c r="S10" s="342"/>
      <c r="T10" s="342"/>
      <c r="U10" s="339" t="s">
        <v>427</v>
      </c>
      <c r="V10" s="338">
        <v>1.4999999999999999E-2</v>
      </c>
    </row>
    <row r="11" spans="1:23">
      <c r="A11" s="182"/>
      <c r="P11" s="336"/>
      <c r="Q11" s="332" t="s">
        <v>426</v>
      </c>
      <c r="R11" s="344">
        <f>R10-R9</f>
        <v>2.2999999999999829</v>
      </c>
      <c r="S11" s="345">
        <f>R11/R9</f>
        <v>1.6778523489932761E-2</v>
      </c>
      <c r="T11" s="337"/>
      <c r="U11" s="339" t="s">
        <v>428</v>
      </c>
      <c r="V11" s="359">
        <v>4.2750000000000002E-3</v>
      </c>
    </row>
    <row r="12" spans="1:23" s="326" customFormat="1">
      <c r="A12" s="182" t="s">
        <v>370</v>
      </c>
      <c r="B12" s="191">
        <f t="shared" ref="B12:M12" si="0">B8/B10</f>
        <v>7374.2075438285819</v>
      </c>
      <c r="C12" s="191">
        <f t="shared" si="0"/>
        <v>7387.1701788560295</v>
      </c>
      <c r="D12" s="191">
        <f t="shared" si="0"/>
        <v>7445.7145386931115</v>
      </c>
      <c r="E12" s="191">
        <f t="shared" si="0"/>
        <v>7106.3750664069421</v>
      </c>
      <c r="F12" s="191">
        <f t="shared" si="0"/>
        <v>7085.2753674517444</v>
      </c>
      <c r="G12" s="191">
        <f t="shared" si="0"/>
        <v>7602.6031521161676</v>
      </c>
      <c r="H12" s="191">
        <f t="shared" si="0"/>
        <v>6792.7483619621044</v>
      </c>
      <c r="I12" s="191">
        <f t="shared" si="0"/>
        <v>5874.0570214273066</v>
      </c>
      <c r="J12" s="191">
        <f t="shared" si="0"/>
        <v>7008.548949630951</v>
      </c>
      <c r="K12" s="191">
        <f t="shared" si="0"/>
        <v>6801.1598669802897</v>
      </c>
      <c r="L12" s="191">
        <f t="shared" si="0"/>
        <v>7198.0939248925297</v>
      </c>
      <c r="M12" s="191">
        <f t="shared" si="0"/>
        <v>7386.965690648065</v>
      </c>
      <c r="N12" s="187">
        <f>SUM(B12:M12)</f>
        <v>85062.919662893808</v>
      </c>
      <c r="O12" s="199"/>
      <c r="P12" s="346"/>
      <c r="Q12" s="347"/>
      <c r="R12" s="347"/>
      <c r="S12" s="347"/>
      <c r="T12" s="347"/>
      <c r="U12" s="339"/>
      <c r="V12" s="338">
        <f>V10+V11</f>
        <v>1.9275E-2</v>
      </c>
    </row>
    <row r="13" spans="1:23">
      <c r="A13" s="182"/>
      <c r="P13" s="336"/>
      <c r="Q13" s="339" t="s">
        <v>432</v>
      </c>
      <c r="R13" s="348">
        <f>N24*R11</f>
        <v>152030.75352716318</v>
      </c>
      <c r="S13" s="337"/>
      <c r="T13" s="337"/>
      <c r="U13" s="339"/>
      <c r="V13" s="338"/>
    </row>
    <row r="14" spans="1:23">
      <c r="A14" s="182" t="s">
        <v>371</v>
      </c>
      <c r="B14" s="188">
        <v>197626</v>
      </c>
      <c r="C14" s="188">
        <v>191522</v>
      </c>
      <c r="D14" s="188">
        <v>197604</v>
      </c>
      <c r="E14" s="188">
        <v>184481</v>
      </c>
      <c r="F14" s="188">
        <v>170384</v>
      </c>
      <c r="G14" s="188">
        <v>184178</v>
      </c>
      <c r="H14" s="188">
        <v>173068</v>
      </c>
      <c r="I14" s="188">
        <v>159143</v>
      </c>
      <c r="J14" s="188">
        <v>184608</v>
      </c>
      <c r="K14" s="188">
        <v>186007</v>
      </c>
      <c r="L14" s="188">
        <v>175334</v>
      </c>
      <c r="M14" s="188">
        <v>200329</v>
      </c>
      <c r="N14" s="192">
        <f>SUM(B14:M14)</f>
        <v>2204284</v>
      </c>
      <c r="O14" s="327"/>
      <c r="P14" s="336"/>
      <c r="Q14" s="332" t="s">
        <v>431</v>
      </c>
      <c r="R14" s="344">
        <f>R13/(V14)</f>
        <v>155018.73973556623</v>
      </c>
      <c r="S14" s="337"/>
      <c r="T14" s="337"/>
      <c r="U14" s="339" t="s">
        <v>429</v>
      </c>
      <c r="V14" s="338">
        <f>1-V12</f>
        <v>0.98072499999999996</v>
      </c>
    </row>
    <row r="15" spans="1:23">
      <c r="A15" s="182"/>
      <c r="B15" s="188"/>
      <c r="C15" s="188"/>
      <c r="D15" s="188"/>
      <c r="E15" s="188"/>
      <c r="F15" s="188"/>
      <c r="G15" s="188"/>
      <c r="H15" s="188"/>
      <c r="I15" s="188"/>
      <c r="J15" s="188"/>
      <c r="K15" s="188"/>
      <c r="L15" s="188"/>
      <c r="M15" s="188"/>
      <c r="P15" s="336"/>
      <c r="Q15" s="337"/>
      <c r="R15" s="337"/>
      <c r="S15" s="337"/>
      <c r="T15" s="337"/>
      <c r="U15" s="337"/>
      <c r="V15" s="338"/>
    </row>
    <row r="16" spans="1:23">
      <c r="A16" s="182" t="s">
        <v>369</v>
      </c>
      <c r="B16" s="183">
        <v>112.94</v>
      </c>
      <c r="C16" s="183">
        <v>112.94</v>
      </c>
      <c r="D16" s="183">
        <v>112.94</v>
      </c>
      <c r="E16" s="183">
        <v>112.94</v>
      </c>
      <c r="F16" s="183">
        <v>112.94</v>
      </c>
      <c r="G16" s="183">
        <v>112.94</v>
      </c>
      <c r="H16" s="183">
        <v>112.94</v>
      </c>
      <c r="I16" s="183">
        <v>112.94</v>
      </c>
      <c r="J16" s="183">
        <v>123.29</v>
      </c>
      <c r="K16" s="183">
        <v>123.29</v>
      </c>
      <c r="L16" s="183">
        <v>123.29</v>
      </c>
      <c r="M16" s="183">
        <v>123.29</v>
      </c>
      <c r="P16" s="336"/>
      <c r="Q16" s="337"/>
      <c r="R16" s="337"/>
      <c r="S16" s="337"/>
      <c r="T16" s="337"/>
      <c r="U16" s="337"/>
      <c r="V16" s="338"/>
    </row>
    <row r="17" spans="1:24">
      <c r="A17" s="182"/>
      <c r="B17" s="188"/>
      <c r="C17" s="188"/>
      <c r="D17" s="188"/>
      <c r="E17" s="188"/>
      <c r="F17" s="188"/>
      <c r="G17" s="188"/>
      <c r="H17" s="188"/>
      <c r="I17" s="188"/>
      <c r="J17" s="188"/>
      <c r="K17" s="188"/>
      <c r="L17" s="188"/>
      <c r="M17" s="188"/>
      <c r="P17" s="336"/>
      <c r="Q17" s="332" t="s">
        <v>430</v>
      </c>
      <c r="R17" s="349">
        <f>N18*R11</f>
        <v>43613.961697491162</v>
      </c>
      <c r="S17" s="337"/>
      <c r="T17" s="337"/>
      <c r="U17" s="337"/>
      <c r="V17" s="338"/>
    </row>
    <row r="18" spans="1:24" s="326" customFormat="1" ht="15.75" thickBot="1">
      <c r="A18" s="182" t="s">
        <v>372</v>
      </c>
      <c r="B18" s="191">
        <f t="shared" ref="B18:M18" si="1">B14/B16</f>
        <v>1749.8317690809279</v>
      </c>
      <c r="C18" s="191">
        <f t="shared" si="1"/>
        <v>1695.7853727642996</v>
      </c>
      <c r="D18" s="191">
        <f t="shared" si="1"/>
        <v>1749.6369753851602</v>
      </c>
      <c r="E18" s="191">
        <f t="shared" si="1"/>
        <v>1633.4425358597487</v>
      </c>
      <c r="F18" s="191">
        <f t="shared" si="1"/>
        <v>1508.6240481671684</v>
      </c>
      <c r="G18" s="191">
        <f t="shared" si="1"/>
        <v>1630.759695413494</v>
      </c>
      <c r="H18" s="191">
        <f t="shared" si="1"/>
        <v>1532.3888790508236</v>
      </c>
      <c r="I18" s="191">
        <f t="shared" si="1"/>
        <v>1409.0933238887906</v>
      </c>
      <c r="J18" s="191">
        <f t="shared" si="1"/>
        <v>1497.34771676535</v>
      </c>
      <c r="K18" s="191">
        <f t="shared" si="1"/>
        <v>1508.6949468732257</v>
      </c>
      <c r="L18" s="191">
        <f t="shared" si="1"/>
        <v>1422.1266931624625</v>
      </c>
      <c r="M18" s="191">
        <f t="shared" si="1"/>
        <v>1624.8600859761536</v>
      </c>
      <c r="N18" s="187">
        <f>SUM(B18:M18)</f>
        <v>18962.592042387601</v>
      </c>
      <c r="O18" s="199"/>
      <c r="P18" s="350"/>
      <c r="Q18" s="351"/>
      <c r="R18" s="351"/>
      <c r="S18" s="351"/>
      <c r="T18" s="351"/>
      <c r="U18" s="351"/>
      <c r="V18" s="352"/>
    </row>
    <row r="19" spans="1:24">
      <c r="A19" s="182"/>
      <c r="B19" s="188"/>
      <c r="C19" s="188"/>
      <c r="D19" s="188"/>
      <c r="E19" s="188"/>
      <c r="F19" s="188"/>
      <c r="G19" s="188"/>
      <c r="H19" s="188"/>
      <c r="I19" s="188"/>
      <c r="J19" s="188"/>
      <c r="K19" s="188"/>
      <c r="L19" s="188"/>
      <c r="M19" s="188"/>
      <c r="P19"/>
      <c r="Q19"/>
      <c r="R19"/>
      <c r="S19"/>
      <c r="T19"/>
      <c r="U19"/>
      <c r="V19"/>
    </row>
    <row r="20" spans="1:24">
      <c r="A20" s="182" t="s">
        <v>373</v>
      </c>
      <c r="B20" s="188">
        <f t="shared" ref="B20:M20" si="2">B8-B14</f>
        <v>635217</v>
      </c>
      <c r="C20" s="188">
        <f t="shared" si="2"/>
        <v>642785</v>
      </c>
      <c r="D20" s="188">
        <f t="shared" si="2"/>
        <v>643315</v>
      </c>
      <c r="E20" s="188">
        <f t="shared" si="2"/>
        <v>618113</v>
      </c>
      <c r="F20" s="188">
        <f t="shared" si="2"/>
        <v>629827</v>
      </c>
      <c r="G20" s="188">
        <f t="shared" si="2"/>
        <v>674460</v>
      </c>
      <c r="H20" s="188">
        <f t="shared" si="2"/>
        <v>594105</v>
      </c>
      <c r="I20" s="188">
        <f t="shared" si="2"/>
        <v>504273</v>
      </c>
      <c r="J20" s="188">
        <f t="shared" si="2"/>
        <v>679476</v>
      </c>
      <c r="K20" s="188">
        <f t="shared" si="2"/>
        <v>652508</v>
      </c>
      <c r="L20" s="188">
        <f t="shared" si="2"/>
        <v>712119</v>
      </c>
      <c r="M20" s="188">
        <f t="shared" si="2"/>
        <v>710410</v>
      </c>
      <c r="N20" s="192">
        <f>SUM(B20:M20)</f>
        <v>7696608</v>
      </c>
      <c r="O20" s="327"/>
      <c r="P20"/>
      <c r="Q20"/>
      <c r="R20"/>
      <c r="S20"/>
      <c r="T20"/>
      <c r="U20"/>
      <c r="V20"/>
    </row>
    <row r="21" spans="1:24">
      <c r="A21" s="182"/>
      <c r="B21" s="188"/>
      <c r="C21" s="188"/>
      <c r="D21" s="188"/>
      <c r="E21" s="188"/>
      <c r="F21" s="188"/>
      <c r="G21" s="188"/>
      <c r="H21" s="188"/>
      <c r="I21" s="188"/>
      <c r="J21" s="188"/>
      <c r="K21" s="188"/>
      <c r="L21" s="188"/>
      <c r="M21" s="188"/>
      <c r="N21" s="188"/>
      <c r="O21" s="189"/>
    </row>
    <row r="22" spans="1:24">
      <c r="A22" s="182" t="s">
        <v>369</v>
      </c>
      <c r="B22" s="183">
        <v>112.94</v>
      </c>
      <c r="C22" s="183">
        <v>112.94</v>
      </c>
      <c r="D22" s="183">
        <v>112.94</v>
      </c>
      <c r="E22" s="183">
        <v>112.94</v>
      </c>
      <c r="F22" s="183">
        <v>112.94</v>
      </c>
      <c r="G22" s="183">
        <v>112.94</v>
      </c>
      <c r="H22" s="183">
        <v>112.94</v>
      </c>
      <c r="I22" s="183">
        <v>112.94</v>
      </c>
      <c r="J22" s="183">
        <v>123.29</v>
      </c>
      <c r="K22" s="183">
        <v>123.29</v>
      </c>
      <c r="L22" s="183">
        <v>123.29</v>
      </c>
      <c r="M22" s="183">
        <v>123.29</v>
      </c>
    </row>
    <row r="23" spans="1:24">
      <c r="A23" s="182"/>
      <c r="B23" s="188"/>
      <c r="C23" s="188"/>
      <c r="D23" s="188"/>
      <c r="E23" s="188"/>
      <c r="F23" s="188"/>
      <c r="G23" s="188"/>
      <c r="H23" s="188"/>
      <c r="I23" s="188"/>
      <c r="J23" s="188"/>
      <c r="K23" s="188"/>
      <c r="L23" s="188"/>
      <c r="M23" s="188"/>
      <c r="N23" s="188"/>
      <c r="O23" s="189"/>
    </row>
    <row r="24" spans="1:24" s="326" customFormat="1">
      <c r="A24" s="182" t="s">
        <v>374</v>
      </c>
      <c r="B24" s="191">
        <f t="shared" ref="B24:M24" si="3">B20/B22</f>
        <v>5624.3757747476538</v>
      </c>
      <c r="C24" s="191">
        <f t="shared" si="3"/>
        <v>5691.3848060917298</v>
      </c>
      <c r="D24" s="191">
        <f t="shared" si="3"/>
        <v>5696.0775633079511</v>
      </c>
      <c r="E24" s="191">
        <f t="shared" si="3"/>
        <v>5472.932530547193</v>
      </c>
      <c r="F24" s="191">
        <f t="shared" si="3"/>
        <v>5576.6513192845759</v>
      </c>
      <c r="G24" s="191">
        <f t="shared" si="3"/>
        <v>5971.8434567026743</v>
      </c>
      <c r="H24" s="191">
        <f t="shared" si="3"/>
        <v>5260.3594829112808</v>
      </c>
      <c r="I24" s="191">
        <f t="shared" si="3"/>
        <v>4464.9636975385165</v>
      </c>
      <c r="J24" s="191">
        <f t="shared" si="3"/>
        <v>5511.201232865601</v>
      </c>
      <c r="K24" s="191">
        <f t="shared" si="3"/>
        <v>5292.4649201070642</v>
      </c>
      <c r="L24" s="191">
        <f t="shared" si="3"/>
        <v>5775.9672317300674</v>
      </c>
      <c r="M24" s="191">
        <f t="shared" si="3"/>
        <v>5762.1056046719114</v>
      </c>
      <c r="N24" s="187">
        <f>SUM(B24:M24)</f>
        <v>66100.327620506214</v>
      </c>
      <c r="O24" s="199"/>
    </row>
    <row r="25" spans="1:24">
      <c r="A25" s="182"/>
      <c r="B25" s="188"/>
      <c r="C25" s="188"/>
      <c r="D25" s="188"/>
      <c r="E25" s="188"/>
      <c r="F25" s="188"/>
      <c r="G25" s="188"/>
      <c r="H25" s="188"/>
      <c r="I25" s="188"/>
      <c r="J25" s="188"/>
      <c r="K25" s="188"/>
      <c r="L25" s="188"/>
      <c r="M25" s="188"/>
    </row>
    <row r="26" spans="1:24">
      <c r="A26" s="195"/>
      <c r="B26" s="196"/>
      <c r="C26" s="196"/>
      <c r="D26" s="196"/>
      <c r="E26" s="196"/>
      <c r="F26" s="196"/>
      <c r="G26" s="196"/>
      <c r="H26" s="196"/>
      <c r="I26" s="196"/>
      <c r="J26" s="196"/>
      <c r="K26" s="196"/>
      <c r="L26" s="196"/>
      <c r="M26" s="196"/>
      <c r="N26" s="197"/>
    </row>
    <row r="27" spans="1:24" s="343" customFormat="1">
      <c r="A27" s="198" t="s">
        <v>375</v>
      </c>
      <c r="B27" s="185">
        <f t="shared" ref="B27:N27" si="4">B6</f>
        <v>40360</v>
      </c>
      <c r="C27" s="185">
        <f t="shared" si="4"/>
        <v>40391</v>
      </c>
      <c r="D27" s="185">
        <f t="shared" si="4"/>
        <v>40422</v>
      </c>
      <c r="E27" s="185">
        <f t="shared" si="4"/>
        <v>40452</v>
      </c>
      <c r="F27" s="185">
        <f t="shared" si="4"/>
        <v>40483</v>
      </c>
      <c r="G27" s="185">
        <f t="shared" si="4"/>
        <v>40513</v>
      </c>
      <c r="H27" s="185">
        <f t="shared" si="4"/>
        <v>40544</v>
      </c>
      <c r="I27" s="185">
        <f t="shared" si="4"/>
        <v>40575</v>
      </c>
      <c r="J27" s="185">
        <f t="shared" si="4"/>
        <v>40603</v>
      </c>
      <c r="K27" s="185">
        <f t="shared" si="4"/>
        <v>40634</v>
      </c>
      <c r="L27" s="185">
        <f t="shared" si="4"/>
        <v>40664</v>
      </c>
      <c r="M27" s="185">
        <f t="shared" si="4"/>
        <v>40695</v>
      </c>
      <c r="N27" s="185" t="str">
        <f t="shared" si="4"/>
        <v>Total</v>
      </c>
    </row>
    <row r="28" spans="1:24">
      <c r="A28" s="182"/>
      <c r="B28" s="188"/>
      <c r="C28" s="188"/>
      <c r="D28" s="188"/>
      <c r="E28" s="188"/>
      <c r="F28" s="188"/>
      <c r="G28" s="188"/>
      <c r="H28" s="188"/>
      <c r="I28" s="188"/>
      <c r="J28" s="188"/>
      <c r="K28" s="188"/>
      <c r="L28" s="188"/>
      <c r="M28" s="188"/>
    </row>
    <row r="29" spans="1:24" s="326" customFormat="1">
      <c r="A29" s="187" t="s">
        <v>368</v>
      </c>
      <c r="B29" s="187">
        <v>676828</v>
      </c>
      <c r="C29" s="187">
        <v>653626</v>
      </c>
      <c r="D29" s="187">
        <v>579739</v>
      </c>
      <c r="E29" s="187">
        <v>552188</v>
      </c>
      <c r="F29" s="187">
        <v>672009</v>
      </c>
      <c r="G29" s="187">
        <v>668491</v>
      </c>
      <c r="H29" s="187">
        <v>646781</v>
      </c>
      <c r="I29" s="187">
        <v>615943</v>
      </c>
      <c r="J29" s="199">
        <f>1358557-615353.36</f>
        <v>743203.64</v>
      </c>
      <c r="K29" s="187">
        <v>718358</v>
      </c>
      <c r="L29" s="187">
        <v>887939</v>
      </c>
      <c r="M29" s="187">
        <v>767925</v>
      </c>
      <c r="N29" s="200">
        <f>SUM(B29:M29)</f>
        <v>8183030.6399999997</v>
      </c>
      <c r="O29" s="354"/>
      <c r="W29" s="199"/>
      <c r="X29" s="199"/>
    </row>
    <row r="30" spans="1:24">
      <c r="A30" s="182"/>
    </row>
    <row r="31" spans="1:24">
      <c r="A31" s="182" t="s">
        <v>376</v>
      </c>
      <c r="B31" s="183">
        <v>112.94</v>
      </c>
      <c r="C31" s="183">
        <v>112.94</v>
      </c>
      <c r="D31" s="183">
        <v>112.94</v>
      </c>
      <c r="E31" s="183">
        <v>112.94</v>
      </c>
      <c r="F31" s="183">
        <v>112.94</v>
      </c>
      <c r="G31" s="183">
        <v>112.94</v>
      </c>
      <c r="H31" s="183">
        <v>112.94</v>
      </c>
      <c r="I31" s="183">
        <v>112.94</v>
      </c>
      <c r="J31" s="183">
        <v>123.29</v>
      </c>
      <c r="K31" s="183">
        <v>123.29</v>
      </c>
      <c r="L31" s="183">
        <v>123.29</v>
      </c>
      <c r="M31" s="183">
        <v>123.29</v>
      </c>
      <c r="N31" s="188"/>
      <c r="O31" s="189"/>
    </row>
    <row r="32" spans="1:24">
      <c r="A32" s="182"/>
    </row>
    <row r="33" spans="1:29">
      <c r="A33" s="182" t="s">
        <v>377</v>
      </c>
      <c r="B33" s="201">
        <v>33</v>
      </c>
      <c r="C33" s="201">
        <v>33</v>
      </c>
      <c r="D33" s="201">
        <v>33</v>
      </c>
      <c r="E33" s="201">
        <v>33</v>
      </c>
      <c r="F33" s="201">
        <v>33</v>
      </c>
      <c r="G33" s="201">
        <v>33</v>
      </c>
      <c r="H33" s="201">
        <v>33</v>
      </c>
      <c r="I33" s="201">
        <v>33</v>
      </c>
      <c r="J33" s="201">
        <v>33</v>
      </c>
      <c r="K33" s="201">
        <v>33</v>
      </c>
      <c r="L33" s="201">
        <v>33</v>
      </c>
      <c r="M33" s="201">
        <v>33</v>
      </c>
    </row>
    <row r="34" spans="1:29">
      <c r="A34" s="182"/>
    </row>
    <row r="35" spans="1:29">
      <c r="A35" s="182" t="s">
        <v>378</v>
      </c>
      <c r="B35" s="183">
        <v>13.64</v>
      </c>
      <c r="C35" s="183">
        <v>13.64</v>
      </c>
      <c r="D35" s="183">
        <v>13.64</v>
      </c>
      <c r="E35" s="183">
        <v>13.64</v>
      </c>
      <c r="F35" s="183">
        <v>13.64</v>
      </c>
      <c r="G35" s="183">
        <v>13.64</v>
      </c>
      <c r="H35" s="183">
        <v>13.64</v>
      </c>
      <c r="I35" s="183">
        <v>13.64</v>
      </c>
      <c r="J35" s="202">
        <v>13.8</v>
      </c>
      <c r="K35" s="202">
        <v>13.8</v>
      </c>
      <c r="L35" s="202">
        <v>13.8</v>
      </c>
      <c r="M35" s="202">
        <v>13.8</v>
      </c>
    </row>
    <row r="36" spans="1:29">
      <c r="A36" s="182"/>
    </row>
    <row r="37" spans="1:29">
      <c r="A37" s="182"/>
    </row>
    <row r="38" spans="1:29" s="326" customFormat="1">
      <c r="A38" s="182" t="s">
        <v>379</v>
      </c>
      <c r="B38" s="187">
        <v>279172</v>
      </c>
      <c r="C38" s="187">
        <v>294937</v>
      </c>
      <c r="D38" s="187">
        <v>188965</v>
      </c>
      <c r="E38" s="187">
        <v>229736</v>
      </c>
      <c r="F38" s="187">
        <v>316487</v>
      </c>
      <c r="G38" s="187">
        <v>297344</v>
      </c>
      <c r="H38" s="187">
        <v>328319</v>
      </c>
      <c r="I38" s="187">
        <v>279325</v>
      </c>
      <c r="J38" s="187">
        <v>319510</v>
      </c>
      <c r="K38" s="187">
        <v>343893</v>
      </c>
      <c r="L38" s="187">
        <v>469711</v>
      </c>
      <c r="M38" s="187">
        <v>350442</v>
      </c>
      <c r="N38" s="187">
        <f>SUM(B38:M38)</f>
        <v>3697841</v>
      </c>
      <c r="O38" s="199"/>
    </row>
    <row r="39" spans="1:29">
      <c r="A39" s="182"/>
    </row>
    <row r="40" spans="1:29">
      <c r="A40" s="182" t="s">
        <v>380</v>
      </c>
      <c r="B40" s="188">
        <v>120294</v>
      </c>
      <c r="C40" s="188">
        <v>116189</v>
      </c>
      <c r="D40" s="188">
        <v>119038</v>
      </c>
      <c r="E40" s="188">
        <v>118135</v>
      </c>
      <c r="F40" s="188">
        <v>123332</v>
      </c>
      <c r="G40" s="188">
        <v>125879</v>
      </c>
      <c r="H40" s="188">
        <v>115094</v>
      </c>
      <c r="I40" s="188">
        <v>102393</v>
      </c>
      <c r="J40" s="188">
        <v>150313</v>
      </c>
      <c r="K40" s="188">
        <v>125365</v>
      </c>
      <c r="L40" s="188">
        <v>134952</v>
      </c>
      <c r="M40" s="188">
        <v>131592</v>
      </c>
      <c r="N40" s="187">
        <f>SUM(B40:M40)</f>
        <v>1482576</v>
      </c>
      <c r="O40" s="199"/>
    </row>
    <row r="41" spans="1:29">
      <c r="A41" s="182" t="s">
        <v>369</v>
      </c>
      <c r="B41" s="183">
        <v>112.94</v>
      </c>
      <c r="C41" s="183">
        <v>112.94</v>
      </c>
      <c r="D41" s="183">
        <v>112.94</v>
      </c>
      <c r="E41" s="183">
        <v>112.94</v>
      </c>
      <c r="F41" s="183">
        <v>112.94</v>
      </c>
      <c r="G41" s="183">
        <v>112.94</v>
      </c>
      <c r="H41" s="183">
        <v>112.94</v>
      </c>
      <c r="I41" s="183">
        <v>112.94</v>
      </c>
      <c r="J41" s="183">
        <v>123.29</v>
      </c>
      <c r="K41" s="183">
        <v>123.29</v>
      </c>
      <c r="L41" s="183">
        <v>123.29</v>
      </c>
      <c r="M41" s="183">
        <v>123.29</v>
      </c>
    </row>
    <row r="42" spans="1:29" s="189" customFormat="1">
      <c r="A42" s="187" t="s">
        <v>381</v>
      </c>
      <c r="B42" s="188">
        <f t="shared" ref="B42:M42" si="5">B40/B41</f>
        <v>1065.1142199397912</v>
      </c>
      <c r="C42" s="188">
        <f t="shared" si="5"/>
        <v>1028.7674871613247</v>
      </c>
      <c r="D42" s="188">
        <f t="shared" si="5"/>
        <v>1053.9932707632372</v>
      </c>
      <c r="E42" s="188">
        <f t="shared" si="5"/>
        <v>1045.9978749778643</v>
      </c>
      <c r="F42" s="188">
        <f t="shared" si="5"/>
        <v>1092.0134584735258</v>
      </c>
      <c r="G42" s="188">
        <f t="shared" si="5"/>
        <v>1114.5652558880822</v>
      </c>
      <c r="H42" s="188">
        <f t="shared" si="5"/>
        <v>1019.0720736674341</v>
      </c>
      <c r="I42" s="188">
        <f t="shared" si="5"/>
        <v>906.61413139720207</v>
      </c>
      <c r="J42" s="188">
        <f t="shared" si="5"/>
        <v>1219.1824154432638</v>
      </c>
      <c r="K42" s="188">
        <f t="shared" si="5"/>
        <v>1016.8302376510666</v>
      </c>
      <c r="L42" s="188">
        <f t="shared" si="5"/>
        <v>1094.5899910779463</v>
      </c>
      <c r="M42" s="188">
        <f t="shared" si="5"/>
        <v>1067.3371725200745</v>
      </c>
      <c r="N42" s="188">
        <f>SUM(B42:M42)</f>
        <v>12724.077588960814</v>
      </c>
    </row>
    <row r="43" spans="1:29">
      <c r="A43" s="182"/>
    </row>
    <row r="44" spans="1:29">
      <c r="A44" s="182" t="s">
        <v>382</v>
      </c>
      <c r="B44" s="188">
        <v>4302</v>
      </c>
      <c r="C44" s="188">
        <v>3434</v>
      </c>
      <c r="D44" s="188">
        <v>3365</v>
      </c>
      <c r="E44" s="188">
        <v>2425</v>
      </c>
      <c r="F44" s="188">
        <v>3876</v>
      </c>
      <c r="G44" s="188">
        <v>4111</v>
      </c>
      <c r="H44" s="188">
        <v>6507</v>
      </c>
      <c r="I44" s="188">
        <v>5315</v>
      </c>
      <c r="J44" s="188">
        <v>7013</v>
      </c>
      <c r="K44" s="188">
        <v>5181</v>
      </c>
      <c r="L44" s="188">
        <v>3104</v>
      </c>
      <c r="M44" s="188">
        <v>2486</v>
      </c>
      <c r="N44" s="188">
        <f>SUM(B44:M44)</f>
        <v>51119</v>
      </c>
      <c r="O44" s="189"/>
      <c r="P44" s="189"/>
      <c r="Q44" s="189"/>
      <c r="R44" s="189"/>
      <c r="S44" s="189"/>
      <c r="T44" s="189"/>
      <c r="U44" s="189"/>
      <c r="V44" s="189"/>
      <c r="W44" s="189"/>
      <c r="X44" s="189"/>
      <c r="Y44" s="189"/>
      <c r="Z44" s="189"/>
    </row>
    <row r="45" spans="1:29">
      <c r="A45" s="182" t="s">
        <v>369</v>
      </c>
      <c r="B45" s="201">
        <v>33</v>
      </c>
      <c r="C45" s="201">
        <v>33</v>
      </c>
      <c r="D45" s="201">
        <v>33</v>
      </c>
      <c r="E45" s="201">
        <v>33</v>
      </c>
      <c r="F45" s="201">
        <v>33</v>
      </c>
      <c r="G45" s="201">
        <v>33</v>
      </c>
      <c r="H45" s="201">
        <v>33</v>
      </c>
      <c r="I45" s="201">
        <v>33</v>
      </c>
      <c r="J45" s="201">
        <v>33</v>
      </c>
      <c r="K45" s="201">
        <v>33</v>
      </c>
      <c r="L45" s="201">
        <v>33</v>
      </c>
      <c r="M45" s="201">
        <v>33</v>
      </c>
    </row>
    <row r="46" spans="1:29">
      <c r="A46" s="203" t="s">
        <v>383</v>
      </c>
      <c r="B46" s="204">
        <f t="shared" ref="B46:M46" si="6">B44/B45</f>
        <v>130.36363636363637</v>
      </c>
      <c r="C46" s="204">
        <f t="shared" si="6"/>
        <v>104.06060606060606</v>
      </c>
      <c r="D46" s="204">
        <f t="shared" si="6"/>
        <v>101.96969696969697</v>
      </c>
      <c r="E46" s="204">
        <f t="shared" si="6"/>
        <v>73.484848484848484</v>
      </c>
      <c r="F46" s="204">
        <f t="shared" si="6"/>
        <v>117.45454545454545</v>
      </c>
      <c r="G46" s="204">
        <f t="shared" si="6"/>
        <v>124.57575757575758</v>
      </c>
      <c r="H46" s="204">
        <f t="shared" si="6"/>
        <v>197.18181818181819</v>
      </c>
      <c r="I46" s="204">
        <f t="shared" si="6"/>
        <v>161.06060606060606</v>
      </c>
      <c r="J46" s="204">
        <f t="shared" si="6"/>
        <v>212.5151515151515</v>
      </c>
      <c r="K46" s="204">
        <f t="shared" si="6"/>
        <v>157</v>
      </c>
      <c r="L46" s="204">
        <f t="shared" si="6"/>
        <v>94.060606060606062</v>
      </c>
      <c r="M46" s="204">
        <f t="shared" si="6"/>
        <v>75.333333333333329</v>
      </c>
      <c r="N46" s="204">
        <f>SUM(B46:M46)</f>
        <v>1549.060606060606</v>
      </c>
      <c r="O46" s="189"/>
    </row>
    <row r="47" spans="1:29">
      <c r="A47" s="182"/>
    </row>
    <row r="48" spans="1:29">
      <c r="A48" s="182" t="s">
        <v>384</v>
      </c>
      <c r="B48" s="205">
        <v>154575.72</v>
      </c>
      <c r="C48" s="205">
        <v>175313.51</v>
      </c>
      <c r="D48" s="205">
        <v>66561.72</v>
      </c>
      <c r="E48" s="205">
        <v>109176.4</v>
      </c>
      <c r="F48" s="205">
        <v>189279.3</v>
      </c>
      <c r="G48" s="205">
        <v>166662.31</v>
      </c>
      <c r="H48" s="205">
        <v>207409.16</v>
      </c>
      <c r="I48" s="205">
        <v>171069.61</v>
      </c>
      <c r="J48" s="205">
        <v>162731.34</v>
      </c>
      <c r="K48" s="205">
        <v>213347.31</v>
      </c>
      <c r="L48" s="205">
        <v>331654.71000000002</v>
      </c>
      <c r="M48" s="205">
        <v>216364</v>
      </c>
      <c r="N48" s="190">
        <f>SUM(B48:M48)</f>
        <v>2164145.09</v>
      </c>
      <c r="O48" s="327"/>
      <c r="P48" s="189"/>
      <c r="Q48" s="189"/>
      <c r="R48" s="189"/>
      <c r="S48" s="189"/>
      <c r="T48" s="189"/>
      <c r="U48" s="189"/>
      <c r="V48" s="189"/>
      <c r="W48" s="189"/>
      <c r="X48" s="189"/>
      <c r="Y48" s="189"/>
      <c r="Z48" s="189"/>
      <c r="AA48" s="189"/>
      <c r="AB48" s="189"/>
      <c r="AC48" s="189"/>
    </row>
    <row r="49" spans="1:16">
      <c r="A49" s="182" t="s">
        <v>378</v>
      </c>
      <c r="B49" s="183">
        <v>13.64</v>
      </c>
      <c r="C49" s="183">
        <v>13.64</v>
      </c>
      <c r="D49" s="183">
        <v>13.64</v>
      </c>
      <c r="E49" s="183">
        <v>13.64</v>
      </c>
      <c r="F49" s="183">
        <v>13.64</v>
      </c>
      <c r="G49" s="183">
        <v>13.64</v>
      </c>
      <c r="H49" s="183">
        <v>13.64</v>
      </c>
      <c r="I49" s="183">
        <v>13.64</v>
      </c>
      <c r="J49" s="202">
        <v>13.8</v>
      </c>
      <c r="K49" s="202">
        <v>13.8</v>
      </c>
      <c r="L49" s="202">
        <v>13.8</v>
      </c>
      <c r="M49" s="202">
        <v>13.8</v>
      </c>
    </row>
    <row r="50" spans="1:16">
      <c r="A50" s="206" t="s">
        <v>385</v>
      </c>
      <c r="B50" s="207">
        <f t="shared" ref="B50:M50" si="7">B48/B49</f>
        <v>11332.530791788857</v>
      </c>
      <c r="C50" s="207">
        <f t="shared" si="7"/>
        <v>12852.896627565982</v>
      </c>
      <c r="D50" s="207">
        <f t="shared" si="7"/>
        <v>4879.8914956011731</v>
      </c>
      <c r="E50" s="207">
        <f t="shared" si="7"/>
        <v>8004.1348973607028</v>
      </c>
      <c r="F50" s="207">
        <f t="shared" si="7"/>
        <v>13876.781524926684</v>
      </c>
      <c r="G50" s="207">
        <f t="shared" si="7"/>
        <v>12218.644428152493</v>
      </c>
      <c r="H50" s="207">
        <f t="shared" si="7"/>
        <v>15205.950146627565</v>
      </c>
      <c r="I50" s="207">
        <f t="shared" si="7"/>
        <v>12541.760263929616</v>
      </c>
      <c r="J50" s="207">
        <f t="shared" si="7"/>
        <v>11792.126086956521</v>
      </c>
      <c r="K50" s="207">
        <f t="shared" si="7"/>
        <v>15459.949999999999</v>
      </c>
      <c r="L50" s="207">
        <f t="shared" si="7"/>
        <v>24032.95</v>
      </c>
      <c r="M50" s="207">
        <f t="shared" si="7"/>
        <v>15678.55072463768</v>
      </c>
      <c r="N50" s="208"/>
    </row>
    <row r="51" spans="1:16">
      <c r="A51" s="182"/>
      <c r="J51" s="202"/>
      <c r="K51" s="202"/>
      <c r="L51" s="202"/>
      <c r="M51" s="202"/>
    </row>
    <row r="52" spans="1:16" s="326" customFormat="1">
      <c r="A52" s="182" t="s">
        <v>386</v>
      </c>
      <c r="B52" s="187">
        <f t="shared" ref="B52:M52" si="8">B40+B44+B48</f>
        <v>279171.71999999997</v>
      </c>
      <c r="C52" s="187">
        <f t="shared" si="8"/>
        <v>294936.51</v>
      </c>
      <c r="D52" s="187">
        <f t="shared" si="8"/>
        <v>188964.72</v>
      </c>
      <c r="E52" s="187">
        <f t="shared" si="8"/>
        <v>229736.4</v>
      </c>
      <c r="F52" s="187">
        <f t="shared" si="8"/>
        <v>316487.3</v>
      </c>
      <c r="G52" s="187">
        <f t="shared" si="8"/>
        <v>296652.31</v>
      </c>
      <c r="H52" s="187">
        <f t="shared" si="8"/>
        <v>329010.16000000003</v>
      </c>
      <c r="I52" s="187">
        <f t="shared" si="8"/>
        <v>278777.61</v>
      </c>
      <c r="J52" s="187">
        <f t="shared" si="8"/>
        <v>320057.33999999997</v>
      </c>
      <c r="K52" s="187">
        <f t="shared" si="8"/>
        <v>343893.31</v>
      </c>
      <c r="L52" s="187">
        <f t="shared" si="8"/>
        <v>469710.71</v>
      </c>
      <c r="M52" s="187">
        <f t="shared" si="8"/>
        <v>350442</v>
      </c>
      <c r="N52" s="209">
        <f>SUM(B52:M52)</f>
        <v>3697840.09</v>
      </c>
      <c r="O52" s="354"/>
      <c r="P52" s="353">
        <f>N40+N44+N48</f>
        <v>3697840.09</v>
      </c>
    </row>
    <row r="53" spans="1:16" s="326" customFormat="1">
      <c r="A53" s="182"/>
      <c r="B53" s="182"/>
      <c r="C53" s="182"/>
      <c r="D53" s="182"/>
      <c r="E53" s="182"/>
      <c r="F53" s="182"/>
      <c r="G53" s="182"/>
      <c r="H53" s="182"/>
      <c r="I53" s="182"/>
      <c r="J53" s="182"/>
      <c r="K53" s="182"/>
      <c r="L53" s="182"/>
      <c r="M53" s="182"/>
      <c r="N53" s="182"/>
    </row>
    <row r="54" spans="1:16" s="326" customFormat="1">
      <c r="A54" s="182" t="s">
        <v>372</v>
      </c>
      <c r="B54" s="187">
        <f t="shared" ref="B54:M54" si="9">B42+B46+B50</f>
        <v>12528.008648092284</v>
      </c>
      <c r="C54" s="187">
        <f t="shared" si="9"/>
        <v>13985.724720787914</v>
      </c>
      <c r="D54" s="187">
        <f t="shared" si="9"/>
        <v>6035.8544633341071</v>
      </c>
      <c r="E54" s="187">
        <f t="shared" si="9"/>
        <v>9123.6176208234156</v>
      </c>
      <c r="F54" s="187">
        <f t="shared" si="9"/>
        <v>15086.249528854756</v>
      </c>
      <c r="G54" s="187">
        <f t="shared" si="9"/>
        <v>13457.785441616332</v>
      </c>
      <c r="H54" s="187">
        <f t="shared" si="9"/>
        <v>16422.204038476819</v>
      </c>
      <c r="I54" s="187">
        <f t="shared" si="9"/>
        <v>13609.435001387425</v>
      </c>
      <c r="J54" s="187">
        <f t="shared" si="9"/>
        <v>13223.823653914937</v>
      </c>
      <c r="K54" s="187">
        <f t="shared" si="9"/>
        <v>16633.780237651066</v>
      </c>
      <c r="L54" s="187">
        <f t="shared" si="9"/>
        <v>25221.600597138553</v>
      </c>
      <c r="M54" s="187">
        <f t="shared" si="9"/>
        <v>16821.221230491086</v>
      </c>
      <c r="N54" s="187">
        <f>SUM(B54:M54)</f>
        <v>172149.3051825687</v>
      </c>
      <c r="O54" s="199"/>
    </row>
    <row r="55" spans="1:16">
      <c r="A55" s="182"/>
      <c r="B55" s="188"/>
      <c r="C55" s="188"/>
      <c r="D55" s="188"/>
      <c r="E55" s="188"/>
      <c r="F55" s="188"/>
      <c r="G55" s="188"/>
      <c r="H55" s="188"/>
      <c r="I55" s="188"/>
      <c r="J55" s="188"/>
      <c r="K55" s="188"/>
      <c r="L55" s="188"/>
      <c r="M55" s="188"/>
      <c r="N55" s="188"/>
      <c r="O55" s="189"/>
    </row>
    <row r="56" spans="1:16">
      <c r="A56" s="182"/>
      <c r="B56" s="188"/>
      <c r="C56" s="188"/>
      <c r="D56" s="188"/>
      <c r="E56" s="188"/>
      <c r="F56" s="188"/>
      <c r="G56" s="188"/>
      <c r="H56" s="188"/>
      <c r="I56" s="188"/>
      <c r="J56" s="188"/>
      <c r="K56" s="188"/>
      <c r="L56" s="188"/>
      <c r="M56" s="188"/>
      <c r="N56" s="188"/>
      <c r="O56" s="189"/>
    </row>
    <row r="57" spans="1:16" s="326" customFormat="1">
      <c r="A57" s="182" t="s">
        <v>373</v>
      </c>
      <c r="B57" s="187">
        <f t="shared" ref="B57:M57" si="10">B29-B52</f>
        <v>397656.28</v>
      </c>
      <c r="C57" s="187">
        <f t="shared" si="10"/>
        <v>358689.49</v>
      </c>
      <c r="D57" s="187">
        <f t="shared" si="10"/>
        <v>390774.28</v>
      </c>
      <c r="E57" s="187">
        <f t="shared" si="10"/>
        <v>322451.59999999998</v>
      </c>
      <c r="F57" s="187">
        <f t="shared" si="10"/>
        <v>355521.7</v>
      </c>
      <c r="G57" s="187">
        <f t="shared" si="10"/>
        <v>371838.69</v>
      </c>
      <c r="H57" s="187">
        <f t="shared" si="10"/>
        <v>317770.83999999997</v>
      </c>
      <c r="I57" s="187">
        <f t="shared" si="10"/>
        <v>337165.39</v>
      </c>
      <c r="J57" s="187">
        <f t="shared" si="10"/>
        <v>423146.30000000005</v>
      </c>
      <c r="K57" s="187">
        <f t="shared" si="10"/>
        <v>374464.69</v>
      </c>
      <c r="L57" s="187">
        <f t="shared" si="10"/>
        <v>418228.29</v>
      </c>
      <c r="M57" s="187">
        <f t="shared" si="10"/>
        <v>417483</v>
      </c>
      <c r="N57" s="209">
        <f>SUM(B57:M57)</f>
        <v>4485190.5500000007</v>
      </c>
      <c r="O57" s="354"/>
      <c r="P57" s="354">
        <f>N52+N57</f>
        <v>8183030.6400000006</v>
      </c>
    </row>
    <row r="58" spans="1:16">
      <c r="A58" s="182"/>
      <c r="B58" s="188"/>
      <c r="C58" s="188"/>
      <c r="D58" s="188"/>
      <c r="E58" s="188"/>
      <c r="F58" s="188"/>
      <c r="G58" s="188"/>
      <c r="H58" s="188"/>
      <c r="I58" s="188"/>
      <c r="J58" s="188"/>
      <c r="K58" s="188"/>
      <c r="L58" s="188"/>
      <c r="M58" s="188"/>
      <c r="N58" s="190"/>
      <c r="O58" s="327"/>
    </row>
    <row r="59" spans="1:16">
      <c r="A59" s="182" t="s">
        <v>387</v>
      </c>
      <c r="B59" s="188">
        <v>336092</v>
      </c>
      <c r="C59" s="188">
        <v>304611</v>
      </c>
      <c r="D59" s="188">
        <v>335972</v>
      </c>
      <c r="E59" s="188">
        <v>264891</v>
      </c>
      <c r="F59" s="188">
        <v>294980</v>
      </c>
      <c r="G59" s="188">
        <v>310760</v>
      </c>
      <c r="H59" s="188">
        <v>262341</v>
      </c>
      <c r="I59" s="188">
        <v>288256</v>
      </c>
      <c r="J59" s="188">
        <v>357813</v>
      </c>
      <c r="K59" s="188">
        <v>314469</v>
      </c>
      <c r="L59" s="188">
        <v>354370</v>
      </c>
      <c r="M59" s="188">
        <v>354032</v>
      </c>
      <c r="N59" s="190">
        <f>SUM(B59:M59)</f>
        <v>3778587</v>
      </c>
      <c r="O59" s="327"/>
    </row>
    <row r="60" spans="1:16">
      <c r="A60" s="182" t="s">
        <v>369</v>
      </c>
      <c r="B60" s="183">
        <v>112.94</v>
      </c>
      <c r="C60" s="183">
        <v>112.94</v>
      </c>
      <c r="D60" s="183">
        <v>112.94</v>
      </c>
      <c r="E60" s="183">
        <v>112.94</v>
      </c>
      <c r="F60" s="183">
        <v>112.94</v>
      </c>
      <c r="G60" s="183">
        <v>112.94</v>
      </c>
      <c r="H60" s="183">
        <v>112.94</v>
      </c>
      <c r="I60" s="183">
        <v>112.94</v>
      </c>
      <c r="J60" s="183">
        <v>123.29</v>
      </c>
      <c r="K60" s="183">
        <v>123.29</v>
      </c>
      <c r="L60" s="183">
        <v>123.29</v>
      </c>
      <c r="M60" s="183">
        <v>123.29</v>
      </c>
    </row>
    <row r="61" spans="1:16" s="189" customFormat="1">
      <c r="A61" s="187" t="s">
        <v>388</v>
      </c>
      <c r="B61" s="188">
        <f t="shared" ref="B61:M61" si="11">B59/B60</f>
        <v>2975.8455817248096</v>
      </c>
      <c r="C61" s="188">
        <f t="shared" si="11"/>
        <v>2697.1046573401809</v>
      </c>
      <c r="D61" s="188">
        <f t="shared" si="11"/>
        <v>2974.7830706569862</v>
      </c>
      <c r="E61" s="188">
        <f t="shared" si="11"/>
        <v>2345.4134938905613</v>
      </c>
      <c r="F61" s="188">
        <f t="shared" si="11"/>
        <v>2611.8292898884365</v>
      </c>
      <c r="G61" s="188">
        <f t="shared" si="11"/>
        <v>2751.549495307243</v>
      </c>
      <c r="H61" s="188">
        <f t="shared" si="11"/>
        <v>2322.8351336993096</v>
      </c>
      <c r="I61" s="188">
        <f t="shared" si="11"/>
        <v>2552.2932530547196</v>
      </c>
      <c r="J61" s="188">
        <f t="shared" si="11"/>
        <v>2902.2061805499229</v>
      </c>
      <c r="K61" s="188">
        <f t="shared" si="11"/>
        <v>2550.644821153378</v>
      </c>
      <c r="L61" s="188">
        <f t="shared" si="11"/>
        <v>2874.2801524860083</v>
      </c>
      <c r="M61" s="188">
        <f t="shared" si="11"/>
        <v>2871.5386487144128</v>
      </c>
      <c r="N61" s="188">
        <f>SUM(B61:M61)</f>
        <v>32430.323778465965</v>
      </c>
    </row>
    <row r="62" spans="1:16">
      <c r="A62" s="182"/>
      <c r="B62" s="188"/>
      <c r="C62" s="188"/>
      <c r="D62" s="188"/>
      <c r="E62" s="188"/>
      <c r="F62" s="188"/>
      <c r="G62" s="188"/>
      <c r="H62" s="188"/>
      <c r="I62" s="188"/>
      <c r="J62" s="188"/>
      <c r="K62" s="188"/>
      <c r="L62" s="188"/>
      <c r="M62" s="188"/>
    </row>
    <row r="63" spans="1:16">
      <c r="A63" s="183" t="s">
        <v>389</v>
      </c>
      <c r="B63" s="188">
        <v>61564</v>
      </c>
      <c r="C63" s="188">
        <v>54078</v>
      </c>
      <c r="D63" s="188">
        <v>54802</v>
      </c>
      <c r="E63" s="188">
        <v>57561</v>
      </c>
      <c r="F63" s="188">
        <v>60542</v>
      </c>
      <c r="G63" s="188">
        <v>61079</v>
      </c>
      <c r="H63" s="188">
        <v>55430</v>
      </c>
      <c r="I63" s="188">
        <v>48909</v>
      </c>
      <c r="J63" s="188">
        <v>65333</v>
      </c>
      <c r="K63" s="188">
        <v>59996</v>
      </c>
      <c r="L63" s="188">
        <v>63858</v>
      </c>
      <c r="M63" s="188">
        <v>63451</v>
      </c>
      <c r="N63" s="190">
        <f>SUM(B63:M63)</f>
        <v>706603</v>
      </c>
      <c r="O63" s="327"/>
    </row>
    <row r="64" spans="1:16">
      <c r="A64" s="182" t="s">
        <v>369</v>
      </c>
      <c r="B64" s="202">
        <v>33</v>
      </c>
      <c r="C64" s="202">
        <v>33</v>
      </c>
      <c r="D64" s="202">
        <v>33</v>
      </c>
      <c r="E64" s="202">
        <v>33</v>
      </c>
      <c r="F64" s="202">
        <v>33</v>
      </c>
      <c r="G64" s="202">
        <v>33</v>
      </c>
      <c r="H64" s="202">
        <v>33</v>
      </c>
      <c r="I64" s="202">
        <v>33</v>
      </c>
      <c r="J64" s="202">
        <v>33</v>
      </c>
      <c r="K64" s="202">
        <v>33</v>
      </c>
      <c r="L64" s="202">
        <v>33</v>
      </c>
      <c r="M64" s="202">
        <v>33</v>
      </c>
      <c r="N64" s="202"/>
      <c r="O64" s="356"/>
    </row>
    <row r="65" spans="1:16">
      <c r="A65" s="203" t="s">
        <v>390</v>
      </c>
      <c r="B65" s="204">
        <f t="shared" ref="B65:M65" si="12">B63/B64</f>
        <v>1865.5757575757575</v>
      </c>
      <c r="C65" s="204">
        <f t="shared" si="12"/>
        <v>1638.7272727272727</v>
      </c>
      <c r="D65" s="204">
        <f t="shared" si="12"/>
        <v>1660.6666666666667</v>
      </c>
      <c r="E65" s="204">
        <f t="shared" si="12"/>
        <v>1744.2727272727273</v>
      </c>
      <c r="F65" s="204">
        <f t="shared" si="12"/>
        <v>1834.6060606060605</v>
      </c>
      <c r="G65" s="204">
        <f t="shared" si="12"/>
        <v>1850.878787878788</v>
      </c>
      <c r="H65" s="204">
        <f t="shared" si="12"/>
        <v>1679.6969696969697</v>
      </c>
      <c r="I65" s="204">
        <f t="shared" si="12"/>
        <v>1482.090909090909</v>
      </c>
      <c r="J65" s="204">
        <f t="shared" si="12"/>
        <v>1979.7878787878788</v>
      </c>
      <c r="K65" s="204">
        <f t="shared" si="12"/>
        <v>1818.060606060606</v>
      </c>
      <c r="L65" s="204">
        <f t="shared" si="12"/>
        <v>1935.090909090909</v>
      </c>
      <c r="M65" s="204">
        <f t="shared" si="12"/>
        <v>1922.7575757575758</v>
      </c>
      <c r="N65" s="204">
        <f>SUM(B65:M65)</f>
        <v>21412.21212121212</v>
      </c>
      <c r="O65" s="189"/>
    </row>
    <row r="66" spans="1:16">
      <c r="A66" s="183" t="s">
        <v>391</v>
      </c>
      <c r="B66" s="188">
        <f t="shared" ref="B66:M66" si="13">B59+B63-B57</f>
        <v>-0.28000000002793968</v>
      </c>
      <c r="C66" s="188">
        <f t="shared" si="13"/>
        <v>-0.48999999999068677</v>
      </c>
      <c r="D66" s="188">
        <f t="shared" si="13"/>
        <v>-0.28000000002793968</v>
      </c>
      <c r="E66" s="188">
        <f t="shared" si="13"/>
        <v>0.40000000002328306</v>
      </c>
      <c r="F66" s="188">
        <f t="shared" si="13"/>
        <v>0.29999999998835847</v>
      </c>
      <c r="G66" s="188">
        <f t="shared" si="13"/>
        <v>0.30999999999767169</v>
      </c>
      <c r="H66" s="188">
        <f t="shared" si="13"/>
        <v>0.16000000003259629</v>
      </c>
      <c r="I66" s="188">
        <f t="shared" si="13"/>
        <v>-0.39000000001396984</v>
      </c>
      <c r="J66" s="188">
        <f t="shared" si="13"/>
        <v>-0.30000000004656613</v>
      </c>
      <c r="K66" s="188">
        <f t="shared" si="13"/>
        <v>0.30999999999767169</v>
      </c>
      <c r="L66" s="188">
        <f t="shared" si="13"/>
        <v>-0.28999999997904524</v>
      </c>
      <c r="M66" s="188">
        <f t="shared" si="13"/>
        <v>0</v>
      </c>
      <c r="N66" s="188"/>
      <c r="O66" s="189"/>
      <c r="P66" s="189"/>
    </row>
    <row r="67" spans="1:16">
      <c r="A67" s="195"/>
      <c r="B67" s="196"/>
      <c r="C67" s="196"/>
      <c r="D67" s="196"/>
      <c r="E67" s="196"/>
      <c r="F67" s="196"/>
      <c r="G67" s="196"/>
      <c r="H67" s="196"/>
      <c r="I67" s="196"/>
      <c r="J67" s="196"/>
      <c r="K67" s="196"/>
      <c r="L67" s="196"/>
      <c r="M67" s="196"/>
      <c r="N67" s="197"/>
    </row>
    <row r="68" spans="1:16">
      <c r="A68" s="182"/>
      <c r="B68" s="188"/>
      <c r="C68" s="188"/>
      <c r="D68" s="188"/>
      <c r="E68" s="188"/>
      <c r="F68" s="188"/>
      <c r="G68" s="188"/>
      <c r="H68" s="188"/>
      <c r="I68" s="188"/>
      <c r="J68" s="188"/>
      <c r="K68" s="188"/>
      <c r="L68" s="188"/>
      <c r="M68" s="188"/>
    </row>
    <row r="69" spans="1:16" s="337" customFormat="1">
      <c r="A69" s="193"/>
      <c r="B69" s="210"/>
      <c r="C69" s="210"/>
      <c r="D69" s="210"/>
      <c r="E69" s="210"/>
      <c r="F69" s="210"/>
      <c r="G69" s="210"/>
      <c r="H69" s="210"/>
      <c r="I69" s="210"/>
      <c r="J69" s="210"/>
      <c r="K69" s="210"/>
      <c r="L69" s="210"/>
      <c r="M69" s="210"/>
      <c r="N69" s="194"/>
    </row>
    <row r="70" spans="1:16" s="337" customFormat="1">
      <c r="A70" s="211" t="s">
        <v>392</v>
      </c>
      <c r="B70" s="212"/>
      <c r="C70" s="212"/>
      <c r="D70" s="212"/>
      <c r="E70" s="212"/>
      <c r="F70" s="210"/>
      <c r="G70" s="210"/>
      <c r="H70" s="210"/>
      <c r="I70" s="210"/>
      <c r="J70" s="210"/>
      <c r="K70" s="210"/>
      <c r="L70" s="210"/>
      <c r="M70" s="210"/>
      <c r="N70" s="194"/>
    </row>
    <row r="71" spans="1:16" s="337" customFormat="1">
      <c r="A71" s="212"/>
      <c r="B71" s="212"/>
      <c r="C71" s="212"/>
      <c r="D71" s="212"/>
      <c r="E71" s="212"/>
      <c r="F71" s="210"/>
      <c r="G71" s="210"/>
      <c r="H71" s="210"/>
      <c r="I71" s="210"/>
      <c r="J71" s="210"/>
      <c r="K71" s="210"/>
      <c r="L71" s="210"/>
      <c r="M71" s="210"/>
      <c r="N71" s="194"/>
    </row>
    <row r="72" spans="1:16" s="337" customFormat="1">
      <c r="A72" s="212"/>
      <c r="B72" s="212"/>
      <c r="C72" s="212"/>
      <c r="D72" s="212"/>
      <c r="E72" s="212"/>
      <c r="F72" s="210"/>
      <c r="G72" s="210"/>
      <c r="H72" s="210"/>
      <c r="I72" s="210"/>
      <c r="J72" s="210"/>
      <c r="K72" s="210"/>
      <c r="L72" s="210"/>
      <c r="M72" s="210"/>
      <c r="N72" s="194"/>
    </row>
    <row r="73" spans="1:16" s="337" customFormat="1">
      <c r="A73" s="211" t="s">
        <v>393</v>
      </c>
      <c r="B73" s="213" t="s">
        <v>394</v>
      </c>
      <c r="C73" s="213" t="s">
        <v>395</v>
      </c>
      <c r="D73" s="213" t="s">
        <v>396</v>
      </c>
      <c r="E73" s="213" t="s">
        <v>366</v>
      </c>
      <c r="F73" s="210"/>
      <c r="G73" s="210"/>
      <c r="H73" s="210"/>
      <c r="I73" s="210"/>
      <c r="J73" s="210"/>
      <c r="K73" s="210"/>
      <c r="L73" s="210"/>
      <c r="M73" s="210"/>
      <c r="N73" s="194"/>
    </row>
    <row r="74" spans="1:16" s="337" customFormat="1">
      <c r="A74" s="211" t="s">
        <v>397</v>
      </c>
      <c r="B74" s="213" t="s">
        <v>398</v>
      </c>
      <c r="C74" s="213" t="s">
        <v>398</v>
      </c>
      <c r="D74" s="213" t="s">
        <v>398</v>
      </c>
      <c r="E74" s="213" t="s">
        <v>398</v>
      </c>
      <c r="F74" s="210"/>
      <c r="G74" s="210"/>
      <c r="H74" s="210"/>
      <c r="I74" s="210"/>
      <c r="J74" s="210"/>
      <c r="K74" s="210"/>
      <c r="L74" s="210"/>
      <c r="M74" s="210"/>
      <c r="N74" s="194"/>
    </row>
    <row r="75" spans="1:16" s="337" customFormat="1">
      <c r="A75" s="214" t="s">
        <v>399</v>
      </c>
      <c r="B75" s="215">
        <v>2384.4699999999998</v>
      </c>
      <c r="C75" s="215">
        <v>3607.39</v>
      </c>
      <c r="D75" s="215">
        <v>998.03</v>
      </c>
      <c r="E75" s="215">
        <f>SUM(B75:D75)</f>
        <v>6989.8899999999994</v>
      </c>
      <c r="F75" s="216">
        <f t="shared" ref="F75:F85" si="14">E75*2.43</f>
        <v>16985.432700000001</v>
      </c>
      <c r="G75" s="217"/>
      <c r="H75" s="217"/>
      <c r="I75" s="217"/>
      <c r="J75" s="217"/>
      <c r="K75" s="217"/>
      <c r="L75" s="217"/>
      <c r="M75" s="217"/>
      <c r="N75" s="210"/>
      <c r="O75" s="357"/>
    </row>
    <row r="76" spans="1:16" s="337" customFormat="1">
      <c r="A76" s="214" t="s">
        <v>400</v>
      </c>
      <c r="B76" s="215">
        <v>2407.25</v>
      </c>
      <c r="C76" s="215">
        <v>3567.19</v>
      </c>
      <c r="D76" s="215">
        <v>1019.52</v>
      </c>
      <c r="E76" s="215">
        <f t="shared" ref="E76:E86" si="15">SUM(B76:D76)</f>
        <v>6993.9600000000009</v>
      </c>
      <c r="F76" s="216">
        <f t="shared" si="14"/>
        <v>16995.322800000002</v>
      </c>
      <c r="G76" s="217"/>
      <c r="H76" s="217"/>
      <c r="I76" s="217"/>
      <c r="J76" s="217"/>
      <c r="K76" s="217"/>
      <c r="L76" s="217"/>
      <c r="M76" s="217"/>
      <c r="N76" s="210"/>
      <c r="O76" s="357"/>
    </row>
    <row r="77" spans="1:16" s="337" customFormat="1">
      <c r="A77" s="214" t="s">
        <v>401</v>
      </c>
      <c r="B77" s="215">
        <v>2441.25</v>
      </c>
      <c r="C77" s="215">
        <v>3716.75</v>
      </c>
      <c r="D77" s="215">
        <v>1334.37</v>
      </c>
      <c r="E77" s="215">
        <f t="shared" si="15"/>
        <v>7492.37</v>
      </c>
      <c r="F77" s="216">
        <f t="shared" si="14"/>
        <v>18206.4591</v>
      </c>
      <c r="G77" s="217"/>
      <c r="H77" s="217"/>
      <c r="I77" s="217"/>
      <c r="J77" s="217"/>
      <c r="K77" s="217"/>
      <c r="L77" s="217"/>
      <c r="M77" s="217"/>
      <c r="N77" s="217"/>
      <c r="O77" s="217"/>
    </row>
    <row r="78" spans="1:16" s="337" customFormat="1">
      <c r="A78" s="214" t="s">
        <v>402</v>
      </c>
      <c r="B78" s="215">
        <v>2287.98</v>
      </c>
      <c r="C78" s="215">
        <v>3519.07</v>
      </c>
      <c r="D78" s="215">
        <v>1447.12</v>
      </c>
      <c r="E78" s="215">
        <f t="shared" si="15"/>
        <v>7254.17</v>
      </c>
      <c r="F78" s="216">
        <f t="shared" si="14"/>
        <v>17627.633100000003</v>
      </c>
      <c r="G78" s="218"/>
      <c r="H78" s="218"/>
      <c r="I78" s="218"/>
      <c r="J78" s="218"/>
      <c r="K78" s="218"/>
      <c r="L78" s="218"/>
      <c r="M78" s="218"/>
      <c r="N78" s="194"/>
    </row>
    <row r="79" spans="1:16">
      <c r="A79" s="214" t="s">
        <v>403</v>
      </c>
      <c r="B79" s="215">
        <v>2471.94</v>
      </c>
      <c r="C79" s="215">
        <v>3678.54</v>
      </c>
      <c r="D79" s="215">
        <v>1503.57</v>
      </c>
      <c r="E79" s="215">
        <f t="shared" si="15"/>
        <v>7654.0499999999993</v>
      </c>
      <c r="F79" s="216">
        <f t="shared" si="14"/>
        <v>18599.341499999999</v>
      </c>
      <c r="G79" s="216"/>
      <c r="H79" s="216"/>
      <c r="I79" s="216"/>
      <c r="J79" s="219"/>
      <c r="K79" s="216"/>
      <c r="L79" s="216"/>
      <c r="M79" s="216"/>
      <c r="N79" s="188"/>
      <c r="O79" s="189"/>
    </row>
    <row r="80" spans="1:16">
      <c r="A80" s="214" t="s">
        <v>404</v>
      </c>
      <c r="B80" s="215">
        <v>2664.16</v>
      </c>
      <c r="C80" s="215">
        <v>3770.91</v>
      </c>
      <c r="D80" s="215">
        <v>1621.82</v>
      </c>
      <c r="E80" s="215">
        <f t="shared" si="15"/>
        <v>8056.8899999999994</v>
      </c>
      <c r="F80" s="216">
        <f t="shared" si="14"/>
        <v>19578.242699999999</v>
      </c>
      <c r="G80" s="216"/>
      <c r="H80" s="216"/>
      <c r="I80" s="216"/>
      <c r="J80" s="216"/>
      <c r="K80" s="216"/>
      <c r="L80" s="216"/>
      <c r="M80" s="216"/>
    </row>
    <row r="81" spans="1:13">
      <c r="A81" s="214" t="s">
        <v>405</v>
      </c>
      <c r="B81" s="215">
        <v>2344.5700000000002</v>
      </c>
      <c r="C81" s="215">
        <v>3384.2</v>
      </c>
      <c r="D81" s="215">
        <v>1579.61</v>
      </c>
      <c r="E81" s="215">
        <f t="shared" si="15"/>
        <v>7308.38</v>
      </c>
      <c r="F81" s="216">
        <f t="shared" si="14"/>
        <v>17759.363400000002</v>
      </c>
      <c r="G81" s="216"/>
      <c r="H81" s="216"/>
      <c r="I81" s="216"/>
      <c r="J81" s="216"/>
      <c r="K81" s="216"/>
      <c r="L81" s="216"/>
      <c r="M81" s="216"/>
    </row>
    <row r="82" spans="1:13">
      <c r="A82" s="214" t="s">
        <v>406</v>
      </c>
      <c r="B82" s="215">
        <v>2162.4299999999998</v>
      </c>
      <c r="C82" s="215">
        <v>3125.98</v>
      </c>
      <c r="D82" s="215">
        <v>1403.98</v>
      </c>
      <c r="E82" s="215">
        <f t="shared" si="15"/>
        <v>6692.3899999999994</v>
      </c>
      <c r="F82" s="216">
        <f t="shared" si="14"/>
        <v>16262.5077</v>
      </c>
      <c r="G82" s="216"/>
      <c r="H82" s="216"/>
      <c r="I82" s="216"/>
      <c r="J82" s="216"/>
      <c r="K82" s="216"/>
      <c r="L82" s="216"/>
      <c r="M82" s="216"/>
    </row>
    <row r="83" spans="1:13">
      <c r="A83" s="214" t="s">
        <v>407</v>
      </c>
      <c r="B83" s="215">
        <v>2477.84</v>
      </c>
      <c r="C83" s="215">
        <v>3616.94</v>
      </c>
      <c r="D83" s="215">
        <v>1832.12</v>
      </c>
      <c r="E83" s="215">
        <f t="shared" si="15"/>
        <v>7926.9000000000005</v>
      </c>
      <c r="F83" s="216">
        <f t="shared" si="14"/>
        <v>19262.367000000002</v>
      </c>
      <c r="G83" s="220"/>
      <c r="H83" s="220"/>
      <c r="I83" s="220"/>
      <c r="J83" s="220"/>
      <c r="K83" s="220"/>
      <c r="L83" s="220"/>
      <c r="M83" s="220"/>
    </row>
    <row r="84" spans="1:13">
      <c r="A84" s="214" t="s">
        <v>408</v>
      </c>
      <c r="B84" s="215">
        <v>1953.32</v>
      </c>
      <c r="C84" s="215">
        <v>3582.07</v>
      </c>
      <c r="D84" s="215">
        <v>1669.62</v>
      </c>
      <c r="E84" s="215">
        <f t="shared" si="15"/>
        <v>7205.01</v>
      </c>
      <c r="F84" s="216">
        <f t="shared" si="14"/>
        <v>17508.174300000002</v>
      </c>
      <c r="G84" s="216"/>
      <c r="H84" s="216"/>
      <c r="I84" s="216"/>
      <c r="J84" s="216"/>
      <c r="K84" s="216"/>
      <c r="L84" s="216"/>
      <c r="M84" s="216"/>
    </row>
    <row r="85" spans="1:13">
      <c r="A85" s="214" t="s">
        <v>409</v>
      </c>
      <c r="B85" s="215">
        <v>2073.2399999999998</v>
      </c>
      <c r="C85" s="215">
        <v>3800.1</v>
      </c>
      <c r="D85" s="215">
        <v>1488.46</v>
      </c>
      <c r="E85" s="215">
        <f t="shared" si="15"/>
        <v>7361.8</v>
      </c>
      <c r="F85" s="216">
        <f t="shared" si="14"/>
        <v>17889.174000000003</v>
      </c>
      <c r="G85" s="216"/>
      <c r="H85" s="216"/>
      <c r="I85" s="216"/>
      <c r="J85" s="216"/>
      <c r="K85" s="216"/>
      <c r="L85" s="216"/>
      <c r="M85" s="216"/>
    </row>
    <row r="86" spans="1:13">
      <c r="A86" s="214" t="s">
        <v>410</v>
      </c>
      <c r="B86" s="215">
        <v>2194.56</v>
      </c>
      <c r="C86" s="215">
        <v>3913.16</v>
      </c>
      <c r="D86" s="215">
        <v>835.6</v>
      </c>
      <c r="E86" s="215">
        <f t="shared" si="15"/>
        <v>6943.32</v>
      </c>
      <c r="F86" s="216">
        <f>E86*2.43</f>
        <v>16872.267599999999</v>
      </c>
      <c r="G86" s="216"/>
      <c r="H86" s="216"/>
      <c r="I86" s="216"/>
      <c r="J86" s="216"/>
      <c r="K86" s="216"/>
      <c r="L86" s="216"/>
      <c r="M86" s="216"/>
    </row>
    <row r="87" spans="1:13">
      <c r="A87" s="214" t="s">
        <v>370</v>
      </c>
      <c r="B87" s="215">
        <f>SUM(B75:B86)</f>
        <v>27863.01</v>
      </c>
      <c r="C87" s="215">
        <f>SUM(C75:C86)</f>
        <v>43282.3</v>
      </c>
      <c r="D87" s="215">
        <f>SUM(D75:D86)</f>
        <v>16733.819999999996</v>
      </c>
      <c r="E87" s="215">
        <f>SUM(E75:E86)</f>
        <v>87879.13</v>
      </c>
      <c r="F87" s="220">
        <f>SUM(F75:F86)</f>
        <v>213546.28589999999</v>
      </c>
      <c r="G87" s="220"/>
      <c r="H87" s="220"/>
      <c r="I87" s="220"/>
      <c r="J87" s="220"/>
      <c r="K87" s="220"/>
      <c r="L87" s="220"/>
      <c r="M87" s="220"/>
    </row>
    <row r="88" spans="1:13">
      <c r="A88" s="212"/>
      <c r="B88" s="215"/>
      <c r="C88" s="215"/>
      <c r="D88" s="215"/>
      <c r="E88" s="212"/>
      <c r="F88" s="216"/>
      <c r="G88" s="216"/>
      <c r="H88" s="216"/>
      <c r="I88" s="216"/>
      <c r="J88" s="216"/>
      <c r="K88" s="216"/>
      <c r="L88" s="216"/>
      <c r="M88" s="216"/>
    </row>
    <row r="89" spans="1:13">
      <c r="A89" s="212"/>
      <c r="B89" s="221">
        <f>B87/E87</f>
        <v>0.31706060358130533</v>
      </c>
      <c r="C89" s="221">
        <f>C87/E87</f>
        <v>0.49252080670348014</v>
      </c>
      <c r="D89" s="221">
        <f>D87/E87</f>
        <v>0.19041858971521447</v>
      </c>
      <c r="E89" s="221">
        <f>SUM(B89:D89)</f>
        <v>1</v>
      </c>
      <c r="F89" s="222"/>
      <c r="G89" s="222"/>
      <c r="H89" s="222"/>
      <c r="I89" s="222"/>
      <c r="J89" s="222"/>
      <c r="K89" s="222"/>
      <c r="L89" s="222"/>
      <c r="M89" s="222"/>
    </row>
    <row r="90" spans="1:13">
      <c r="A90" s="223"/>
      <c r="B90" s="224"/>
      <c r="C90" s="224"/>
      <c r="D90" s="224"/>
      <c r="E90" s="224"/>
      <c r="F90" s="224"/>
      <c r="G90" s="224"/>
      <c r="H90" s="224"/>
      <c r="I90" s="224"/>
      <c r="J90" s="224"/>
      <c r="K90" s="224"/>
      <c r="L90" s="224"/>
      <c r="M90" s="224"/>
    </row>
    <row r="91" spans="1:13">
      <c r="A91" s="183" t="s">
        <v>411</v>
      </c>
      <c r="B91" s="216"/>
      <c r="C91" s="216"/>
      <c r="D91" s="216"/>
      <c r="E91" s="216"/>
      <c r="F91" s="216"/>
      <c r="G91" s="216"/>
      <c r="H91" s="216"/>
      <c r="I91" s="216"/>
      <c r="J91" s="216"/>
      <c r="K91" s="216"/>
      <c r="L91" s="216"/>
      <c r="M91" s="216"/>
    </row>
    <row r="92" spans="1:13">
      <c r="A92" s="183" t="s">
        <v>412</v>
      </c>
      <c r="B92" s="225">
        <v>162</v>
      </c>
      <c r="C92" s="216"/>
      <c r="D92" s="216"/>
      <c r="E92" s="216"/>
      <c r="F92" s="216"/>
      <c r="G92" s="216"/>
      <c r="H92" s="216"/>
      <c r="I92" s="216"/>
      <c r="J92" s="216"/>
      <c r="K92" s="216"/>
      <c r="L92" s="216"/>
      <c r="M92" s="216"/>
    </row>
    <row r="93" spans="1:13">
      <c r="B93" s="216"/>
      <c r="C93" s="216"/>
      <c r="D93" s="216"/>
      <c r="E93" s="216"/>
      <c r="F93" s="216"/>
      <c r="G93" s="216"/>
      <c r="H93" s="216"/>
      <c r="I93" s="216"/>
      <c r="J93" s="216"/>
      <c r="K93" s="216"/>
      <c r="L93" s="216"/>
      <c r="M93" s="216"/>
    </row>
    <row r="94" spans="1:13">
      <c r="B94" s="226">
        <v>2180</v>
      </c>
      <c r="C94" s="226">
        <v>2181</v>
      </c>
      <c r="D94" s="216"/>
      <c r="E94" s="216"/>
      <c r="F94" s="216"/>
      <c r="G94" s="216"/>
      <c r="H94" s="216"/>
      <c r="I94" s="216"/>
      <c r="J94" s="216"/>
      <c r="K94" s="216"/>
      <c r="L94" s="216"/>
      <c r="M94" s="216"/>
    </row>
    <row r="95" spans="1:13">
      <c r="A95" s="182"/>
    </row>
    <row r="96" spans="1:13">
      <c r="A96" s="227" t="s">
        <v>413</v>
      </c>
      <c r="B96" s="228">
        <f>B92*B89</f>
        <v>51.363817780171466</v>
      </c>
      <c r="C96" s="228">
        <f>B92*(C89+D89)</f>
        <v>110.63618221982853</v>
      </c>
      <c r="D96" s="228">
        <f>SUM(B96:C96)</f>
        <v>162</v>
      </c>
      <c r="E96" s="229"/>
      <c r="F96" s="229"/>
      <c r="G96" s="229"/>
      <c r="H96" s="229"/>
      <c r="I96" s="229"/>
      <c r="J96" s="229"/>
      <c r="K96" s="229"/>
      <c r="L96" s="229"/>
      <c r="M96" s="229"/>
    </row>
    <row r="97" spans="1:13">
      <c r="A97" s="230"/>
      <c r="B97" s="231"/>
      <c r="C97" s="231"/>
      <c r="D97" s="231"/>
      <c r="E97" s="231"/>
      <c r="F97" s="231"/>
      <c r="G97" s="231"/>
      <c r="H97" s="231"/>
      <c r="I97" s="231"/>
      <c r="J97" s="231"/>
      <c r="K97" s="231"/>
      <c r="L97" s="231"/>
      <c r="M97" s="231"/>
    </row>
    <row r="98" spans="1:13">
      <c r="A98" s="230"/>
      <c r="B98" s="217"/>
      <c r="C98" s="217"/>
      <c r="D98" s="217"/>
      <c r="E98" s="217"/>
      <c r="F98" s="217"/>
      <c r="G98" s="217"/>
      <c r="H98" s="217"/>
      <c r="I98" s="217"/>
      <c r="J98" s="217"/>
      <c r="K98" s="217"/>
      <c r="L98" s="217"/>
      <c r="M98" s="217"/>
    </row>
    <row r="99" spans="1:13">
      <c r="A99" s="227" t="s">
        <v>414</v>
      </c>
      <c r="B99" s="217">
        <f>N24</f>
        <v>66100.327620506214</v>
      </c>
      <c r="C99" s="232">
        <f>B99/B103</f>
        <v>0.77707569740685178</v>
      </c>
      <c r="D99" s="218"/>
      <c r="E99" s="218"/>
      <c r="F99" s="218"/>
      <c r="G99" s="218"/>
      <c r="H99" s="218"/>
      <c r="I99" s="218"/>
      <c r="J99" s="218"/>
      <c r="K99" s="218"/>
      <c r="L99" s="218"/>
      <c r="M99" s="218"/>
    </row>
    <row r="100" spans="1:13">
      <c r="A100" s="230"/>
      <c r="B100" s="188"/>
      <c r="C100" s="233"/>
      <c r="D100" s="233"/>
      <c r="E100" s="233"/>
      <c r="F100" s="233"/>
      <c r="G100" s="233"/>
      <c r="H100" s="233"/>
      <c r="I100" s="233"/>
      <c r="J100" s="234"/>
      <c r="K100" s="233"/>
      <c r="L100" s="233"/>
      <c r="M100" s="233"/>
    </row>
    <row r="101" spans="1:13">
      <c r="A101" s="227" t="s">
        <v>415</v>
      </c>
      <c r="B101" s="217">
        <f>N18</f>
        <v>18962.592042387601</v>
      </c>
      <c r="C101" s="232">
        <f>B101/B103</f>
        <v>0.22292430259314827</v>
      </c>
      <c r="D101" s="216"/>
      <c r="E101" s="216"/>
      <c r="F101" s="216"/>
      <c r="G101" s="216"/>
      <c r="H101" s="216"/>
      <c r="I101" s="216"/>
      <c r="J101" s="219"/>
      <c r="K101" s="216"/>
      <c r="L101" s="216"/>
      <c r="M101" s="216"/>
    </row>
    <row r="102" spans="1:13">
      <c r="A102" s="230"/>
      <c r="B102" s="235"/>
      <c r="C102" s="216"/>
      <c r="D102" s="216"/>
      <c r="E102" s="216"/>
      <c r="F102" s="216"/>
      <c r="G102" s="216"/>
      <c r="H102" s="216"/>
      <c r="I102" s="216"/>
      <c r="J102" s="219"/>
      <c r="K102" s="216"/>
      <c r="L102" s="216"/>
      <c r="M102" s="216"/>
    </row>
    <row r="103" spans="1:13">
      <c r="A103" s="230"/>
      <c r="B103" s="229">
        <f>SUM(B99:B102)</f>
        <v>85062.919662893808</v>
      </c>
      <c r="C103" s="229"/>
      <c r="D103" s="229"/>
      <c r="E103" s="229"/>
      <c r="F103" s="229"/>
      <c r="G103" s="229"/>
      <c r="H103" s="229"/>
      <c r="I103" s="229"/>
      <c r="J103" s="229"/>
      <c r="K103" s="229"/>
      <c r="L103" s="229"/>
      <c r="M103" s="229"/>
    </row>
    <row r="104" spans="1:13">
      <c r="A104" s="230"/>
      <c r="B104" s="236"/>
      <c r="C104" s="236"/>
      <c r="D104" s="236"/>
      <c r="E104" s="236"/>
      <c r="F104" s="236"/>
      <c r="G104" s="236"/>
      <c r="H104" s="236"/>
      <c r="I104" s="236"/>
      <c r="J104" s="236"/>
      <c r="K104" s="236"/>
      <c r="L104" s="236"/>
      <c r="M104" s="236"/>
    </row>
    <row r="105" spans="1:13">
      <c r="A105" s="230"/>
      <c r="B105" s="237"/>
      <c r="C105" s="237"/>
      <c r="D105" s="237"/>
      <c r="E105" s="237"/>
      <c r="F105" s="237"/>
      <c r="G105" s="237"/>
      <c r="H105" s="237"/>
      <c r="I105" s="237"/>
      <c r="J105" s="238"/>
      <c r="K105" s="237"/>
      <c r="L105" s="237"/>
      <c r="M105" s="237"/>
    </row>
    <row r="106" spans="1:13">
      <c r="J106" s="239"/>
    </row>
    <row r="107" spans="1:13">
      <c r="A107" s="182"/>
      <c r="J107" s="239"/>
    </row>
    <row r="108" spans="1:13">
      <c r="J108" s="238"/>
    </row>
    <row r="109" spans="1:13">
      <c r="J109" s="238"/>
    </row>
    <row r="110" spans="1:13">
      <c r="J110" s="239"/>
    </row>
    <row r="111" spans="1:13" ht="14.25" customHeight="1">
      <c r="A111" s="230"/>
      <c r="B111" s="216"/>
      <c r="C111" s="216"/>
      <c r="D111" s="216"/>
      <c r="E111" s="216"/>
      <c r="F111" s="216"/>
      <c r="G111" s="216"/>
      <c r="H111" s="216"/>
      <c r="I111" s="216"/>
      <c r="J111" s="216"/>
      <c r="K111" s="216"/>
      <c r="L111" s="216"/>
      <c r="M111" s="216"/>
    </row>
    <row r="112" spans="1:13">
      <c r="A112" s="240"/>
      <c r="B112" s="241"/>
      <c r="C112" s="241"/>
      <c r="D112" s="241"/>
      <c r="E112" s="241"/>
      <c r="F112" s="241"/>
      <c r="G112" s="241"/>
      <c r="H112" s="241"/>
      <c r="I112" s="241"/>
      <c r="J112" s="241"/>
      <c r="K112" s="241"/>
      <c r="L112" s="241"/>
      <c r="M112" s="241"/>
    </row>
    <row r="114" spans="1:13">
      <c r="A114" s="230"/>
      <c r="B114" s="216"/>
      <c r="C114" s="216"/>
      <c r="D114" s="216"/>
      <c r="E114" s="216"/>
      <c r="F114" s="216"/>
      <c r="G114" s="216"/>
      <c r="H114" s="216"/>
      <c r="I114" s="216"/>
      <c r="J114" s="216"/>
      <c r="K114" s="216"/>
      <c r="L114" s="216"/>
      <c r="M114" s="216"/>
    </row>
    <row r="115" spans="1:13">
      <c r="A115" s="230"/>
      <c r="B115" s="242"/>
      <c r="C115" s="242"/>
      <c r="D115" s="242"/>
      <c r="E115" s="242"/>
      <c r="F115" s="242"/>
      <c r="G115" s="242"/>
      <c r="H115" s="242"/>
      <c r="I115" s="242"/>
      <c r="J115" s="242"/>
      <c r="K115" s="242"/>
      <c r="L115" s="242"/>
      <c r="M115" s="242"/>
    </row>
    <row r="116" spans="1:13">
      <c r="A116" s="240"/>
      <c r="B116" s="233"/>
      <c r="C116" s="233"/>
      <c r="D116" s="233"/>
      <c r="E116" s="233"/>
      <c r="F116" s="233"/>
      <c r="G116" s="233"/>
      <c r="H116" s="233"/>
      <c r="I116" s="233"/>
      <c r="J116" s="233"/>
      <c r="K116" s="233"/>
      <c r="L116" s="233"/>
      <c r="M116" s="233"/>
    </row>
    <row r="118" spans="1:13">
      <c r="A118" s="243"/>
      <c r="B118" s="222"/>
      <c r="C118" s="222"/>
      <c r="D118" s="222"/>
      <c r="E118" s="222"/>
      <c r="F118" s="222"/>
      <c r="G118" s="222"/>
      <c r="H118" s="222"/>
      <c r="I118" s="222"/>
      <c r="J118" s="222"/>
      <c r="K118" s="222"/>
      <c r="L118" s="222"/>
      <c r="M118" s="222"/>
    </row>
    <row r="119" spans="1:13">
      <c r="A119" s="223"/>
      <c r="B119" s="244"/>
      <c r="C119" s="244"/>
      <c r="D119" s="244"/>
      <c r="E119" s="244"/>
      <c r="F119" s="244"/>
      <c r="G119" s="244"/>
      <c r="H119" s="244"/>
      <c r="I119" s="244"/>
      <c r="J119" s="244"/>
      <c r="K119" s="244"/>
      <c r="L119" s="244"/>
      <c r="M119" s="244"/>
    </row>
    <row r="121" spans="1:13">
      <c r="B121" s="245"/>
      <c r="C121" s="245"/>
      <c r="D121" s="245"/>
      <c r="E121" s="245"/>
      <c r="F121" s="245"/>
      <c r="G121" s="245"/>
      <c r="H121" s="245"/>
      <c r="I121" s="245"/>
      <c r="J121" s="245"/>
      <c r="K121" s="245"/>
      <c r="L121" s="245"/>
      <c r="M121" s="245"/>
    </row>
    <row r="122" spans="1:13">
      <c r="B122" s="245"/>
      <c r="C122" s="245"/>
      <c r="D122" s="245"/>
      <c r="E122" s="245"/>
      <c r="F122" s="245"/>
      <c r="G122" s="245"/>
      <c r="H122" s="245"/>
      <c r="I122" s="245"/>
      <c r="J122" s="245"/>
      <c r="K122" s="245"/>
      <c r="L122" s="245"/>
      <c r="M122" s="245"/>
    </row>
    <row r="124" spans="1:13">
      <c r="A124" s="239"/>
      <c r="B124" s="239"/>
    </row>
    <row r="125" spans="1:13">
      <c r="A125" s="239"/>
      <c r="B125" s="239"/>
    </row>
    <row r="126" spans="1:13">
      <c r="A126" s="239"/>
      <c r="B126" s="239"/>
    </row>
    <row r="128" spans="1:13">
      <c r="A128" s="182"/>
    </row>
    <row r="129" spans="1:15">
      <c r="A129" s="230"/>
    </row>
    <row r="130" spans="1:15">
      <c r="A130" s="246"/>
      <c r="B130" s="247"/>
      <c r="C130" s="247"/>
      <c r="D130" s="247"/>
      <c r="E130" s="247"/>
      <c r="F130" s="247"/>
      <c r="G130" s="247"/>
      <c r="H130" s="247"/>
      <c r="I130" s="247"/>
      <c r="J130" s="247"/>
      <c r="K130" s="247"/>
      <c r="L130" s="247"/>
      <c r="M130" s="247"/>
      <c r="N130" s="247"/>
      <c r="O130" s="355"/>
    </row>
    <row r="131" spans="1:15">
      <c r="A131" s="246"/>
      <c r="B131" s="247"/>
      <c r="C131" s="247"/>
      <c r="D131" s="247"/>
      <c r="E131" s="247"/>
      <c r="F131" s="247"/>
      <c r="G131" s="247"/>
      <c r="H131" s="247"/>
      <c r="I131" s="247"/>
      <c r="J131" s="247"/>
      <c r="K131" s="247"/>
      <c r="L131" s="247"/>
      <c r="M131" s="247"/>
      <c r="N131" s="247"/>
      <c r="O131" s="355"/>
    </row>
    <row r="132" spans="1:15">
      <c r="A132" s="246"/>
      <c r="B132" s="247"/>
      <c r="C132" s="247"/>
      <c r="D132" s="247"/>
      <c r="E132" s="247"/>
      <c r="F132" s="247"/>
      <c r="G132" s="247"/>
      <c r="H132" s="247"/>
      <c r="I132" s="247"/>
      <c r="J132" s="247"/>
      <c r="K132" s="247"/>
      <c r="L132" s="247"/>
      <c r="M132" s="247"/>
      <c r="N132" s="247"/>
      <c r="O132" s="355"/>
    </row>
    <row r="133" spans="1:15">
      <c r="A133" s="230"/>
    </row>
    <row r="134" spans="1:15">
      <c r="A134" s="246"/>
      <c r="B134" s="247"/>
      <c r="C134" s="247"/>
      <c r="D134" s="247"/>
      <c r="E134" s="247"/>
      <c r="F134" s="247"/>
      <c r="G134" s="247"/>
      <c r="H134" s="247"/>
      <c r="I134" s="247"/>
      <c r="J134" s="247"/>
      <c r="K134" s="247"/>
      <c r="L134" s="247"/>
      <c r="M134" s="247"/>
      <c r="N134" s="247"/>
      <c r="O134" s="355"/>
    </row>
    <row r="135" spans="1:15">
      <c r="A135" s="246"/>
      <c r="B135" s="247"/>
      <c r="C135" s="247"/>
      <c r="D135" s="247"/>
      <c r="E135" s="247"/>
      <c r="F135" s="247"/>
      <c r="G135" s="247"/>
      <c r="H135" s="247"/>
      <c r="I135" s="247"/>
      <c r="J135" s="247"/>
      <c r="K135" s="247"/>
      <c r="L135" s="247"/>
      <c r="M135" s="247"/>
      <c r="N135" s="247"/>
      <c r="O135" s="355"/>
    </row>
    <row r="136" spans="1:15">
      <c r="A136" s="246"/>
      <c r="B136" s="247"/>
      <c r="C136" s="247"/>
      <c r="D136" s="247"/>
      <c r="E136" s="247"/>
      <c r="F136" s="247"/>
      <c r="G136" s="247"/>
      <c r="H136" s="247"/>
      <c r="I136" s="247"/>
      <c r="J136" s="247"/>
      <c r="K136" s="247"/>
      <c r="L136" s="247"/>
      <c r="M136" s="247"/>
      <c r="N136" s="247"/>
      <c r="O136" s="355"/>
    </row>
    <row r="139" spans="1:15">
      <c r="B139" s="248"/>
      <c r="C139" s="248"/>
      <c r="D139" s="248"/>
      <c r="E139" s="248"/>
      <c r="F139" s="248"/>
      <c r="G139" s="248"/>
      <c r="H139" s="248"/>
      <c r="I139" s="248"/>
      <c r="J139" s="248"/>
      <c r="K139" s="248"/>
      <c r="L139" s="248"/>
      <c r="M139" s="248"/>
      <c r="N139" s="248"/>
      <c r="O139" s="358"/>
    </row>
  </sheetData>
  <mergeCells count="1">
    <mergeCell ref="A4:G4"/>
  </mergeCells>
  <pageMargins left="0.7" right="0.7" top="0.75" bottom="0.75" header="0.3" footer="0.3"/>
  <pageSetup scale="55" orientation="landscape" r:id="rId1"/>
  <headerFooter alignWithMargins="0">
    <oddFooter>&amp;L&amp;F - &amp;A&amp;R&amp;P of &amp;N</oddFooter>
  </headerFooter>
  <rowBreaks count="1" manualBreakCount="1">
    <brk id="26" max="2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
  <sheetViews>
    <sheetView zoomScale="85" zoomScaleNormal="85" workbookViewId="0"/>
  </sheetViews>
  <sheetFormatPr defaultRowHeight="15"/>
  <cols>
    <col min="1" max="1" width="21.5703125" style="10" customWidth="1"/>
    <col min="2" max="2" width="11.5703125" style="10" bestFit="1" customWidth="1"/>
    <col min="3" max="3" width="11.5703125" style="10" customWidth="1"/>
    <col min="4" max="4" width="12.5703125" style="10" bestFit="1" customWidth="1"/>
    <col min="5" max="5" width="11.5703125" style="10" bestFit="1" customWidth="1"/>
    <col min="6" max="15" width="9.140625" style="10"/>
    <col min="16" max="16" width="9.5703125" style="10" bestFit="1" customWidth="1"/>
    <col min="17" max="16384" width="9.140625" style="10"/>
  </cols>
  <sheetData>
    <row r="1" spans="1:11">
      <c r="A1" s="1" t="s">
        <v>437</v>
      </c>
    </row>
    <row r="2" spans="1:11">
      <c r="A2" s="1" t="s">
        <v>436</v>
      </c>
    </row>
    <row r="3" spans="1:11">
      <c r="A3" s="1" t="s">
        <v>521</v>
      </c>
    </row>
    <row r="4" spans="1:11">
      <c r="A4" s="1" t="s">
        <v>522</v>
      </c>
    </row>
    <row r="5" spans="1:11">
      <c r="A5" s="133" t="s">
        <v>653</v>
      </c>
    </row>
    <row r="6" spans="1:11" ht="35.25" customHeight="1">
      <c r="A6" s="396" t="s">
        <v>528</v>
      </c>
      <c r="B6" s="396"/>
      <c r="C6" s="396"/>
      <c r="D6" s="396"/>
      <c r="E6" s="396"/>
      <c r="F6" s="396"/>
      <c r="G6" s="396"/>
      <c r="H6" s="396"/>
      <c r="I6" s="396"/>
      <c r="J6" s="396"/>
      <c r="K6" s="396"/>
    </row>
    <row r="8" spans="1:11">
      <c r="B8" s="2" t="s">
        <v>530</v>
      </c>
      <c r="C8" s="2" t="s">
        <v>531</v>
      </c>
    </row>
    <row r="9" spans="1:11">
      <c r="B9" s="6" t="s">
        <v>523</v>
      </c>
      <c r="C9" s="6" t="s">
        <v>523</v>
      </c>
      <c r="D9" s="6" t="s">
        <v>524</v>
      </c>
      <c r="E9" s="6" t="s">
        <v>525</v>
      </c>
    </row>
    <row r="10" spans="1:11">
      <c r="A10" s="175">
        <v>41275</v>
      </c>
      <c r="B10" s="14">
        <v>392.94</v>
      </c>
      <c r="C10" s="14">
        <v>27.6</v>
      </c>
      <c r="D10" s="4">
        <v>90.6</v>
      </c>
      <c r="E10" s="5">
        <f>(B10+C10)*D10</f>
        <v>38100.923999999999</v>
      </c>
    </row>
    <row r="11" spans="1:11">
      <c r="A11" s="175">
        <v>41306</v>
      </c>
      <c r="B11" s="14">
        <v>364.05</v>
      </c>
      <c r="C11" s="14">
        <v>27.24</v>
      </c>
      <c r="D11" s="4">
        <v>90.6</v>
      </c>
      <c r="E11" s="5">
        <f t="shared" ref="E11:E21" si="0">(B11+C11)*D11</f>
        <v>35450.873999999996</v>
      </c>
    </row>
    <row r="12" spans="1:11">
      <c r="A12" s="175">
        <v>41334</v>
      </c>
      <c r="B12" s="14">
        <v>394.07</v>
      </c>
      <c r="C12" s="14">
        <v>20.74</v>
      </c>
      <c r="D12" s="4">
        <v>95.36</v>
      </c>
      <c r="E12" s="5">
        <f t="shared" si="0"/>
        <v>39556.281600000002</v>
      </c>
    </row>
    <row r="13" spans="1:11">
      <c r="A13" s="175">
        <v>41365</v>
      </c>
      <c r="B13" s="14">
        <v>424.76</v>
      </c>
      <c r="C13" s="14">
        <v>23.27</v>
      </c>
      <c r="D13" s="4">
        <v>95.36</v>
      </c>
      <c r="E13" s="5">
        <f t="shared" si="0"/>
        <v>42724.140799999994</v>
      </c>
    </row>
    <row r="14" spans="1:11">
      <c r="A14" s="175">
        <v>41395</v>
      </c>
      <c r="B14" s="14">
        <v>424.44</v>
      </c>
      <c r="C14" s="14">
        <v>24.26</v>
      </c>
      <c r="D14" s="4">
        <v>95.36</v>
      </c>
      <c r="E14" s="5">
        <f t="shared" si="0"/>
        <v>42788.031999999999</v>
      </c>
    </row>
    <row r="15" spans="1:11">
      <c r="A15" s="175">
        <v>41426</v>
      </c>
      <c r="B15" s="14">
        <v>368.53</v>
      </c>
      <c r="C15" s="14">
        <v>23.234999999999999</v>
      </c>
      <c r="D15" s="4">
        <v>95.36</v>
      </c>
      <c r="E15" s="5">
        <f t="shared" si="0"/>
        <v>37358.710399999996</v>
      </c>
    </row>
    <row r="16" spans="1:11">
      <c r="A16" s="175">
        <v>41456</v>
      </c>
      <c r="B16" s="14">
        <v>400.57</v>
      </c>
      <c r="C16" s="14">
        <v>28.03</v>
      </c>
      <c r="D16" s="4">
        <v>95.36</v>
      </c>
      <c r="E16" s="5">
        <f t="shared" si="0"/>
        <v>40871.296000000002</v>
      </c>
    </row>
    <row r="17" spans="1:22">
      <c r="A17" s="175">
        <v>41487</v>
      </c>
      <c r="B17" s="14">
        <v>403.15</v>
      </c>
      <c r="C17" s="14">
        <v>35.69</v>
      </c>
      <c r="D17" s="4">
        <v>95.36</v>
      </c>
      <c r="E17" s="5">
        <f t="shared" si="0"/>
        <v>41847.782399999996</v>
      </c>
      <c r="J17" s="3"/>
      <c r="K17" s="3"/>
      <c r="L17" s="3"/>
      <c r="M17" s="3"/>
      <c r="N17" s="3"/>
      <c r="O17" s="3"/>
      <c r="P17" s="3"/>
      <c r="Q17" s="3"/>
      <c r="R17" s="3"/>
      <c r="S17" s="3"/>
      <c r="T17" s="3"/>
      <c r="U17" s="3"/>
      <c r="V17" s="3"/>
    </row>
    <row r="18" spans="1:22">
      <c r="A18" s="175">
        <v>41518</v>
      </c>
      <c r="B18" s="14">
        <v>392.9</v>
      </c>
      <c r="C18" s="14">
        <v>21.69</v>
      </c>
      <c r="D18" s="4">
        <v>95.36</v>
      </c>
      <c r="E18" s="5">
        <f t="shared" si="0"/>
        <v>39535.3024</v>
      </c>
    </row>
    <row r="19" spans="1:22">
      <c r="A19" s="175">
        <v>41548</v>
      </c>
      <c r="B19" s="14">
        <v>415.65</v>
      </c>
      <c r="C19" s="14">
        <v>16.32</v>
      </c>
      <c r="D19" s="4">
        <v>95.36</v>
      </c>
      <c r="E19" s="5">
        <f t="shared" si="0"/>
        <v>41192.659199999995</v>
      </c>
    </row>
    <row r="20" spans="1:22">
      <c r="A20" s="175">
        <v>41579</v>
      </c>
      <c r="B20" s="14">
        <v>451.17</v>
      </c>
      <c r="C20" s="14">
        <v>24.57</v>
      </c>
      <c r="D20" s="4">
        <v>95.36</v>
      </c>
      <c r="E20" s="5">
        <f t="shared" si="0"/>
        <v>45366.566400000003</v>
      </c>
    </row>
    <row r="21" spans="1:22">
      <c r="A21" s="175">
        <v>41609</v>
      </c>
      <c r="B21" s="14">
        <v>418.16</v>
      </c>
      <c r="C21" s="14">
        <v>23.4</v>
      </c>
      <c r="D21" s="4">
        <v>95.36</v>
      </c>
      <c r="E21" s="5">
        <f t="shared" si="0"/>
        <v>42107.161599999999</v>
      </c>
    </row>
    <row r="22" spans="1:22">
      <c r="B22" s="14">
        <f>SUM(B10:B21)</f>
        <v>4850.3900000000003</v>
      </c>
      <c r="C22" s="14">
        <f>SUM(C10:C21)</f>
        <v>296.04499999999996</v>
      </c>
      <c r="E22" s="14">
        <f>SUM(E10:E21)</f>
        <v>486899.73079999996</v>
      </c>
    </row>
    <row r="24" spans="1:22">
      <c r="A24" s="176" t="s">
        <v>421</v>
      </c>
      <c r="B24" s="177">
        <f>B22*2000</f>
        <v>9700780</v>
      </c>
      <c r="C24" s="177"/>
    </row>
    <row r="26" spans="1:22">
      <c r="D26" s="3"/>
      <c r="E26" s="3"/>
      <c r="F26" s="3"/>
      <c r="G26" s="3"/>
      <c r="H26" s="3"/>
      <c r="I26" s="3"/>
      <c r="J26" s="3"/>
      <c r="K26" s="3"/>
      <c r="L26" s="3"/>
      <c r="M26" s="3"/>
      <c r="N26" s="3"/>
      <c r="O26" s="3"/>
      <c r="P26" s="3"/>
    </row>
    <row r="27" spans="1:22">
      <c r="A27" s="176" t="s">
        <v>651</v>
      </c>
      <c r="B27" s="10">
        <v>95.36</v>
      </c>
    </row>
    <row r="28" spans="1:22">
      <c r="A28" s="176" t="s">
        <v>652</v>
      </c>
      <c r="B28" s="178">
        <v>97.42</v>
      </c>
      <c r="C28" s="43"/>
    </row>
    <row r="29" spans="1:22">
      <c r="A29" s="7" t="s">
        <v>426</v>
      </c>
      <c r="B29" s="1">
        <f>B28-B27</f>
        <v>2.0600000000000023</v>
      </c>
      <c r="C29" s="1"/>
    </row>
    <row r="30" spans="1:22">
      <c r="A30" s="7" t="s">
        <v>526</v>
      </c>
      <c r="B30" s="1">
        <f>B29/2000</f>
        <v>1.0300000000000012E-3</v>
      </c>
      <c r="C30" s="1"/>
    </row>
    <row r="32" spans="1:22">
      <c r="A32" s="176" t="s">
        <v>438</v>
      </c>
      <c r="B32" s="8">
        <f>B24*B30</f>
        <v>9991.8034000000116</v>
      </c>
      <c r="C32" s="8"/>
    </row>
    <row r="33" spans="1:3">
      <c r="A33" s="176" t="s">
        <v>527</v>
      </c>
      <c r="B33" s="8">
        <f>B32/'PCR Disposal'!V14</f>
        <v>10188.180580692868</v>
      </c>
      <c r="C33" s="8"/>
    </row>
    <row r="36" spans="1:3">
      <c r="A36" s="7" t="s">
        <v>430</v>
      </c>
      <c r="B36" s="9">
        <f>C22*B29</f>
        <v>609.8527000000006</v>
      </c>
    </row>
  </sheetData>
  <mergeCells count="1">
    <mergeCell ref="A6:K6"/>
  </mergeCells>
  <pageMargins left="0.7" right="0.7" top="0.75" bottom="0.75" header="0.3" footer="0.3"/>
  <pageSetup scale="73" orientation="portrait" r:id="rId1"/>
  <headerFooter>
    <oddFooter>&amp;L&amp;F - &amp;A&amp;R&amp;P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2018-01-16T08:00:00+00:00</OpenedDate>
    <SignificantOrder xmlns="dc463f71-b30c-4ab2-9473-d307f9d35888">false</SignificantOrder>
    <Date1 xmlns="dc463f71-b30c-4ab2-9473-d307f9d35888">2018-01-16T08:00:00+00:00</Date1>
    <IsDocumentOrder xmlns="dc463f71-b30c-4ab2-9473-d307f9d35888">false</IsDocumentOrder>
    <IsHighlyConfidential xmlns="dc463f71-b30c-4ab2-9473-d307f9d35888">false</IsHighlyConfidential>
    <CaseCompanyNames xmlns="dc463f71-b30c-4ab2-9473-d307f9d35888">HAROLD LEMAY ENTERPRISES, INC.</CaseCompanyNames>
    <Nickname xmlns="http://schemas.microsoft.com/sharepoint/v3" xsi:nil="true"/>
    <DocketNumber xmlns="dc463f71-b30c-4ab2-9473-d307f9d35888">180059</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13868C955568D46951F288A3829F1F9" ma:contentTypeVersion="76" ma:contentTypeDescription="" ma:contentTypeScope="" ma:versionID="cc629badcbbf13db099998a85cfbe05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00299f69f6737e1860c4c7d05e205bb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EBB96C-E72E-4D4D-9266-5AF18F3E795A}"/>
</file>

<file path=customXml/itemProps2.xml><?xml version="1.0" encoding="utf-8"?>
<ds:datastoreItem xmlns:ds="http://schemas.openxmlformats.org/officeDocument/2006/customXml" ds:itemID="{5C512CC3-2080-4725-A5AD-5B724C51E42F}">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a7bd91e-004b-490a-8704-e368d63d59a0"/>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E2C4C7F-5763-4531-B689-CA1312BA210D}">
  <ds:schemaRefs>
    <ds:schemaRef ds:uri="http://schemas.microsoft.com/sharepoint/v3/contenttype/forms"/>
  </ds:schemaRefs>
</ds:datastoreItem>
</file>

<file path=customXml/itemProps4.xml><?xml version="1.0" encoding="utf-8"?>
<ds:datastoreItem xmlns:ds="http://schemas.openxmlformats.org/officeDocument/2006/customXml" ds:itemID="{C01443F5-765E-4C69-A070-3D8ED0A92B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References</vt:lpstr>
      <vt:lpstr>Disposal Calc</vt:lpstr>
      <vt:lpstr>Rate Sheet</vt:lpstr>
      <vt:lpstr>2180 (Reg.) - Price Out </vt:lpstr>
      <vt:lpstr>PCR Disposal</vt:lpstr>
      <vt:lpstr>EQR Disposal</vt:lpstr>
      <vt:lpstr>'2180 (Reg.) - Price Out '!Print_Area</vt:lpstr>
      <vt:lpstr>'Disposal Calc'!Print_Area</vt:lpstr>
      <vt:lpstr>'PCR Disposal'!Print_Area</vt:lpstr>
      <vt:lpstr>'2180 (Reg.) - Price Out '!Print_Titles</vt:lpstr>
      <vt:lpstr>'Disposal Calc'!Print_Titles</vt:lpstr>
      <vt:lpstr>'Rate Sheet'!Print_Titles</vt:lpstr>
    </vt:vector>
  </TitlesOfParts>
  <Company>Waste Connections,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Huff, Ashley (UTC)</cp:lastModifiedBy>
  <cp:lastPrinted>2018-01-05T19:48:42Z</cp:lastPrinted>
  <dcterms:created xsi:type="dcterms:W3CDTF">2013-12-27T21:52:10Z</dcterms:created>
  <dcterms:modified xsi:type="dcterms:W3CDTF">2018-01-18T00:17:30Z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0x0101006E56B4D1795A2E4DB2F0B01679ED314A00313868C955568D46951F288A3829F1F9</vt:lpwstr>
  </property>
  <property fmtid="{D5CDD505-2E9C-101B-9397-08002B2CF9AE}" pid="3" name="_docset_NoMedatataSyncRequired">
    <vt:lpwstr>False</vt:lpwstr>
  </property>
  <property fmtid="{D5CDD505-2E9C-101B-9397-08002B2CF9AE}" pid="4" name="IsEFSEC">
    <vt:bool>false</vt:bool>
  </property>
</Properties>
</file>