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customXml/itemProps2.xml" ContentType="application/vnd.openxmlformats-officedocument.customXmlProperties+xml"/>
  <Override PartName="/xl/comments11.xml" ContentType="application/vnd.openxmlformats-officedocument.spreadsheetml.comment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9.xml" ContentType="application/vnd.openxmlformats-officedocument.spreadsheetml.comments+xml"/>
  <Override PartName="/xl/comments18.xml" ContentType="application/vnd.openxmlformats-officedocument.spreadsheetml.comments+xml"/>
  <Override PartName="/xl/comments8.xml" ContentType="application/vnd.openxmlformats-officedocument.spreadsheetml.comments+xml"/>
  <Override PartName="/xl/comments20.xml" ContentType="application/vnd.openxmlformats-officedocument.spreadsheetml.comments+xml"/>
  <Override PartName="/xl/comments7.xml" ContentType="application/vnd.openxmlformats-officedocument.spreadsheetml.comments+xml"/>
  <Override PartName="/xl/comments23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17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5.xml" ContentType="application/vnd.openxmlformats-officedocument.spreadsheetml.comments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comments32.xml" ContentType="application/vnd.openxmlformats-officedocument.spreadsheetml.comments+xml"/>
  <Override PartName="/xl/comments31.xml" ContentType="application/vnd.openxmlformats-officedocument.spreadsheetml.comments+xml"/>
  <Override PartName="/xl/comments33.xml" ContentType="application/vnd.openxmlformats-officedocument.spreadsheetml.comments+xml"/>
  <Override PartName="/xl/comments2.xml" ContentType="application/vnd.openxmlformats-officedocument.spreadsheetml.comments+xml"/>
  <Override PartName="/xl/comments30.xml" ContentType="application/vnd.openxmlformats-officedocument.spreadsheetml.comments+xml"/>
  <Override PartName="/xl/comments4.xml" ContentType="application/vnd.openxmlformats-officedocument.spreadsheetml.comments+xml"/>
  <Override PartName="/xl/comments26.xml" ContentType="application/vnd.openxmlformats-officedocument.spreadsheetml.comments+xml"/>
  <Override PartName="/xl/comments25.xml" ContentType="application/vnd.openxmlformats-officedocument.spreadsheetml.comments+xml"/>
  <Override PartName="/xl/comments5.xml" ContentType="application/vnd.openxmlformats-officedocument.spreadsheetml.comments+xml"/>
  <Override PartName="/xl/comments27.xml" ContentType="application/vnd.openxmlformats-officedocument.spreadsheetml.comments+xml"/>
  <Override PartName="/xl/comments29.xml" ContentType="application/vnd.openxmlformats-officedocument.spreadsheetml.comments+xml"/>
  <Override PartName="/xl/comments28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ovember 2017\Nov 27\Avista Corp\"/>
    </mc:Choice>
  </mc:AlternateContent>
  <bookViews>
    <workbookView xWindow="-180" yWindow="-30" windowWidth="9720" windowHeight="7005" tabRatio="772" firstSheet="12" activeTab="15"/>
  </bookViews>
  <sheets>
    <sheet name="PGA Graphs 2012-13" sheetId="13" state="hidden" r:id="rId1"/>
    <sheet name="JE" sheetId="18" state="hidden" r:id="rId2"/>
    <sheet name="Jan" sheetId="5" state="hidden" r:id="rId3"/>
    <sheet name="Feb" sheetId="19" state="hidden" r:id="rId4"/>
    <sheet name="Mar" sheetId="21" state="hidden" r:id="rId5"/>
    <sheet name="Apr" sheetId="20" state="hidden" r:id="rId6"/>
    <sheet name="May" sheetId="23" state="hidden" r:id="rId7"/>
    <sheet name="Jun" sheetId="22" state="hidden" r:id="rId8"/>
    <sheet name="Jul" sheetId="24" state="hidden" r:id="rId9"/>
    <sheet name="COMPARE JULY VS AUG" sheetId="45" state="hidden" r:id="rId10"/>
    <sheet name="Aug" sheetId="25" state="hidden" r:id="rId11"/>
    <sheet name="Sep" sheetId="26" state="hidden" r:id="rId12"/>
    <sheet name="Oct" sheetId="27" r:id="rId13"/>
    <sheet name="Nov" sheetId="28" state="hidden" r:id="rId14"/>
    <sheet name="Dec" sheetId="29" state="hidden" r:id="rId15"/>
    <sheet name="WA - Def-Amtz (current)" sheetId="16" r:id="rId16"/>
    <sheet name="ID - Def-Amtz (current)" sheetId="32" state="hidden" r:id="rId17"/>
    <sheet name="WA - Def-Amtz (sept)" sheetId="49" state="hidden" r:id="rId18"/>
    <sheet name="ID - Def-Amtz (sept)" sheetId="48" state="hidden" r:id="rId19"/>
    <sheet name="WA - Def-Amtz (aug)" sheetId="47" state="hidden" r:id="rId20"/>
    <sheet name="ID - Def-Amtz (aug)" sheetId="46" state="hidden" r:id="rId21"/>
    <sheet name="WA - Def-Amtz (July)" sheetId="44" state="hidden" r:id="rId22"/>
    <sheet name="ID - Def-Amtz (July)" sheetId="43" state="hidden" r:id="rId23"/>
    <sheet name="WA - Def-Amtz (June)" sheetId="42" state="hidden" r:id="rId24"/>
    <sheet name="ID - Def-Amtz (June)" sheetId="41" state="hidden" r:id="rId25"/>
    <sheet name="WA - Def-Amtz (May)" sheetId="39" state="hidden" r:id="rId26"/>
    <sheet name="ID - Def-Amtz (May)" sheetId="40" state="hidden" r:id="rId27"/>
    <sheet name="WA - Def-Amtz (Apr)" sheetId="37" state="hidden" r:id="rId28"/>
    <sheet name="ID - Def-Amtz (Apr)" sheetId="38" state="hidden" r:id="rId29"/>
    <sheet name="WA - Def-Amtz (Mar)" sheetId="36" state="hidden" r:id="rId30"/>
    <sheet name="ID - Def-Amtz (Mar)" sheetId="35" state="hidden" r:id="rId31"/>
    <sheet name="WA - Def-Amtz (Feb)" sheetId="34" state="hidden" r:id="rId32"/>
    <sheet name="ID - Def-Amtz (Feb)" sheetId="33" state="hidden" r:id="rId33"/>
    <sheet name="WA - Def-Amtz (Jan)" sheetId="31" state="hidden" r:id="rId34"/>
    <sheet name="ID - Def-Amtz (Jan)" sheetId="17" state="hidden" r:id="rId35"/>
    <sheet name="PGA Graphs 2013-14" sheetId="30" state="hidden" r:id="rId36"/>
    <sheet name="ID Amort 191015" sheetId="14" state="hidden" r:id="rId37"/>
    <sheet name="ID Amort 191000" sheetId="7" state="hidden" r:id="rId38"/>
    <sheet name="WA Def 191010" sheetId="3" state="hidden" r:id="rId39"/>
    <sheet name="ID Def 191010" sheetId="6" state="hidden" r:id="rId40"/>
    <sheet name="ID Holdback 191015" sheetId="12" state="hidden" r:id="rId41"/>
    <sheet name="Amortization of JP Deferral" sheetId="9" state="hidden" r:id="rId42"/>
    <sheet name="WA Amort 191000" sheetId="10" state="hidden" r:id="rId43"/>
  </sheets>
  <definedNames>
    <definedName name="_xlnm.Print_Area" localSheetId="41">'Amortization of JP Deferral'!$A$1:$J$197</definedName>
    <definedName name="_xlnm.Print_Area" localSheetId="5">Apr!$A$1:$M$68</definedName>
    <definedName name="_xlnm.Print_Area" localSheetId="10">Aug!$A$1:$M$68</definedName>
    <definedName name="_xlnm.Print_Area" localSheetId="9">'COMPARE JULY VS AUG'!$A$1:$P$68</definedName>
    <definedName name="_xlnm.Print_Area" localSheetId="14">Dec!$A$1:$M$68</definedName>
    <definedName name="_xlnm.Print_Area" localSheetId="3">Feb!$A$1:$M$68</definedName>
    <definedName name="_xlnm.Print_Area" localSheetId="28">'ID - Def-Amtz (Apr)'!$B$1:$BL$81</definedName>
    <definedName name="_xlnm.Print_Area" localSheetId="20">'ID - Def-Amtz (aug)'!$B$1:$BL$81</definedName>
    <definedName name="_xlnm.Print_Area" localSheetId="16">'ID - Def-Amtz (current)'!$B$1:$BL$81</definedName>
    <definedName name="_xlnm.Print_Area" localSheetId="32">'ID - Def-Amtz (Feb)'!$B$1:$BL$81</definedName>
    <definedName name="_xlnm.Print_Area" localSheetId="34">'ID - Def-Amtz (Jan)'!$B$1:$BL$81</definedName>
    <definedName name="_xlnm.Print_Area" localSheetId="22">'ID - Def-Amtz (July)'!$B$1:$BL$81</definedName>
    <definedName name="_xlnm.Print_Area" localSheetId="24">'ID - Def-Amtz (June)'!$B$1:$BL$81</definedName>
    <definedName name="_xlnm.Print_Area" localSheetId="30">'ID - Def-Amtz (Mar)'!$B$1:$BL$81</definedName>
    <definedName name="_xlnm.Print_Area" localSheetId="26">'ID - Def-Amtz (May)'!$B$1:$BL$81</definedName>
    <definedName name="_xlnm.Print_Area" localSheetId="18">'ID - Def-Amtz (sept)'!$B$1:$BL$81</definedName>
    <definedName name="_xlnm.Print_Area" localSheetId="37">'ID Amort 191000'!$A$1:$J$300</definedName>
    <definedName name="_xlnm.Print_Area" localSheetId="36">'ID Amort 191015'!$A$1:$J$63</definedName>
    <definedName name="_xlnm.Print_Area" localSheetId="39">'ID Def 191010'!$A$1:$T$180</definedName>
    <definedName name="_xlnm.Print_Area" localSheetId="40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3">Nov!$A$1:$M$68</definedName>
    <definedName name="_xlnm.Print_Area" localSheetId="12">Oct!$A$1:$M$68</definedName>
    <definedName name="_xlnm.Print_Area" localSheetId="0">'PGA Graphs 2012-13'!$P$2:$X$53</definedName>
    <definedName name="_xlnm.Print_Area" localSheetId="35">'PGA Graphs 2013-14'!$A$1:$N$66</definedName>
    <definedName name="_xlnm.Print_Area" localSheetId="11">Sep!$A$1:$M$68</definedName>
    <definedName name="_xlnm.Print_Area" localSheetId="27">'WA - Def-Amtz (Apr)'!$A$1:$BK$84</definedName>
    <definedName name="_xlnm.Print_Area" localSheetId="19">'WA - Def-Amtz (aug)'!$A$1:$BK$84</definedName>
    <definedName name="_xlnm.Print_Area" localSheetId="15">'WA - Def-Amtz (current)'!$A$1:$BK$84</definedName>
    <definedName name="_xlnm.Print_Area" localSheetId="31">'WA - Def-Amtz (Feb)'!$A$1:$BK$84</definedName>
    <definedName name="_xlnm.Print_Area" localSheetId="33">'WA - Def-Amtz (Jan)'!$A$1:$BK$84</definedName>
    <definedName name="_xlnm.Print_Area" localSheetId="21">'WA - Def-Amtz (July)'!$A$1:$BK$84</definedName>
    <definedName name="_xlnm.Print_Area" localSheetId="23">'WA - Def-Amtz (June)'!$A$1:$BK$84</definedName>
    <definedName name="_xlnm.Print_Area" localSheetId="29">'WA - Def-Amtz (Mar)'!$A$1:$BK$84</definedName>
    <definedName name="_xlnm.Print_Area" localSheetId="25">'WA - Def-Amtz (May)'!$A$1:$BK$84</definedName>
    <definedName name="_xlnm.Print_Area" localSheetId="17">'WA - Def-Amtz (sept)'!$A$1:$BK$84</definedName>
    <definedName name="_xlnm.Print_Area" localSheetId="42">'WA Amort 191000'!$A$1:$J$310</definedName>
    <definedName name="_xlnm.Print_Area" localSheetId="38">'WA Def 191010'!$A$1:$R$143</definedName>
    <definedName name="_xlnm.Print_Titles" localSheetId="5">Apr!$1:$2</definedName>
    <definedName name="_xlnm.Print_Titles" localSheetId="10">Aug!$1:$2</definedName>
    <definedName name="_xlnm.Print_Titles" localSheetId="9">'COMPARE JULY VS AUG'!$1:$2</definedName>
    <definedName name="_xlnm.Print_Titles" localSheetId="14">Dec!$1:$2</definedName>
    <definedName name="_xlnm.Print_Titles" localSheetId="3">Feb!$1:$2</definedName>
    <definedName name="_xlnm.Print_Titles" localSheetId="39">'ID Def 191010'!$1:$7</definedName>
    <definedName name="_xlnm.Print_Titles" localSheetId="40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3">Nov!$1:$2</definedName>
    <definedName name="_xlnm.Print_Titles" localSheetId="12">Oct!$1:$2</definedName>
    <definedName name="_xlnm.Print_Titles" localSheetId="11">Sep!$1:$2</definedName>
    <definedName name="_xlnm.Print_Titles" localSheetId="38">'WA Def 191010'!$1:$5</definedName>
  </definedNames>
  <calcPr calcId="152511"/>
</workbook>
</file>

<file path=xl/calcChain.xml><?xml version="1.0" encoding="utf-8"?>
<calcChain xmlns="http://schemas.openxmlformats.org/spreadsheetml/2006/main">
  <c r="H61" i="27" l="1"/>
  <c r="BB55" i="16" l="1"/>
  <c r="C5" i="27" l="1"/>
  <c r="C9" i="27"/>
  <c r="C15" i="27"/>
  <c r="C12" i="27"/>
  <c r="C18" i="27"/>
  <c r="C6" i="27"/>
  <c r="C21" i="27"/>
  <c r="C44" i="27" l="1"/>
  <c r="AE82" i="49" l="1"/>
  <c r="AD82" i="49"/>
  <c r="AC82" i="49"/>
  <c r="AB82" i="49"/>
  <c r="AA82" i="49"/>
  <c r="Z82" i="49"/>
  <c r="Y82" i="49"/>
  <c r="X82" i="49"/>
  <c r="W82" i="49"/>
  <c r="V82" i="49"/>
  <c r="AS81" i="49"/>
  <c r="C81" i="49"/>
  <c r="F80" i="49"/>
  <c r="E80" i="49"/>
  <c r="E82" i="49" s="1"/>
  <c r="D80" i="49"/>
  <c r="C80" i="49"/>
  <c r="C82" i="49" s="1"/>
  <c r="AS78" i="49"/>
  <c r="AT78" i="49" s="1"/>
  <c r="AU78" i="49" s="1"/>
  <c r="AV78" i="49" s="1"/>
  <c r="AW78" i="49" s="1"/>
  <c r="AX78" i="49" s="1"/>
  <c r="AY78" i="49" s="1"/>
  <c r="AZ78" i="49" s="1"/>
  <c r="BA78" i="49" s="1"/>
  <c r="BB78" i="49" s="1"/>
  <c r="BC78" i="49" s="1"/>
  <c r="BD78" i="49" s="1"/>
  <c r="AH78" i="49"/>
  <c r="AI78" i="49" s="1"/>
  <c r="AJ78" i="49" s="1"/>
  <c r="AK78" i="49" s="1"/>
  <c r="AL78" i="49" s="1"/>
  <c r="V78" i="49"/>
  <c r="W78" i="49" s="1"/>
  <c r="X78" i="49" s="1"/>
  <c r="Y78" i="49" s="1"/>
  <c r="Z78" i="49" s="1"/>
  <c r="AA78" i="49" s="1"/>
  <c r="AB78" i="49" s="1"/>
  <c r="AC78" i="49" s="1"/>
  <c r="AD78" i="49" s="1"/>
  <c r="AE78" i="49" s="1"/>
  <c r="AF78" i="49" s="1"/>
  <c r="F78" i="49"/>
  <c r="G78" i="49" s="1"/>
  <c r="H78" i="49" s="1"/>
  <c r="BF75" i="49"/>
  <c r="AS67" i="49"/>
  <c r="AT67" i="49" s="1"/>
  <c r="AU67" i="49" s="1"/>
  <c r="AV67" i="49" s="1"/>
  <c r="AW67" i="49" s="1"/>
  <c r="AX67" i="49" s="1"/>
  <c r="AY67" i="49" s="1"/>
  <c r="AZ67" i="49" s="1"/>
  <c r="BA67" i="49" s="1"/>
  <c r="BB67" i="49" s="1"/>
  <c r="BC67" i="49" s="1"/>
  <c r="BD67" i="49" s="1"/>
  <c r="AH67" i="49"/>
  <c r="AI67" i="49" s="1"/>
  <c r="AJ67" i="49" s="1"/>
  <c r="AK67" i="49" s="1"/>
  <c r="AL67" i="49" s="1"/>
  <c r="AM67" i="49" s="1"/>
  <c r="AN67" i="49" s="1"/>
  <c r="AO67" i="49" s="1"/>
  <c r="AP67" i="49" s="1"/>
  <c r="AQ67" i="49" s="1"/>
  <c r="AR67" i="49" s="1"/>
  <c r="V67" i="49"/>
  <c r="W67" i="49" s="1"/>
  <c r="X67" i="49" s="1"/>
  <c r="Y67" i="49" s="1"/>
  <c r="Z67" i="49" s="1"/>
  <c r="AA67" i="49" s="1"/>
  <c r="AB67" i="49" s="1"/>
  <c r="AC67" i="49" s="1"/>
  <c r="AD67" i="49" s="1"/>
  <c r="AE67" i="49" s="1"/>
  <c r="AF67" i="49" s="1"/>
  <c r="F67" i="49"/>
  <c r="G67" i="49" s="1"/>
  <c r="H67" i="49" s="1"/>
  <c r="D65" i="49"/>
  <c r="C65" i="49"/>
  <c r="AF64" i="49"/>
  <c r="AE64" i="49"/>
  <c r="AD64" i="49"/>
  <c r="AC64" i="49"/>
  <c r="AB64" i="49"/>
  <c r="AA64" i="49"/>
  <c r="Z64" i="49"/>
  <c r="Y64" i="49"/>
  <c r="X64" i="49"/>
  <c r="W64" i="49"/>
  <c r="V64" i="49"/>
  <c r="H64" i="49"/>
  <c r="G64" i="49"/>
  <c r="F64" i="49"/>
  <c r="E64" i="49"/>
  <c r="BD63" i="49"/>
  <c r="BC63" i="49"/>
  <c r="BB63" i="49"/>
  <c r="BA63" i="49"/>
  <c r="AZ63" i="49"/>
  <c r="AY63" i="49"/>
  <c r="AX63" i="49"/>
  <c r="AW63" i="49"/>
  <c r="AV63" i="49"/>
  <c r="AU63" i="49"/>
  <c r="AT63" i="49"/>
  <c r="AS63" i="49"/>
  <c r="AR63" i="49"/>
  <c r="AQ63" i="49"/>
  <c r="AP63" i="49"/>
  <c r="AO63" i="49"/>
  <c r="AN63" i="49"/>
  <c r="AM63" i="49"/>
  <c r="AL63" i="49"/>
  <c r="AK63" i="49"/>
  <c r="AJ63" i="49"/>
  <c r="AI63" i="49"/>
  <c r="AH63" i="49"/>
  <c r="AG63" i="49"/>
  <c r="D63" i="49" s="1"/>
  <c r="BD62" i="49"/>
  <c r="BC62" i="49"/>
  <c r="BB62" i="49"/>
  <c r="BA62" i="49"/>
  <c r="AZ62" i="49"/>
  <c r="AY62" i="49"/>
  <c r="AX62" i="49"/>
  <c r="AW62" i="49"/>
  <c r="AV62" i="49"/>
  <c r="AU62" i="49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BD61" i="49"/>
  <c r="BC61" i="49"/>
  <c r="BB61" i="49"/>
  <c r="BA61" i="49"/>
  <c r="AZ61" i="49"/>
  <c r="AY61" i="49"/>
  <c r="AX61" i="49"/>
  <c r="AW61" i="49"/>
  <c r="AV61" i="49"/>
  <c r="AU61" i="49"/>
  <c r="AT61" i="49"/>
  <c r="AS61" i="49"/>
  <c r="AR61" i="49"/>
  <c r="AQ61" i="49"/>
  <c r="AP61" i="49"/>
  <c r="AO61" i="49"/>
  <c r="AN61" i="49"/>
  <c r="AM61" i="49"/>
  <c r="AL61" i="49"/>
  <c r="AK61" i="49"/>
  <c r="AJ61" i="49"/>
  <c r="AI61" i="49"/>
  <c r="AH61" i="49"/>
  <c r="AG61" i="49"/>
  <c r="BD60" i="49"/>
  <c r="BC60" i="49"/>
  <c r="BB60" i="49"/>
  <c r="BA60" i="49"/>
  <c r="AZ60" i="49"/>
  <c r="AY60" i="49"/>
  <c r="AX60" i="49"/>
  <c r="AW60" i="49"/>
  <c r="AV60" i="49"/>
  <c r="AU60" i="49"/>
  <c r="AT60" i="49"/>
  <c r="AS60" i="49"/>
  <c r="AR60" i="49"/>
  <c r="AQ60" i="49"/>
  <c r="AP60" i="49"/>
  <c r="AO60" i="49"/>
  <c r="AN60" i="49"/>
  <c r="AM60" i="49"/>
  <c r="AL60" i="49"/>
  <c r="AK60" i="49"/>
  <c r="AJ60" i="49"/>
  <c r="AI60" i="49"/>
  <c r="AH60" i="49"/>
  <c r="AG60" i="49"/>
  <c r="BD59" i="49"/>
  <c r="BC59" i="49"/>
  <c r="BB59" i="49"/>
  <c r="BA59" i="49"/>
  <c r="AZ59" i="49"/>
  <c r="AY59" i="49"/>
  <c r="AX59" i="49"/>
  <c r="AW59" i="49"/>
  <c r="AV59" i="49"/>
  <c r="AU59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BD58" i="49"/>
  <c r="BC58" i="49"/>
  <c r="BB58" i="49"/>
  <c r="BA58" i="49"/>
  <c r="AZ58" i="49"/>
  <c r="AY58" i="49"/>
  <c r="AX58" i="49"/>
  <c r="AW58" i="49"/>
  <c r="AV58" i="49"/>
  <c r="AU58" i="49"/>
  <c r="AT58" i="49"/>
  <c r="AS58" i="49"/>
  <c r="AR58" i="49"/>
  <c r="AQ58" i="49"/>
  <c r="AP58" i="49"/>
  <c r="AO58" i="49"/>
  <c r="AN58" i="49"/>
  <c r="AM58" i="49"/>
  <c r="AL58" i="49"/>
  <c r="AK58" i="49"/>
  <c r="AJ58" i="49"/>
  <c r="AI58" i="49"/>
  <c r="AH58" i="49"/>
  <c r="AG58" i="49"/>
  <c r="D58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BD56" i="49"/>
  <c r="BC56" i="49"/>
  <c r="BB56" i="49"/>
  <c r="BA56" i="49"/>
  <c r="AZ56" i="49"/>
  <c r="AY56" i="49"/>
  <c r="AX56" i="49"/>
  <c r="AW56" i="49"/>
  <c r="AV56" i="49"/>
  <c r="AU56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C56" i="49"/>
  <c r="BD55" i="49"/>
  <c r="BC55" i="49"/>
  <c r="BB55" i="49"/>
  <c r="BA55" i="49"/>
  <c r="AZ55" i="49"/>
  <c r="AZ80" i="49" s="1"/>
  <c r="AY55" i="49"/>
  <c r="AX55" i="49"/>
  <c r="AW55" i="49"/>
  <c r="AV55" i="49"/>
  <c r="AU55" i="49"/>
  <c r="AT55" i="49"/>
  <c r="AS55" i="49"/>
  <c r="AR55" i="49"/>
  <c r="AR64" i="49" s="1"/>
  <c r="AQ55" i="49"/>
  <c r="AP55" i="49"/>
  <c r="AO55" i="49"/>
  <c r="AN55" i="49"/>
  <c r="AM55" i="49"/>
  <c r="AL55" i="49"/>
  <c r="AL64" i="49" s="1"/>
  <c r="AK55" i="49"/>
  <c r="AJ55" i="49"/>
  <c r="AI55" i="49"/>
  <c r="AH55" i="49"/>
  <c r="AG55" i="49"/>
  <c r="AS54" i="49"/>
  <c r="AT54" i="49" s="1"/>
  <c r="AU54" i="49" s="1"/>
  <c r="AV54" i="49" s="1"/>
  <c r="AW54" i="49" s="1"/>
  <c r="AX54" i="49" s="1"/>
  <c r="AY54" i="49" s="1"/>
  <c r="AZ54" i="49" s="1"/>
  <c r="BA54" i="49" s="1"/>
  <c r="BB54" i="49" s="1"/>
  <c r="BC54" i="49" s="1"/>
  <c r="BD54" i="49" s="1"/>
  <c r="AH54" i="49"/>
  <c r="AI54" i="49" s="1"/>
  <c r="AJ54" i="49" s="1"/>
  <c r="AK54" i="49" s="1"/>
  <c r="AL54" i="49" s="1"/>
  <c r="AM54" i="49" s="1"/>
  <c r="AN54" i="49" s="1"/>
  <c r="AO54" i="49" s="1"/>
  <c r="AP54" i="49" s="1"/>
  <c r="AQ54" i="49" s="1"/>
  <c r="AR54" i="49" s="1"/>
  <c r="V54" i="49"/>
  <c r="W54" i="49" s="1"/>
  <c r="X54" i="49" s="1"/>
  <c r="Y54" i="49" s="1"/>
  <c r="Z54" i="49" s="1"/>
  <c r="AA54" i="49" s="1"/>
  <c r="AB54" i="49" s="1"/>
  <c r="AC54" i="49" s="1"/>
  <c r="AD54" i="49" s="1"/>
  <c r="AE54" i="49" s="1"/>
  <c r="AF54" i="49" s="1"/>
  <c r="F54" i="49"/>
  <c r="G54" i="49" s="1"/>
  <c r="H54" i="49" s="1"/>
  <c r="AE49" i="49"/>
  <c r="AD49" i="49"/>
  <c r="AC49" i="49"/>
  <c r="AB49" i="49"/>
  <c r="AA49" i="49"/>
  <c r="Z49" i="49"/>
  <c r="Y49" i="49"/>
  <c r="X49" i="49"/>
  <c r="W49" i="49"/>
  <c r="V49" i="49"/>
  <c r="C48" i="49"/>
  <c r="C47" i="49"/>
  <c r="BK46" i="49"/>
  <c r="BJ46" i="49"/>
  <c r="BI46" i="49"/>
  <c r="BH46" i="49"/>
  <c r="BG46" i="49"/>
  <c r="BF46" i="49"/>
  <c r="BI45" i="49"/>
  <c r="BH45" i="49"/>
  <c r="BG45" i="49"/>
  <c r="BD45" i="49"/>
  <c r="AR45" i="49"/>
  <c r="F45" i="49"/>
  <c r="E45" i="49"/>
  <c r="E46" i="49" s="1"/>
  <c r="E49" i="49" s="1"/>
  <c r="F44" i="49" s="1"/>
  <c r="D45" i="49"/>
  <c r="C45" i="49"/>
  <c r="AF44" i="49"/>
  <c r="AF46" i="49" s="1"/>
  <c r="D46" i="49" s="1"/>
  <c r="AS42" i="49"/>
  <c r="AT42" i="49" s="1"/>
  <c r="AU42" i="49" s="1"/>
  <c r="AV42" i="49" s="1"/>
  <c r="AW42" i="49" s="1"/>
  <c r="AX42" i="49" s="1"/>
  <c r="AY42" i="49" s="1"/>
  <c r="AZ42" i="49" s="1"/>
  <c r="BA42" i="49" s="1"/>
  <c r="BB42" i="49" s="1"/>
  <c r="BC42" i="49" s="1"/>
  <c r="BD42" i="49" s="1"/>
  <c r="AH42" i="49"/>
  <c r="AI42" i="49" s="1"/>
  <c r="AJ42" i="49" s="1"/>
  <c r="AK42" i="49" s="1"/>
  <c r="AL42" i="49" s="1"/>
  <c r="AM42" i="49" s="1"/>
  <c r="AN42" i="49" s="1"/>
  <c r="AO42" i="49" s="1"/>
  <c r="AP42" i="49" s="1"/>
  <c r="AQ42" i="49" s="1"/>
  <c r="AR42" i="49" s="1"/>
  <c r="V42" i="49"/>
  <c r="W42" i="49" s="1"/>
  <c r="X42" i="49" s="1"/>
  <c r="Y42" i="49" s="1"/>
  <c r="Z42" i="49" s="1"/>
  <c r="AA42" i="49" s="1"/>
  <c r="AB42" i="49" s="1"/>
  <c r="F42" i="49"/>
  <c r="G42" i="49" s="1"/>
  <c r="H42" i="49" s="1"/>
  <c r="BF40" i="49"/>
  <c r="AS31" i="49"/>
  <c r="AT31" i="49" s="1"/>
  <c r="AU31" i="49" s="1"/>
  <c r="AV31" i="49" s="1"/>
  <c r="AW31" i="49" s="1"/>
  <c r="AX31" i="49" s="1"/>
  <c r="AY31" i="49" s="1"/>
  <c r="AZ31" i="49" s="1"/>
  <c r="BA31" i="49" s="1"/>
  <c r="BB31" i="49" s="1"/>
  <c r="BC31" i="49" s="1"/>
  <c r="BD31" i="49" s="1"/>
  <c r="AH31" i="49"/>
  <c r="AI31" i="49" s="1"/>
  <c r="AJ31" i="49" s="1"/>
  <c r="AK31" i="49" s="1"/>
  <c r="AL31" i="49" s="1"/>
  <c r="AM31" i="49" s="1"/>
  <c r="AN31" i="49" s="1"/>
  <c r="AO31" i="49" s="1"/>
  <c r="AP31" i="49" s="1"/>
  <c r="AQ31" i="49" s="1"/>
  <c r="AR31" i="49" s="1"/>
  <c r="V31" i="49"/>
  <c r="W31" i="49" s="1"/>
  <c r="X31" i="49" s="1"/>
  <c r="Y31" i="49" s="1"/>
  <c r="Z31" i="49" s="1"/>
  <c r="AA31" i="49" s="1"/>
  <c r="AB31" i="49" s="1"/>
  <c r="AC31" i="49" s="1"/>
  <c r="AD31" i="49" s="1"/>
  <c r="AE31" i="49" s="1"/>
  <c r="AF31" i="49" s="1"/>
  <c r="F31" i="49"/>
  <c r="G31" i="49" s="1"/>
  <c r="H31" i="49" s="1"/>
  <c r="D29" i="49"/>
  <c r="C29" i="49"/>
  <c r="AF28" i="49"/>
  <c r="AE28" i="49"/>
  <c r="AD28" i="49"/>
  <c r="AC28" i="49"/>
  <c r="AB28" i="49"/>
  <c r="AA28" i="49"/>
  <c r="Z28" i="49"/>
  <c r="Y28" i="49"/>
  <c r="X28" i="49"/>
  <c r="W28" i="49"/>
  <c r="V28" i="49"/>
  <c r="H28" i="49"/>
  <c r="G28" i="49"/>
  <c r="F28" i="49"/>
  <c r="E28" i="49"/>
  <c r="BD27" i="49"/>
  <c r="BC27" i="49"/>
  <c r="BB27" i="49"/>
  <c r="BA27" i="49"/>
  <c r="AZ27" i="49"/>
  <c r="AY27" i="49"/>
  <c r="AX27" i="49"/>
  <c r="AW27" i="49"/>
  <c r="AV27" i="49"/>
  <c r="AU27" i="49"/>
  <c r="AT27" i="49"/>
  <c r="AS27" i="49"/>
  <c r="AR27" i="49"/>
  <c r="AQ27" i="49"/>
  <c r="AP27" i="49"/>
  <c r="AO27" i="49"/>
  <c r="AN27" i="49"/>
  <c r="AM27" i="49"/>
  <c r="AL27" i="49"/>
  <c r="AK27" i="49"/>
  <c r="AJ27" i="49"/>
  <c r="AI27" i="49"/>
  <c r="AH27" i="49"/>
  <c r="AG27" i="49"/>
  <c r="C27" i="49"/>
  <c r="D26" i="49"/>
  <c r="C26" i="49"/>
  <c r="BD25" i="49"/>
  <c r="BC25" i="49"/>
  <c r="BB25" i="49"/>
  <c r="BA25" i="49"/>
  <c r="AZ25" i="49"/>
  <c r="AY25" i="49"/>
  <c r="AX25" i="49"/>
  <c r="AW25" i="49"/>
  <c r="AV25" i="49"/>
  <c r="AU25" i="49"/>
  <c r="AT25" i="49"/>
  <c r="AS25" i="49"/>
  <c r="AR25" i="49"/>
  <c r="AQ25" i="49"/>
  <c r="AP25" i="49"/>
  <c r="AO25" i="49"/>
  <c r="AN25" i="49"/>
  <c r="AM25" i="49"/>
  <c r="AL25" i="49"/>
  <c r="AK25" i="49"/>
  <c r="AJ25" i="49"/>
  <c r="AI25" i="49"/>
  <c r="AH25" i="49"/>
  <c r="AG25" i="49"/>
  <c r="C25" i="49"/>
  <c r="D24" i="49"/>
  <c r="C24" i="49"/>
  <c r="BD23" i="49"/>
  <c r="BC23" i="49"/>
  <c r="BB23" i="49"/>
  <c r="BA23" i="49"/>
  <c r="AZ23" i="49"/>
  <c r="AY23" i="49"/>
  <c r="AX23" i="49"/>
  <c r="AW23" i="49"/>
  <c r="AV23" i="49"/>
  <c r="AU23" i="49"/>
  <c r="AT23" i="49"/>
  <c r="AS23" i="49"/>
  <c r="AR23" i="49"/>
  <c r="AQ23" i="49"/>
  <c r="AP23" i="49"/>
  <c r="AO23" i="49"/>
  <c r="AN23" i="49"/>
  <c r="AM23" i="49"/>
  <c r="AL23" i="49"/>
  <c r="AK23" i="49"/>
  <c r="AJ23" i="49"/>
  <c r="AI23" i="49"/>
  <c r="AH23" i="49"/>
  <c r="AG23" i="49"/>
  <c r="BA22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BD20" i="49"/>
  <c r="BC20" i="49"/>
  <c r="BB20" i="49"/>
  <c r="BA20" i="49"/>
  <c r="AZ20" i="49"/>
  <c r="AY20" i="49"/>
  <c r="AX20" i="49"/>
  <c r="AW20" i="49"/>
  <c r="AV20" i="49"/>
  <c r="AU20" i="49"/>
  <c r="AT20" i="49"/>
  <c r="AS20" i="49"/>
  <c r="AR20" i="49"/>
  <c r="AQ20" i="49"/>
  <c r="AP20" i="49"/>
  <c r="C20" i="49" s="1"/>
  <c r="AO20" i="49"/>
  <c r="AN20" i="49"/>
  <c r="AM20" i="49"/>
  <c r="AL20" i="49"/>
  <c r="AK20" i="49"/>
  <c r="AJ20" i="49"/>
  <c r="AI20" i="49"/>
  <c r="AH20" i="49"/>
  <c r="AG20" i="49"/>
  <c r="BD19" i="49"/>
  <c r="BC19" i="49"/>
  <c r="BB19" i="49"/>
  <c r="BA19" i="49"/>
  <c r="BA45" i="49" s="1"/>
  <c r="AZ19" i="49"/>
  <c r="AY19" i="49"/>
  <c r="AX19" i="49"/>
  <c r="AW19" i="49"/>
  <c r="AV19" i="49"/>
  <c r="AU19" i="49"/>
  <c r="AT19" i="49"/>
  <c r="AS19" i="49"/>
  <c r="AR19" i="49"/>
  <c r="AQ19" i="49"/>
  <c r="AP19" i="49"/>
  <c r="AO19" i="49"/>
  <c r="AO28" i="49" s="1"/>
  <c r="AN19" i="49"/>
  <c r="AM19" i="49"/>
  <c r="AL19" i="49"/>
  <c r="AK19" i="49"/>
  <c r="AK28" i="49" s="1"/>
  <c r="AJ19" i="49"/>
  <c r="AI19" i="49"/>
  <c r="AH19" i="49"/>
  <c r="AG19" i="49"/>
  <c r="AS18" i="49"/>
  <c r="AT18" i="49" s="1"/>
  <c r="AU18" i="49" s="1"/>
  <c r="AV18" i="49" s="1"/>
  <c r="AW18" i="49" s="1"/>
  <c r="AX18" i="49" s="1"/>
  <c r="AY18" i="49" s="1"/>
  <c r="AZ18" i="49" s="1"/>
  <c r="BA18" i="49" s="1"/>
  <c r="BB18" i="49" s="1"/>
  <c r="BC18" i="49" s="1"/>
  <c r="BD18" i="49" s="1"/>
  <c r="AH18" i="49"/>
  <c r="AI18" i="49" s="1"/>
  <c r="AJ18" i="49" s="1"/>
  <c r="AK18" i="49" s="1"/>
  <c r="AL18" i="49" s="1"/>
  <c r="AM18" i="49" s="1"/>
  <c r="AN18" i="49" s="1"/>
  <c r="AO18" i="49" s="1"/>
  <c r="AP18" i="49" s="1"/>
  <c r="AQ18" i="49" s="1"/>
  <c r="AR18" i="49" s="1"/>
  <c r="V18" i="49"/>
  <c r="W18" i="49" s="1"/>
  <c r="X18" i="49" s="1"/>
  <c r="Y18" i="49" s="1"/>
  <c r="Z18" i="49" s="1"/>
  <c r="AA18" i="49" s="1"/>
  <c r="AB18" i="49" s="1"/>
  <c r="AC18" i="49" s="1"/>
  <c r="AD18" i="49" s="1"/>
  <c r="AE18" i="49" s="1"/>
  <c r="AF18" i="49" s="1"/>
  <c r="F18" i="49"/>
  <c r="G18" i="49" s="1"/>
  <c r="H18" i="49" s="1"/>
  <c r="AE13" i="49"/>
  <c r="AD13" i="49"/>
  <c r="AC13" i="49"/>
  <c r="AB13" i="49"/>
  <c r="AA13" i="49"/>
  <c r="Z13" i="49"/>
  <c r="Y13" i="49"/>
  <c r="X13" i="49"/>
  <c r="W13" i="49"/>
  <c r="V13" i="49"/>
  <c r="AF12" i="49"/>
  <c r="C12" i="49"/>
  <c r="BK10" i="49"/>
  <c r="BI10" i="49"/>
  <c r="BH10" i="49"/>
  <c r="BG10" i="49"/>
  <c r="BF10" i="49"/>
  <c r="AQ10" i="49"/>
  <c r="C10" i="49"/>
  <c r="AQ9" i="49"/>
  <c r="C9" i="49" s="1"/>
  <c r="E8" i="49"/>
  <c r="E13" i="49" s="1"/>
  <c r="D7" i="49"/>
  <c r="D6" i="49"/>
  <c r="AF5" i="49"/>
  <c r="AF8" i="49" s="1"/>
  <c r="F5" i="49"/>
  <c r="AT3" i="49"/>
  <c r="AU3" i="49" s="1"/>
  <c r="AV3" i="49" s="1"/>
  <c r="AW3" i="49" s="1"/>
  <c r="AX3" i="49" s="1"/>
  <c r="AY3" i="49" s="1"/>
  <c r="AZ3" i="49" s="1"/>
  <c r="BA3" i="49" s="1"/>
  <c r="BB3" i="49" s="1"/>
  <c r="BC3" i="49" s="1"/>
  <c r="BD3" i="49" s="1"/>
  <c r="AH3" i="49"/>
  <c r="AI3" i="49" s="1"/>
  <c r="AJ3" i="49" s="1"/>
  <c r="V3" i="49"/>
  <c r="W3" i="49" s="1"/>
  <c r="X3" i="49" s="1"/>
  <c r="Y3" i="49" s="1"/>
  <c r="Z3" i="49" s="1"/>
  <c r="AA3" i="49" s="1"/>
  <c r="AB3" i="49" s="1"/>
  <c r="AC3" i="49" s="1"/>
  <c r="AD3" i="49" s="1"/>
  <c r="AE3" i="49" s="1"/>
  <c r="AF3" i="49" s="1"/>
  <c r="F3" i="49"/>
  <c r="G3" i="49" s="1"/>
  <c r="H3" i="49" s="1"/>
  <c r="AB79" i="48"/>
  <c r="AC75" i="48" s="1"/>
  <c r="AC77" i="48" s="1"/>
  <c r="AA79" i="48"/>
  <c r="Z79" i="48"/>
  <c r="X79" i="48"/>
  <c r="Y75" i="48" s="1"/>
  <c r="Y77" i="48" s="1"/>
  <c r="W79" i="48"/>
  <c r="D78" i="48"/>
  <c r="G77" i="48"/>
  <c r="V76" i="48"/>
  <c r="E76" i="48" s="1"/>
  <c r="I76" i="48"/>
  <c r="I77" i="48" s="1"/>
  <c r="F76" i="48"/>
  <c r="F77" i="48" s="1"/>
  <c r="D76" i="48"/>
  <c r="BG74" i="48"/>
  <c r="AT73" i="48"/>
  <c r="AU73" i="48" s="1"/>
  <c r="AV73" i="48" s="1"/>
  <c r="AW73" i="48" s="1"/>
  <c r="AX73" i="48" s="1"/>
  <c r="AY73" i="48" s="1"/>
  <c r="AZ73" i="48" s="1"/>
  <c r="BA73" i="48" s="1"/>
  <c r="BB73" i="48" s="1"/>
  <c r="BC73" i="48" s="1"/>
  <c r="BD73" i="48" s="1"/>
  <c r="BE73" i="48" s="1"/>
  <c r="AI73" i="48"/>
  <c r="AJ73" i="48" s="1"/>
  <c r="AK73" i="48" s="1"/>
  <c r="AL73" i="48" s="1"/>
  <c r="AM73" i="48" s="1"/>
  <c r="AN73" i="48" s="1"/>
  <c r="AO73" i="48" s="1"/>
  <c r="W73" i="48"/>
  <c r="X73" i="48" s="1"/>
  <c r="Y73" i="48" s="1"/>
  <c r="Z73" i="48" s="1"/>
  <c r="AA73" i="48" s="1"/>
  <c r="AB73" i="48" s="1"/>
  <c r="AC73" i="48" s="1"/>
  <c r="AD73" i="48" s="1"/>
  <c r="AE73" i="48" s="1"/>
  <c r="AF73" i="48" s="1"/>
  <c r="AG73" i="48" s="1"/>
  <c r="G73" i="48"/>
  <c r="H73" i="48" s="1"/>
  <c r="I73" i="48" s="1"/>
  <c r="AT63" i="48"/>
  <c r="AU63" i="48" s="1"/>
  <c r="AV63" i="48" s="1"/>
  <c r="AW63" i="48" s="1"/>
  <c r="AX63" i="48" s="1"/>
  <c r="AY63" i="48" s="1"/>
  <c r="AZ63" i="48" s="1"/>
  <c r="BA63" i="48" s="1"/>
  <c r="BB63" i="48" s="1"/>
  <c r="BC63" i="48" s="1"/>
  <c r="BD63" i="48" s="1"/>
  <c r="BE63" i="48" s="1"/>
  <c r="AI63" i="48"/>
  <c r="AJ63" i="48" s="1"/>
  <c r="AK63" i="48" s="1"/>
  <c r="AL63" i="48" s="1"/>
  <c r="AM63" i="48" s="1"/>
  <c r="AN63" i="48" s="1"/>
  <c r="AO63" i="48" s="1"/>
  <c r="AP63" i="48" s="1"/>
  <c r="AQ63" i="48" s="1"/>
  <c r="AR63" i="48" s="1"/>
  <c r="AS63" i="48" s="1"/>
  <c r="W63" i="48"/>
  <c r="X63" i="48" s="1"/>
  <c r="Y63" i="48" s="1"/>
  <c r="Z63" i="48" s="1"/>
  <c r="AA63" i="48" s="1"/>
  <c r="AB63" i="48" s="1"/>
  <c r="AC63" i="48" s="1"/>
  <c r="AD63" i="48" s="1"/>
  <c r="AE63" i="48" s="1"/>
  <c r="AF63" i="48" s="1"/>
  <c r="AG63" i="48" s="1"/>
  <c r="G63" i="48"/>
  <c r="H63" i="48" s="1"/>
  <c r="I63" i="48" s="1"/>
  <c r="E61" i="48"/>
  <c r="D61" i="48"/>
  <c r="AQ60" i="48"/>
  <c r="AP60" i="48"/>
  <c r="AO60" i="48"/>
  <c r="AN60" i="48"/>
  <c r="AM60" i="48"/>
  <c r="AL60" i="48"/>
  <c r="AK60" i="48"/>
  <c r="AJ60" i="48"/>
  <c r="AI60" i="48"/>
  <c r="AH60" i="48"/>
  <c r="AF60" i="48"/>
  <c r="AE60" i="48"/>
  <c r="AD60" i="48"/>
  <c r="AC60" i="48"/>
  <c r="AB60" i="48"/>
  <c r="AA60" i="48"/>
  <c r="Z60" i="48"/>
  <c r="Y60" i="48"/>
  <c r="X60" i="48"/>
  <c r="W60" i="48"/>
  <c r="V60" i="48"/>
  <c r="I60" i="48"/>
  <c r="H60" i="48"/>
  <c r="G60" i="48"/>
  <c r="E59" i="48"/>
  <c r="D59" i="48"/>
  <c r="BE58" i="48"/>
  <c r="BD58" i="48"/>
  <c r="BC58" i="48"/>
  <c r="BB58" i="48"/>
  <c r="BA58" i="48"/>
  <c r="AZ58" i="48"/>
  <c r="AY58" i="48"/>
  <c r="AX58" i="48"/>
  <c r="AW58" i="48"/>
  <c r="AV58" i="48"/>
  <c r="AU58" i="48"/>
  <c r="AT58" i="48"/>
  <c r="AS58" i="48"/>
  <c r="AR58" i="48"/>
  <c r="AG58" i="48"/>
  <c r="E58" i="48"/>
  <c r="D58" i="48"/>
  <c r="E57" i="48"/>
  <c r="D57" i="48"/>
  <c r="E56" i="48"/>
  <c r="D56" i="48"/>
  <c r="E55" i="48"/>
  <c r="BE54" i="48"/>
  <c r="AT54" i="48"/>
  <c r="AS54" i="48"/>
  <c r="E54" i="48"/>
  <c r="D54" i="48"/>
  <c r="BE53" i="48"/>
  <c r="AT53" i="48"/>
  <c r="AS53" i="48"/>
  <c r="E53" i="48"/>
  <c r="D53" i="48"/>
  <c r="BE52" i="48"/>
  <c r="AT52" i="48"/>
  <c r="AS52" i="48"/>
  <c r="E52" i="48"/>
  <c r="D52" i="48"/>
  <c r="AT51" i="48"/>
  <c r="AU51" i="48" s="1"/>
  <c r="AV51" i="48" s="1"/>
  <c r="AW51" i="48" s="1"/>
  <c r="AX51" i="48" s="1"/>
  <c r="AY51" i="48" s="1"/>
  <c r="AZ51" i="48" s="1"/>
  <c r="BA51" i="48" s="1"/>
  <c r="BB51" i="48" s="1"/>
  <c r="BC51" i="48" s="1"/>
  <c r="BD51" i="48" s="1"/>
  <c r="BE51" i="48" s="1"/>
  <c r="AI51" i="48"/>
  <c r="AJ51" i="48" s="1"/>
  <c r="AK51" i="48" s="1"/>
  <c r="AL51" i="48" s="1"/>
  <c r="AM51" i="48" s="1"/>
  <c r="AN51" i="48" s="1"/>
  <c r="AO51" i="48" s="1"/>
  <c r="AP51" i="48" s="1"/>
  <c r="AQ51" i="48" s="1"/>
  <c r="AR51" i="48" s="1"/>
  <c r="AS51" i="48" s="1"/>
  <c r="W51" i="48"/>
  <c r="X51" i="48" s="1"/>
  <c r="Y51" i="48" s="1"/>
  <c r="Z51" i="48" s="1"/>
  <c r="AA51" i="48" s="1"/>
  <c r="AB51" i="48" s="1"/>
  <c r="AC51" i="48" s="1"/>
  <c r="AD51" i="48" s="1"/>
  <c r="AE51" i="48" s="1"/>
  <c r="AF51" i="48" s="1"/>
  <c r="AG51" i="48" s="1"/>
  <c r="G51" i="48"/>
  <c r="H51" i="48" s="1"/>
  <c r="I51" i="48" s="1"/>
  <c r="BL47" i="48"/>
  <c r="BJ47" i="48"/>
  <c r="BI47" i="48"/>
  <c r="BH47" i="48"/>
  <c r="BG47" i="48"/>
  <c r="AC47" i="48"/>
  <c r="AB47" i="48"/>
  <c r="AA47" i="48"/>
  <c r="V47" i="48"/>
  <c r="BJ46" i="48"/>
  <c r="BI46" i="48"/>
  <c r="BH46" i="48"/>
  <c r="U46" i="48"/>
  <c r="D46" i="48"/>
  <c r="D45" i="48"/>
  <c r="T44" i="48"/>
  <c r="T47" i="48" s="1"/>
  <c r="U42" i="48" s="1"/>
  <c r="U47" i="48" s="1"/>
  <c r="AE43" i="48"/>
  <c r="AD43" i="48"/>
  <c r="X43" i="48"/>
  <c r="W43" i="48"/>
  <c r="I43" i="48"/>
  <c r="F43" i="48"/>
  <c r="E43" i="48"/>
  <c r="D43" i="48"/>
  <c r="W42" i="48"/>
  <c r="W47" i="48" s="1"/>
  <c r="BG41" i="48"/>
  <c r="AT40" i="48"/>
  <c r="AU40" i="48" s="1"/>
  <c r="AV40" i="48" s="1"/>
  <c r="AW40" i="48" s="1"/>
  <c r="AX40" i="48" s="1"/>
  <c r="AY40" i="48" s="1"/>
  <c r="AZ40" i="48" s="1"/>
  <c r="BA40" i="48" s="1"/>
  <c r="BB40" i="48" s="1"/>
  <c r="BC40" i="48" s="1"/>
  <c r="BD40" i="48" s="1"/>
  <c r="BE40" i="48" s="1"/>
  <c r="AI40" i="48"/>
  <c r="AJ40" i="48" s="1"/>
  <c r="AK40" i="48" s="1"/>
  <c r="AL40" i="48" s="1"/>
  <c r="AM40" i="48" s="1"/>
  <c r="AN40" i="48" s="1"/>
  <c r="AO40" i="48" s="1"/>
  <c r="AP40" i="48" s="1"/>
  <c r="AQ40" i="48" s="1"/>
  <c r="AR40" i="48" s="1"/>
  <c r="AS40" i="48" s="1"/>
  <c r="W40" i="48"/>
  <c r="X40" i="48" s="1"/>
  <c r="Y40" i="48" s="1"/>
  <c r="Z40" i="48" s="1"/>
  <c r="AA40" i="48" s="1"/>
  <c r="AB40" i="48" s="1"/>
  <c r="AC40" i="48" s="1"/>
  <c r="AD40" i="48" s="1"/>
  <c r="AE40" i="48" s="1"/>
  <c r="AF40" i="48" s="1"/>
  <c r="AG40" i="48" s="1"/>
  <c r="G40" i="48"/>
  <c r="H40" i="48" s="1"/>
  <c r="I40" i="48" s="1"/>
  <c r="AT30" i="48"/>
  <c r="AU30" i="48" s="1"/>
  <c r="AV30" i="48" s="1"/>
  <c r="AW30" i="48" s="1"/>
  <c r="AX30" i="48" s="1"/>
  <c r="AY30" i="48" s="1"/>
  <c r="AZ30" i="48" s="1"/>
  <c r="BA30" i="48" s="1"/>
  <c r="BB30" i="48" s="1"/>
  <c r="BC30" i="48" s="1"/>
  <c r="BD30" i="48" s="1"/>
  <c r="BE30" i="48" s="1"/>
  <c r="AI30" i="48"/>
  <c r="AJ30" i="48" s="1"/>
  <c r="AK30" i="48" s="1"/>
  <c r="AL30" i="48" s="1"/>
  <c r="AM30" i="48" s="1"/>
  <c r="AN30" i="48" s="1"/>
  <c r="AO30" i="48" s="1"/>
  <c r="AP30" i="48" s="1"/>
  <c r="AQ30" i="48" s="1"/>
  <c r="AR30" i="48" s="1"/>
  <c r="AS30" i="48" s="1"/>
  <c r="W30" i="48"/>
  <c r="X30" i="48" s="1"/>
  <c r="Y30" i="48" s="1"/>
  <c r="Z30" i="48" s="1"/>
  <c r="AA30" i="48" s="1"/>
  <c r="AB30" i="48" s="1"/>
  <c r="AC30" i="48" s="1"/>
  <c r="AD30" i="48" s="1"/>
  <c r="AE30" i="48" s="1"/>
  <c r="AF30" i="48" s="1"/>
  <c r="AG30" i="48" s="1"/>
  <c r="G30" i="48"/>
  <c r="H30" i="48" s="1"/>
  <c r="I30" i="48" s="1"/>
  <c r="E28" i="48"/>
  <c r="D28" i="48"/>
  <c r="AQ27" i="48"/>
  <c r="AP27" i="48"/>
  <c r="AO27" i="48"/>
  <c r="AN27" i="48"/>
  <c r="AF27" i="48"/>
  <c r="AE27" i="48"/>
  <c r="AD27" i="48"/>
  <c r="AC27" i="48"/>
  <c r="AA27" i="48"/>
  <c r="Z27" i="48"/>
  <c r="Y27" i="48"/>
  <c r="X27" i="48"/>
  <c r="W27" i="48"/>
  <c r="V27" i="48"/>
  <c r="I27" i="48"/>
  <c r="H27" i="48"/>
  <c r="F27" i="48"/>
  <c r="E27" i="48"/>
  <c r="E26" i="48"/>
  <c r="D26" i="48"/>
  <c r="E25" i="48"/>
  <c r="D25" i="48"/>
  <c r="AY24" i="48"/>
  <c r="AX24" i="48"/>
  <c r="AW24" i="48"/>
  <c r="AV24" i="48"/>
  <c r="AU24" i="48"/>
  <c r="AT24" i="48"/>
  <c r="AM24" i="48"/>
  <c r="AM27" i="48" s="1"/>
  <c r="AL24" i="48"/>
  <c r="AL27" i="48" s="1"/>
  <c r="AK24" i="48"/>
  <c r="AK27" i="48" s="1"/>
  <c r="AJ24" i="48"/>
  <c r="AJ27" i="48" s="1"/>
  <c r="AI24" i="48"/>
  <c r="AI27" i="48" s="1"/>
  <c r="AH24" i="48"/>
  <c r="AH27" i="48" s="1"/>
  <c r="AG24" i="48"/>
  <c r="AB24" i="48"/>
  <c r="E23" i="48"/>
  <c r="D23" i="48"/>
  <c r="E22" i="48"/>
  <c r="D22" i="48"/>
  <c r="E21" i="48"/>
  <c r="D21" i="48"/>
  <c r="BE20" i="48"/>
  <c r="AT20" i="48"/>
  <c r="AS20" i="48"/>
  <c r="E20" i="48"/>
  <c r="BE19" i="48"/>
  <c r="BE27" i="48" s="1"/>
  <c r="AT19" i="48"/>
  <c r="AT27" i="48" s="1"/>
  <c r="AS19" i="48"/>
  <c r="AS27" i="48" s="1"/>
  <c r="E19" i="48"/>
  <c r="AT18" i="48"/>
  <c r="AU18" i="48" s="1"/>
  <c r="AV18" i="48" s="1"/>
  <c r="AW18" i="48" s="1"/>
  <c r="AX18" i="48" s="1"/>
  <c r="AY18" i="48" s="1"/>
  <c r="AZ18" i="48" s="1"/>
  <c r="BA18" i="48" s="1"/>
  <c r="BB18" i="48" s="1"/>
  <c r="BC18" i="48" s="1"/>
  <c r="BD18" i="48" s="1"/>
  <c r="BE18" i="48" s="1"/>
  <c r="AI18" i="48"/>
  <c r="AJ18" i="48" s="1"/>
  <c r="AK18" i="48" s="1"/>
  <c r="AL18" i="48" s="1"/>
  <c r="AM18" i="48" s="1"/>
  <c r="AN18" i="48" s="1"/>
  <c r="AO18" i="48" s="1"/>
  <c r="AP18" i="48" s="1"/>
  <c r="AQ18" i="48" s="1"/>
  <c r="AR18" i="48" s="1"/>
  <c r="AS18" i="48" s="1"/>
  <c r="W18" i="48"/>
  <c r="X18" i="48" s="1"/>
  <c r="Y18" i="48" s="1"/>
  <c r="Z18" i="48" s="1"/>
  <c r="AA18" i="48" s="1"/>
  <c r="AB18" i="48" s="1"/>
  <c r="AC18" i="48" s="1"/>
  <c r="AD18" i="48" s="1"/>
  <c r="AE18" i="48" s="1"/>
  <c r="AF18" i="48" s="1"/>
  <c r="AG18" i="48" s="1"/>
  <c r="G18" i="48"/>
  <c r="H18" i="48" s="1"/>
  <c r="I18" i="48" s="1"/>
  <c r="AF13" i="48"/>
  <c r="AE13" i="48"/>
  <c r="AD13" i="48"/>
  <c r="AC13" i="48"/>
  <c r="AB13" i="48"/>
  <c r="AA13" i="48"/>
  <c r="Z13" i="48"/>
  <c r="Y13" i="48"/>
  <c r="X13" i="48"/>
  <c r="W13" i="48"/>
  <c r="V13" i="48"/>
  <c r="T13" i="48"/>
  <c r="D12" i="48"/>
  <c r="BL10" i="48"/>
  <c r="BJ10" i="48"/>
  <c r="BI10" i="48"/>
  <c r="BH10" i="48"/>
  <c r="BG10" i="48"/>
  <c r="AR10" i="48"/>
  <c r="AR9" i="48"/>
  <c r="F8" i="48"/>
  <c r="F13" i="48" s="1"/>
  <c r="G5" i="48" s="1"/>
  <c r="E7" i="48"/>
  <c r="E6" i="48"/>
  <c r="AG5" i="48"/>
  <c r="AG8" i="48" s="1"/>
  <c r="AR11" i="48" s="1"/>
  <c r="U5" i="48"/>
  <c r="U13" i="48" s="1"/>
  <c r="AU3" i="48"/>
  <c r="AV3" i="48" s="1"/>
  <c r="AW3" i="48" s="1"/>
  <c r="AX3" i="48" s="1"/>
  <c r="AY3" i="48" s="1"/>
  <c r="AZ3" i="48" s="1"/>
  <c r="BA3" i="48" s="1"/>
  <c r="BB3" i="48" s="1"/>
  <c r="BC3" i="48" s="1"/>
  <c r="BD3" i="48" s="1"/>
  <c r="BE3" i="48" s="1"/>
  <c r="AI3" i="48"/>
  <c r="W3" i="48"/>
  <c r="X3" i="48" s="1"/>
  <c r="Y3" i="48" s="1"/>
  <c r="Z3" i="48" s="1"/>
  <c r="AA3" i="48" s="1"/>
  <c r="AB3" i="48" s="1"/>
  <c r="AC3" i="48" s="1"/>
  <c r="AD3" i="48" s="1"/>
  <c r="AE3" i="48" s="1"/>
  <c r="AF3" i="48" s="1"/>
  <c r="AG3" i="48" s="1"/>
  <c r="G3" i="48"/>
  <c r="H3" i="48" s="1"/>
  <c r="I3" i="48" s="1"/>
  <c r="C23" i="49" l="1"/>
  <c r="C55" i="49"/>
  <c r="D60" i="49"/>
  <c r="C63" i="49"/>
  <c r="AG13" i="48"/>
  <c r="AH5" i="48" s="1"/>
  <c r="AH13" i="48" s="1"/>
  <c r="AI5" i="48" s="1"/>
  <c r="AI13" i="48" s="1"/>
  <c r="AT43" i="48"/>
  <c r="E60" i="48"/>
  <c r="Y79" i="48"/>
  <c r="AC79" i="48"/>
  <c r="AD75" i="48" s="1"/>
  <c r="F8" i="49"/>
  <c r="F13" i="49"/>
  <c r="G5" i="49" s="1"/>
  <c r="D20" i="49"/>
  <c r="AU45" i="49"/>
  <c r="AY28" i="49"/>
  <c r="C21" i="49"/>
  <c r="AP28" i="49"/>
  <c r="AT28" i="49"/>
  <c r="BB45" i="49"/>
  <c r="D23" i="49"/>
  <c r="D25" i="49"/>
  <c r="D27" i="49"/>
  <c r="D28" i="49"/>
  <c r="BA28" i="49"/>
  <c r="D56" i="49"/>
  <c r="AU80" i="49"/>
  <c r="AP64" i="49"/>
  <c r="AT64" i="49"/>
  <c r="AJ64" i="49"/>
  <c r="AW80" i="49"/>
  <c r="C59" i="49"/>
  <c r="BA64" i="49"/>
  <c r="D64" i="49"/>
  <c r="AZ64" i="49"/>
  <c r="AQ11" i="49"/>
  <c r="C11" i="49" s="1"/>
  <c r="AF13" i="49"/>
  <c r="AC42" i="49"/>
  <c r="G8" i="49"/>
  <c r="G13" i="49" s="1"/>
  <c r="AK3" i="49"/>
  <c r="D19" i="49"/>
  <c r="C19" i="49"/>
  <c r="AG28" i="49"/>
  <c r="AS45" i="49"/>
  <c r="AS28" i="49"/>
  <c r="AW45" i="49"/>
  <c r="AW28" i="49"/>
  <c r="AI28" i="49"/>
  <c r="AF49" i="49"/>
  <c r="AM78" i="49"/>
  <c r="AH28" i="49"/>
  <c r="AL28" i="49"/>
  <c r="AT45" i="49"/>
  <c r="AX45" i="49"/>
  <c r="AX28" i="49"/>
  <c r="BB28" i="49"/>
  <c r="AV45" i="49"/>
  <c r="AU28" i="49"/>
  <c r="D62" i="49"/>
  <c r="C62" i="49"/>
  <c r="F79" i="49"/>
  <c r="F82" i="49" s="1"/>
  <c r="AM28" i="49"/>
  <c r="AQ28" i="49"/>
  <c r="BC28" i="49"/>
  <c r="AK64" i="49"/>
  <c r="AW64" i="49"/>
  <c r="BA80" i="49"/>
  <c r="AY45" i="49"/>
  <c r="AJ28" i="49"/>
  <c r="AN28" i="49"/>
  <c r="AR28" i="49"/>
  <c r="AV28" i="49"/>
  <c r="AZ45" i="49"/>
  <c r="BD28" i="49"/>
  <c r="D21" i="49"/>
  <c r="F46" i="49"/>
  <c r="F49" i="49" s="1"/>
  <c r="C58" i="49"/>
  <c r="D55" i="49"/>
  <c r="AG64" i="49"/>
  <c r="AO64" i="49"/>
  <c r="AS80" i="49"/>
  <c r="AS64" i="49"/>
  <c r="AZ28" i="49"/>
  <c r="AH64" i="49"/>
  <c r="AT80" i="49"/>
  <c r="AX80" i="49"/>
  <c r="AX64" i="49"/>
  <c r="BB80" i="49"/>
  <c r="BB64" i="49"/>
  <c r="AN64" i="49"/>
  <c r="AV80" i="49"/>
  <c r="AV64" i="49"/>
  <c r="BD64" i="49"/>
  <c r="D61" i="49"/>
  <c r="C61" i="49"/>
  <c r="AF79" i="49"/>
  <c r="AF82" i="49" s="1"/>
  <c r="D57" i="49"/>
  <c r="C57" i="49"/>
  <c r="C60" i="49"/>
  <c r="AI64" i="49"/>
  <c r="AM64" i="49"/>
  <c r="AQ64" i="49"/>
  <c r="AU64" i="49"/>
  <c r="AY64" i="49"/>
  <c r="BC64" i="49"/>
  <c r="D59" i="49"/>
  <c r="AY80" i="49"/>
  <c r="AJ5" i="48"/>
  <c r="AJ13" i="48" s="1"/>
  <c r="AP73" i="48"/>
  <c r="G8" i="48"/>
  <c r="G13" i="48"/>
  <c r="AG27" i="48"/>
  <c r="E24" i="48"/>
  <c r="X42" i="48"/>
  <c r="X47" i="48" s="1"/>
  <c r="AD77" i="48"/>
  <c r="AJ3" i="48"/>
  <c r="AD42" i="48"/>
  <c r="D24" i="48"/>
  <c r="BA20" i="16"/>
  <c r="BA21" i="16"/>
  <c r="BA22" i="16"/>
  <c r="BA23" i="16"/>
  <c r="BA25" i="16"/>
  <c r="BA27" i="16"/>
  <c r="BA19" i="16"/>
  <c r="BA28" i="16" s="1"/>
  <c r="H5" i="49" l="1"/>
  <c r="AG44" i="49"/>
  <c r="AG49" i="49" s="1"/>
  <c r="AG79" i="49"/>
  <c r="AG82" i="49" s="1"/>
  <c r="G79" i="49"/>
  <c r="G82" i="49" s="1"/>
  <c r="AN78" i="49"/>
  <c r="AL3" i="49"/>
  <c r="C28" i="49"/>
  <c r="AG5" i="49"/>
  <c r="AG13" i="49" s="1"/>
  <c r="C64" i="49"/>
  <c r="G44" i="49"/>
  <c r="AD42" i="49"/>
  <c r="AD44" i="48"/>
  <c r="AD47" i="48" s="1"/>
  <c r="AK3" i="48"/>
  <c r="H5" i="48"/>
  <c r="AD79" i="48"/>
  <c r="AK5" i="48"/>
  <c r="AK13" i="48" s="1"/>
  <c r="Y42" i="48"/>
  <c r="Y47" i="48" s="1"/>
  <c r="AQ73" i="48"/>
  <c r="C5" i="26"/>
  <c r="C9" i="26"/>
  <c r="C15" i="26"/>
  <c r="C12" i="26"/>
  <c r="C18" i="26"/>
  <c r="C6" i="26"/>
  <c r="C21" i="26"/>
  <c r="BB14" i="48"/>
  <c r="BB83" i="49"/>
  <c r="AX83" i="49"/>
  <c r="AT83" i="49"/>
  <c r="AL83" i="49"/>
  <c r="AH83" i="49"/>
  <c r="AD83" i="49"/>
  <c r="Z83" i="49"/>
  <c r="V83" i="49"/>
  <c r="E83" i="49"/>
  <c r="BM76" i="49"/>
  <c r="BB50" i="49"/>
  <c r="AX50" i="49"/>
  <c r="AT50" i="49"/>
  <c r="AP50" i="49"/>
  <c r="BA83" i="49"/>
  <c r="AV83" i="49"/>
  <c r="AK83" i="49"/>
  <c r="AF83" i="49"/>
  <c r="AA83" i="49"/>
  <c r="H83" i="49"/>
  <c r="BM77" i="49"/>
  <c r="BA50" i="49"/>
  <c r="AV50" i="49"/>
  <c r="AQ50" i="49"/>
  <c r="AL50" i="49"/>
  <c r="AH50" i="49"/>
  <c r="Z50" i="49"/>
  <c r="V50" i="49"/>
  <c r="E50" i="49"/>
  <c r="BM46" i="49"/>
  <c r="BM45" i="49"/>
  <c r="AZ83" i="49"/>
  <c r="AS83" i="49"/>
  <c r="AE83" i="49"/>
  <c r="X83" i="49"/>
  <c r="AZ50" i="49"/>
  <c r="AS50" i="49"/>
  <c r="AM50" i="49"/>
  <c r="AG50" i="49"/>
  <c r="AB50" i="49"/>
  <c r="W50" i="49"/>
  <c r="BM41" i="49"/>
  <c r="AW83" i="49"/>
  <c r="AC83" i="49"/>
  <c r="G83" i="49"/>
  <c r="AY50" i="49"/>
  <c r="AO50" i="49"/>
  <c r="AI50" i="49"/>
  <c r="AA50" i="49"/>
  <c r="G50" i="49"/>
  <c r="BB14" i="49"/>
  <c r="AX14" i="49"/>
  <c r="AT14" i="49"/>
  <c r="AH14" i="49"/>
  <c r="AD14" i="49"/>
  <c r="Z14" i="49"/>
  <c r="V14" i="49"/>
  <c r="E14" i="49"/>
  <c r="BM9" i="49"/>
  <c r="BM8" i="49"/>
  <c r="BM7" i="49"/>
  <c r="BD83" i="49"/>
  <c r="AU83" i="49"/>
  <c r="AJ83" i="49"/>
  <c r="AB83" i="49"/>
  <c r="F83" i="49"/>
  <c r="BM79" i="49"/>
  <c r="BC83" i="49"/>
  <c r="AI83" i="49"/>
  <c r="AU50" i="49"/>
  <c r="AJ50" i="49"/>
  <c r="Y50" i="49"/>
  <c r="BM44" i="49"/>
  <c r="BC14" i="49"/>
  <c r="AW14" i="49"/>
  <c r="AG14" i="49"/>
  <c r="AB14" i="49"/>
  <c r="W14" i="49"/>
  <c r="AY83" i="49"/>
  <c r="AG83" i="49"/>
  <c r="BD50" i="49"/>
  <c r="AR50" i="49"/>
  <c r="X50" i="49"/>
  <c r="BM43" i="49"/>
  <c r="BA14" i="49"/>
  <c r="AV14" i="49"/>
  <c r="AF14" i="49"/>
  <c r="AA14" i="49"/>
  <c r="H14" i="49"/>
  <c r="W83" i="49"/>
  <c r="AN50" i="49"/>
  <c r="H50" i="49"/>
  <c r="BM42" i="49"/>
  <c r="AZ14" i="49"/>
  <c r="AE14" i="49"/>
  <c r="G14" i="49"/>
  <c r="AK50" i="49"/>
  <c r="F50" i="49"/>
  <c r="AY14" i="49"/>
  <c r="AC14" i="49"/>
  <c r="F14" i="49"/>
  <c r="BM10" i="49"/>
  <c r="BC50" i="49"/>
  <c r="AU14" i="49"/>
  <c r="AJ14" i="49"/>
  <c r="Y14" i="49"/>
  <c r="Y83" i="49"/>
  <c r="BM78" i="49"/>
  <c r="AW50" i="49"/>
  <c r="BD14" i="49"/>
  <c r="AS14" i="49"/>
  <c r="AI14" i="49"/>
  <c r="X14" i="49"/>
  <c r="BM6" i="49"/>
  <c r="BM5" i="49"/>
  <c r="BN80" i="48"/>
  <c r="BB80" i="48"/>
  <c r="AX80" i="48"/>
  <c r="AT80" i="48"/>
  <c r="AL80" i="48"/>
  <c r="AH80" i="48"/>
  <c r="AD80" i="48"/>
  <c r="Z80" i="48"/>
  <c r="BN79" i="48"/>
  <c r="BN78" i="48"/>
  <c r="BN77" i="48"/>
  <c r="BC80" i="48"/>
  <c r="AY80" i="48"/>
  <c r="AU80" i="48"/>
  <c r="AM80" i="48"/>
  <c r="AI80" i="48"/>
  <c r="AE80" i="48"/>
  <c r="AA80" i="48"/>
  <c r="W80" i="48"/>
  <c r="BE48" i="48"/>
  <c r="BA48" i="48"/>
  <c r="AW48" i="48"/>
  <c r="AS48" i="48"/>
  <c r="AO48" i="48"/>
  <c r="AK48" i="48"/>
  <c r="BA80" i="48"/>
  <c r="AK80" i="48"/>
  <c r="AC80" i="48"/>
  <c r="BN75" i="48"/>
  <c r="BC48" i="48"/>
  <c r="AX48" i="48"/>
  <c r="AR48" i="48"/>
  <c r="AM48" i="48"/>
  <c r="AH48" i="48"/>
  <c r="AD48" i="48"/>
  <c r="Z48" i="48"/>
  <c r="V48" i="48"/>
  <c r="H48" i="48"/>
  <c r="BD80" i="48"/>
  <c r="AV80" i="48"/>
  <c r="AN80" i="48"/>
  <c r="AF80" i="48"/>
  <c r="X80" i="48"/>
  <c r="BN76" i="48"/>
  <c r="BD48" i="48"/>
  <c r="AY48" i="48"/>
  <c r="AT48" i="48"/>
  <c r="AN48" i="48"/>
  <c r="AI48" i="48"/>
  <c r="AE48" i="48"/>
  <c r="AA48" i="48"/>
  <c r="W48" i="48"/>
  <c r="I48" i="48"/>
  <c r="BN47" i="48"/>
  <c r="BN46" i="48"/>
  <c r="BN43" i="48"/>
  <c r="BN42" i="48"/>
  <c r="BE14" i="48"/>
  <c r="BA14" i="48"/>
  <c r="AW14" i="48"/>
  <c r="AG14" i="48"/>
  <c r="AC14" i="48"/>
  <c r="Y14" i="48"/>
  <c r="U14" i="48"/>
  <c r="G14" i="48"/>
  <c r="AB80" i="48"/>
  <c r="BB48" i="48"/>
  <c r="AQ48" i="48"/>
  <c r="AG48" i="48"/>
  <c r="Y48" i="48"/>
  <c r="G48" i="48"/>
  <c r="BN45" i="48"/>
  <c r="AZ14" i="48"/>
  <c r="AU14" i="48"/>
  <c r="AE14" i="48"/>
  <c r="Z14" i="48"/>
  <c r="BN9" i="48"/>
  <c r="Y80" i="48"/>
  <c r="AZ48" i="48"/>
  <c r="X48" i="48"/>
  <c r="BD14" i="48"/>
  <c r="X14" i="48"/>
  <c r="AW80" i="48"/>
  <c r="AG80" i="48"/>
  <c r="AU48" i="48"/>
  <c r="AJ48" i="48"/>
  <c r="AB48" i="48"/>
  <c r="T48" i="48"/>
  <c r="BN44" i="48"/>
  <c r="AV14" i="48"/>
  <c r="AF14" i="48"/>
  <c r="AA14" i="48"/>
  <c r="V14" i="48"/>
  <c r="F14" i="48"/>
  <c r="BN10" i="48"/>
  <c r="BN7" i="48"/>
  <c r="T14" i="48"/>
  <c r="BN8" i="48"/>
  <c r="BN5" i="48"/>
  <c r="BE80" i="48"/>
  <c r="AO80" i="48"/>
  <c r="AP48" i="48"/>
  <c r="AF48" i="48"/>
  <c r="F48" i="48"/>
  <c r="AY14" i="48"/>
  <c r="AT14" i="48"/>
  <c r="AI14" i="48"/>
  <c r="AD14" i="48"/>
  <c r="I14" i="48"/>
  <c r="AC48" i="48"/>
  <c r="BC14" i="48"/>
  <c r="BN6" i="48"/>
  <c r="AJ80" i="48"/>
  <c r="AL48" i="48"/>
  <c r="W14" i="48"/>
  <c r="H14" i="48"/>
  <c r="U48" i="48"/>
  <c r="AH14" i="48"/>
  <c r="AZ80" i="48"/>
  <c r="AV48" i="48"/>
  <c r="AX14" i="48"/>
  <c r="AB14" i="48"/>
  <c r="AC50" i="49"/>
  <c r="AK14" i="49"/>
  <c r="AM83" i="49"/>
  <c r="AP80" i="48"/>
  <c r="AJ14" i="48"/>
  <c r="AD50" i="49"/>
  <c r="AN83" i="49"/>
  <c r="AL14" i="49"/>
  <c r="AQ80" i="48"/>
  <c r="AK14" i="48"/>
  <c r="AJ15" i="48" l="1"/>
  <c r="AC51" i="49"/>
  <c r="AB15" i="48"/>
  <c r="AH15" i="48"/>
  <c r="U49" i="48"/>
  <c r="W15" i="48"/>
  <c r="AC49" i="48"/>
  <c r="AD15" i="48"/>
  <c r="AI15" i="48"/>
  <c r="T15" i="48"/>
  <c r="F15" i="48"/>
  <c r="V15" i="48"/>
  <c r="AA15" i="48"/>
  <c r="AF15" i="48"/>
  <c r="T49" i="48"/>
  <c r="AB49" i="48"/>
  <c r="X15" i="48"/>
  <c r="X49" i="48"/>
  <c r="Y81" i="48"/>
  <c r="Z15" i="48"/>
  <c r="AE15" i="48"/>
  <c r="AB81" i="48"/>
  <c r="G15" i="48"/>
  <c r="U15" i="48"/>
  <c r="Y15" i="48"/>
  <c r="AC15" i="48"/>
  <c r="AG15" i="48"/>
  <c r="W49" i="48"/>
  <c r="AA49" i="48"/>
  <c r="X81" i="48"/>
  <c r="V49" i="48"/>
  <c r="AC81" i="48"/>
  <c r="W81" i="48"/>
  <c r="AA81" i="48"/>
  <c r="Z81" i="48"/>
  <c r="X15" i="49"/>
  <c r="Y84" i="49"/>
  <c r="Y15" i="49"/>
  <c r="F15" i="49"/>
  <c r="AC15" i="49"/>
  <c r="F51" i="49"/>
  <c r="G15" i="49"/>
  <c r="AE15" i="49"/>
  <c r="W84" i="49"/>
  <c r="AA15" i="49"/>
  <c r="AF15" i="49"/>
  <c r="X51" i="49"/>
  <c r="W15" i="49"/>
  <c r="AB15" i="49"/>
  <c r="Y51" i="49"/>
  <c r="F84" i="49"/>
  <c r="AB84" i="49"/>
  <c r="E15" i="49"/>
  <c r="V15" i="49"/>
  <c r="Z15" i="49"/>
  <c r="AD15" i="49"/>
  <c r="AA51" i="49"/>
  <c r="AC84" i="49"/>
  <c r="W51" i="49"/>
  <c r="AB51" i="49"/>
  <c r="X84" i="49"/>
  <c r="AE84" i="49"/>
  <c r="E51" i="49"/>
  <c r="V51" i="49"/>
  <c r="Z51" i="49"/>
  <c r="AA84" i="49"/>
  <c r="AF84" i="49"/>
  <c r="E84" i="49"/>
  <c r="V84" i="49"/>
  <c r="Z84" i="49"/>
  <c r="AD84" i="49"/>
  <c r="AD51" i="49"/>
  <c r="AM3" i="49"/>
  <c r="AO78" i="49"/>
  <c r="AG15" i="49"/>
  <c r="AH5" i="49"/>
  <c r="AH13" i="49" s="1"/>
  <c r="G46" i="49"/>
  <c r="G49" i="49" s="1"/>
  <c r="AG84" i="49"/>
  <c r="AH79" i="49"/>
  <c r="AH82" i="49" s="1"/>
  <c r="H8" i="49"/>
  <c r="D8" i="49" s="1"/>
  <c r="AE42" i="49"/>
  <c r="H79" i="49"/>
  <c r="H82" i="49" s="1"/>
  <c r="H84" i="49" s="1"/>
  <c r="G84" i="49"/>
  <c r="AH44" i="49"/>
  <c r="AH49" i="49" s="1"/>
  <c r="AG51" i="49"/>
  <c r="Z42" i="48"/>
  <c r="Z47" i="48" s="1"/>
  <c r="Z49" i="48" s="1"/>
  <c r="Y49" i="48"/>
  <c r="AL3" i="48"/>
  <c r="AD49" i="48"/>
  <c r="AE42" i="48"/>
  <c r="AD81" i="48"/>
  <c r="AE75" i="48"/>
  <c r="AK15" i="48"/>
  <c r="AL5" i="48"/>
  <c r="AL13" i="48" s="1"/>
  <c r="AR73" i="48"/>
  <c r="H8" i="48"/>
  <c r="H13" i="48" s="1"/>
  <c r="BK46" i="16"/>
  <c r="BJ46" i="16"/>
  <c r="AO83" i="49"/>
  <c r="AM14" i="49"/>
  <c r="AE50" i="49"/>
  <c r="AR80" i="48"/>
  <c r="AL14" i="48"/>
  <c r="BM77" i="16"/>
  <c r="BM44" i="16"/>
  <c r="BM6" i="16"/>
  <c r="BM76" i="16"/>
  <c r="BM43" i="16"/>
  <c r="BM9" i="16"/>
  <c r="BM5" i="16"/>
  <c r="BM79" i="16"/>
  <c r="BM42" i="16"/>
  <c r="BM8" i="16"/>
  <c r="BM78" i="16"/>
  <c r="BM41" i="16"/>
  <c r="BM7" i="16"/>
  <c r="BM77" i="47"/>
  <c r="BM79" i="47"/>
  <c r="BM78" i="47"/>
  <c r="BM76" i="47"/>
  <c r="BM42" i="47"/>
  <c r="BM41" i="47"/>
  <c r="BM43" i="47"/>
  <c r="BM44" i="47"/>
  <c r="BM6" i="47"/>
  <c r="BM9" i="47"/>
  <c r="BM8" i="47"/>
  <c r="BM7" i="47"/>
  <c r="BM5" i="47"/>
  <c r="BN78" i="32"/>
  <c r="BN77" i="32"/>
  <c r="BN80" i="32"/>
  <c r="BN76" i="32"/>
  <c r="BN79" i="32"/>
  <c r="BN75" i="32"/>
  <c r="BN43" i="32"/>
  <c r="BN42" i="32"/>
  <c r="BN45" i="32"/>
  <c r="BN44" i="32"/>
  <c r="BN6" i="32"/>
  <c r="BN7" i="32"/>
  <c r="BN9" i="32"/>
  <c r="BN8" i="32"/>
  <c r="BN5" i="32"/>
  <c r="AE51" i="49" l="1"/>
  <c r="G51" i="49"/>
  <c r="H44" i="49"/>
  <c r="AI79" i="49"/>
  <c r="AI82" i="49" s="1"/>
  <c r="AH84" i="49"/>
  <c r="AF42" i="49"/>
  <c r="AI5" i="49"/>
  <c r="AI13" i="49" s="1"/>
  <c r="AH15" i="49"/>
  <c r="AH51" i="49"/>
  <c r="AI44" i="49"/>
  <c r="AI49" i="49" s="1"/>
  <c r="BJ44" i="49"/>
  <c r="AN3" i="49"/>
  <c r="H13" i="49"/>
  <c r="H15" i="49" s="1"/>
  <c r="AP78" i="49"/>
  <c r="AL15" i="48"/>
  <c r="AM5" i="48"/>
  <c r="AM13" i="48" s="1"/>
  <c r="AE77" i="48"/>
  <c r="AM3" i="48"/>
  <c r="I5" i="48"/>
  <c r="H15" i="48"/>
  <c r="AS73" i="48"/>
  <c r="AE44" i="48"/>
  <c r="AE47" i="48" s="1"/>
  <c r="AE82" i="47"/>
  <c r="AD82" i="47"/>
  <c r="AC82" i="47"/>
  <c r="AB82" i="47"/>
  <c r="AA82" i="47"/>
  <c r="Z82" i="47"/>
  <c r="Y82" i="47"/>
  <c r="X82" i="47"/>
  <c r="W82" i="47"/>
  <c r="V82" i="47"/>
  <c r="AS81" i="47"/>
  <c r="C81" i="47"/>
  <c r="F80" i="47"/>
  <c r="E80" i="47"/>
  <c r="E82" i="47" s="1"/>
  <c r="D80" i="47"/>
  <c r="C80" i="47"/>
  <c r="C82" i="47" s="1"/>
  <c r="AF79" i="47"/>
  <c r="AF82" i="47" s="1"/>
  <c r="AS78" i="47"/>
  <c r="AT78" i="47" s="1"/>
  <c r="AU78" i="47" s="1"/>
  <c r="AV78" i="47" s="1"/>
  <c r="AW78" i="47" s="1"/>
  <c r="AX78" i="47" s="1"/>
  <c r="AY78" i="47" s="1"/>
  <c r="AZ78" i="47" s="1"/>
  <c r="BA78" i="47" s="1"/>
  <c r="BB78" i="47" s="1"/>
  <c r="BC78" i="47" s="1"/>
  <c r="BD78" i="47" s="1"/>
  <c r="AH78" i="47"/>
  <c r="AI78" i="47" s="1"/>
  <c r="V78" i="47"/>
  <c r="W78" i="47" s="1"/>
  <c r="X78" i="47" s="1"/>
  <c r="Y78" i="47" s="1"/>
  <c r="Z78" i="47" s="1"/>
  <c r="AA78" i="47" s="1"/>
  <c r="AB78" i="47" s="1"/>
  <c r="AC78" i="47" s="1"/>
  <c r="AD78" i="47" s="1"/>
  <c r="AE78" i="47" s="1"/>
  <c r="AF78" i="47" s="1"/>
  <c r="F78" i="47"/>
  <c r="G78" i="47" s="1"/>
  <c r="H78" i="47" s="1"/>
  <c r="BF75" i="47"/>
  <c r="AS67" i="47"/>
  <c r="AT67" i="47" s="1"/>
  <c r="AU67" i="47" s="1"/>
  <c r="AV67" i="47" s="1"/>
  <c r="AW67" i="47" s="1"/>
  <c r="AX67" i="47" s="1"/>
  <c r="AY67" i="47" s="1"/>
  <c r="AZ67" i="47" s="1"/>
  <c r="BA67" i="47" s="1"/>
  <c r="BB67" i="47" s="1"/>
  <c r="BC67" i="47" s="1"/>
  <c r="BD67" i="47" s="1"/>
  <c r="AH67" i="47"/>
  <c r="AI67" i="47" s="1"/>
  <c r="AJ67" i="47" s="1"/>
  <c r="AK67" i="47" s="1"/>
  <c r="AL67" i="47" s="1"/>
  <c r="AM67" i="47" s="1"/>
  <c r="AN67" i="47" s="1"/>
  <c r="AO67" i="47" s="1"/>
  <c r="AP67" i="47" s="1"/>
  <c r="AQ67" i="47" s="1"/>
  <c r="AR67" i="47" s="1"/>
  <c r="V67" i="47"/>
  <c r="W67" i="47" s="1"/>
  <c r="X67" i="47" s="1"/>
  <c r="Y67" i="47" s="1"/>
  <c r="Z67" i="47" s="1"/>
  <c r="AA67" i="47" s="1"/>
  <c r="AB67" i="47" s="1"/>
  <c r="AC67" i="47" s="1"/>
  <c r="AD67" i="47" s="1"/>
  <c r="AE67" i="47" s="1"/>
  <c r="AF67" i="47" s="1"/>
  <c r="F67" i="47"/>
  <c r="G67" i="47" s="1"/>
  <c r="H67" i="47" s="1"/>
  <c r="D65" i="47"/>
  <c r="C65" i="47"/>
  <c r="AF64" i="47"/>
  <c r="AE64" i="47"/>
  <c r="AD64" i="47"/>
  <c r="AC64" i="47"/>
  <c r="AB64" i="47"/>
  <c r="AA64" i="47"/>
  <c r="Z64" i="47"/>
  <c r="Y64" i="47"/>
  <c r="X64" i="47"/>
  <c r="W64" i="47"/>
  <c r="V64" i="47"/>
  <c r="H64" i="47"/>
  <c r="G64" i="47"/>
  <c r="F64" i="47"/>
  <c r="E64" i="47"/>
  <c r="BD63" i="47"/>
  <c r="BC63" i="47"/>
  <c r="BB63" i="47"/>
  <c r="BA63" i="47"/>
  <c r="AZ63" i="47"/>
  <c r="AY63" i="47"/>
  <c r="AX63" i="47"/>
  <c r="AW63" i="47"/>
  <c r="AV63" i="47"/>
  <c r="AU63" i="47"/>
  <c r="AT63" i="47"/>
  <c r="AS63" i="47"/>
  <c r="AR63" i="47"/>
  <c r="AQ63" i="47"/>
  <c r="AP63" i="47"/>
  <c r="AO63" i="47"/>
  <c r="AN63" i="47"/>
  <c r="AM63" i="47"/>
  <c r="AL63" i="47"/>
  <c r="AK63" i="47"/>
  <c r="AJ63" i="47"/>
  <c r="AI63" i="47"/>
  <c r="AH63" i="47"/>
  <c r="AG63" i="47"/>
  <c r="BD62" i="47"/>
  <c r="BC62" i="47"/>
  <c r="BB62" i="47"/>
  <c r="BA62" i="47"/>
  <c r="AZ62" i="47"/>
  <c r="AY62" i="47"/>
  <c r="AX62" i="47"/>
  <c r="AW62" i="47"/>
  <c r="AV62" i="47"/>
  <c r="AU62" i="47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BD61" i="47"/>
  <c r="BC61" i="47"/>
  <c r="BB61" i="47"/>
  <c r="BA61" i="47"/>
  <c r="AZ61" i="47"/>
  <c r="AY61" i="47"/>
  <c r="AX61" i="47"/>
  <c r="AW61" i="47"/>
  <c r="AV61" i="47"/>
  <c r="AU61" i="47"/>
  <c r="AT61" i="47"/>
  <c r="AS61" i="47"/>
  <c r="AR61" i="47"/>
  <c r="AQ61" i="47"/>
  <c r="AP61" i="47"/>
  <c r="AO61" i="47"/>
  <c r="AN61" i="47"/>
  <c r="AM61" i="47"/>
  <c r="AL61" i="47"/>
  <c r="AK61" i="47"/>
  <c r="AJ61" i="47"/>
  <c r="AI61" i="47"/>
  <c r="AH61" i="47"/>
  <c r="AG61" i="47"/>
  <c r="BD60" i="47"/>
  <c r="BC60" i="47"/>
  <c r="BB60" i="47"/>
  <c r="BA60" i="47"/>
  <c r="AZ60" i="47"/>
  <c r="AY60" i="47"/>
  <c r="AX60" i="47"/>
  <c r="AW60" i="47"/>
  <c r="AV60" i="47"/>
  <c r="AU60" i="47"/>
  <c r="AT60" i="47"/>
  <c r="AS60" i="47"/>
  <c r="AR60" i="47"/>
  <c r="AQ60" i="47"/>
  <c r="AP60" i="47"/>
  <c r="AO60" i="47"/>
  <c r="AN60" i="47"/>
  <c r="AM60" i="47"/>
  <c r="AL60" i="47"/>
  <c r="AK60" i="47"/>
  <c r="AJ60" i="47"/>
  <c r="AI60" i="47"/>
  <c r="AH60" i="47"/>
  <c r="AG60" i="47"/>
  <c r="BD59" i="47"/>
  <c r="BC59" i="47"/>
  <c r="BB59" i="47"/>
  <c r="BA59" i="47"/>
  <c r="AZ59" i="47"/>
  <c r="AY59" i="47"/>
  <c r="AX59" i="47"/>
  <c r="AW59" i="47"/>
  <c r="AV59" i="47"/>
  <c r="AU59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BD58" i="47"/>
  <c r="BC58" i="47"/>
  <c r="BB58" i="47"/>
  <c r="BA58" i="47"/>
  <c r="AZ58" i="47"/>
  <c r="AY58" i="47"/>
  <c r="AX58" i="47"/>
  <c r="AW58" i="47"/>
  <c r="AV58" i="47"/>
  <c r="AU58" i="47"/>
  <c r="AT58" i="47"/>
  <c r="AS58" i="47"/>
  <c r="AR58" i="47"/>
  <c r="AQ58" i="47"/>
  <c r="AP58" i="47"/>
  <c r="AO58" i="47"/>
  <c r="AN58" i="47"/>
  <c r="AM58" i="47"/>
  <c r="AL58" i="47"/>
  <c r="AK58" i="47"/>
  <c r="AJ58" i="47"/>
  <c r="AI58" i="47"/>
  <c r="AH58" i="47"/>
  <c r="AG58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BD56" i="47"/>
  <c r="BC56" i="47"/>
  <c r="BB56" i="47"/>
  <c r="BA56" i="47"/>
  <c r="AZ56" i="47"/>
  <c r="AY56" i="47"/>
  <c r="AX56" i="47"/>
  <c r="AW56" i="47"/>
  <c r="AV56" i="47"/>
  <c r="AU56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BD55" i="47"/>
  <c r="BD64" i="47" s="1"/>
  <c r="BC55" i="47"/>
  <c r="BC64" i="47" s="1"/>
  <c r="BB55" i="47"/>
  <c r="BA55" i="47"/>
  <c r="AZ55" i="47"/>
  <c r="AY55" i="47"/>
  <c r="AY80" i="47" s="1"/>
  <c r="AX55" i="47"/>
  <c r="AW55" i="47"/>
  <c r="AV55" i="47"/>
  <c r="AU55" i="47"/>
  <c r="AU80" i="47" s="1"/>
  <c r="AT55" i="47"/>
  <c r="AS55" i="47"/>
  <c r="AR55" i="47"/>
  <c r="AR64" i="47" s="1"/>
  <c r="AQ55" i="47"/>
  <c r="AQ64" i="47" s="1"/>
  <c r="AP55" i="47"/>
  <c r="AO55" i="47"/>
  <c r="AN55" i="47"/>
  <c r="AN64" i="47" s="1"/>
  <c r="AM55" i="47"/>
  <c r="AM64" i="47" s="1"/>
  <c r="AL55" i="47"/>
  <c r="AK55" i="47"/>
  <c r="AJ55" i="47"/>
  <c r="AJ64" i="47" s="1"/>
  <c r="AI55" i="47"/>
  <c r="AI64" i="47" s="1"/>
  <c r="AH55" i="47"/>
  <c r="AG55" i="47"/>
  <c r="AS54" i="47"/>
  <c r="AT54" i="47" s="1"/>
  <c r="AU54" i="47" s="1"/>
  <c r="AV54" i="47" s="1"/>
  <c r="AW54" i="47" s="1"/>
  <c r="AX54" i="47" s="1"/>
  <c r="AY54" i="47" s="1"/>
  <c r="AZ54" i="47" s="1"/>
  <c r="BA54" i="47" s="1"/>
  <c r="BB54" i="47" s="1"/>
  <c r="BC54" i="47" s="1"/>
  <c r="BD54" i="47" s="1"/>
  <c r="AH54" i="47"/>
  <c r="AI54" i="47" s="1"/>
  <c r="AJ54" i="47" s="1"/>
  <c r="AK54" i="47" s="1"/>
  <c r="AL54" i="47" s="1"/>
  <c r="AM54" i="47" s="1"/>
  <c r="AN54" i="47" s="1"/>
  <c r="AO54" i="47" s="1"/>
  <c r="AP54" i="47" s="1"/>
  <c r="AQ54" i="47" s="1"/>
  <c r="AR54" i="47" s="1"/>
  <c r="V54" i="47"/>
  <c r="W54" i="47" s="1"/>
  <c r="X54" i="47" s="1"/>
  <c r="Y54" i="47" s="1"/>
  <c r="Z54" i="47" s="1"/>
  <c r="AA54" i="47" s="1"/>
  <c r="AB54" i="47" s="1"/>
  <c r="AC54" i="47" s="1"/>
  <c r="AD54" i="47" s="1"/>
  <c r="AE54" i="47" s="1"/>
  <c r="AF54" i="47" s="1"/>
  <c r="F54" i="47"/>
  <c r="G54" i="47" s="1"/>
  <c r="H54" i="47" s="1"/>
  <c r="AE49" i="47"/>
  <c r="AD49" i="47"/>
  <c r="AC49" i="47"/>
  <c r="AB49" i="47"/>
  <c r="AA49" i="47"/>
  <c r="Z49" i="47"/>
  <c r="Y49" i="47"/>
  <c r="X49" i="47"/>
  <c r="W49" i="47"/>
  <c r="V49" i="47"/>
  <c r="C48" i="47"/>
  <c r="C47" i="47"/>
  <c r="BK46" i="47"/>
  <c r="BJ46" i="47"/>
  <c r="BI46" i="47"/>
  <c r="BH46" i="47"/>
  <c r="BG46" i="47"/>
  <c r="BF46" i="47"/>
  <c r="BI45" i="47"/>
  <c r="BH45" i="47"/>
  <c r="BG45" i="47"/>
  <c r="BD45" i="47"/>
  <c r="AR45" i="47"/>
  <c r="F45" i="47"/>
  <c r="E45" i="47"/>
  <c r="E46" i="47" s="1"/>
  <c r="D45" i="47"/>
  <c r="C45" i="47"/>
  <c r="AF44" i="47"/>
  <c r="AS42" i="47"/>
  <c r="AT42" i="47" s="1"/>
  <c r="AU42" i="47" s="1"/>
  <c r="AV42" i="47" s="1"/>
  <c r="AW42" i="47" s="1"/>
  <c r="AX42" i="47" s="1"/>
  <c r="AY42" i="47" s="1"/>
  <c r="AZ42" i="47" s="1"/>
  <c r="BA42" i="47" s="1"/>
  <c r="BB42" i="47" s="1"/>
  <c r="BC42" i="47" s="1"/>
  <c r="BD42" i="47" s="1"/>
  <c r="AH42" i="47"/>
  <c r="AI42" i="47" s="1"/>
  <c r="AJ42" i="47" s="1"/>
  <c r="AK42" i="47" s="1"/>
  <c r="AL42" i="47" s="1"/>
  <c r="AM42" i="47" s="1"/>
  <c r="AN42" i="47" s="1"/>
  <c r="AO42" i="47" s="1"/>
  <c r="AP42" i="47" s="1"/>
  <c r="AQ42" i="47" s="1"/>
  <c r="AR42" i="47" s="1"/>
  <c r="V42" i="47"/>
  <c r="F42" i="47"/>
  <c r="G42" i="47" s="1"/>
  <c r="H42" i="47" s="1"/>
  <c r="BF40" i="47"/>
  <c r="AS31" i="47"/>
  <c r="AT31" i="47" s="1"/>
  <c r="AU31" i="47" s="1"/>
  <c r="AV31" i="47" s="1"/>
  <c r="AW31" i="47" s="1"/>
  <c r="AX31" i="47" s="1"/>
  <c r="AY31" i="47" s="1"/>
  <c r="AZ31" i="47" s="1"/>
  <c r="BA31" i="47" s="1"/>
  <c r="BB31" i="47" s="1"/>
  <c r="BC31" i="47" s="1"/>
  <c r="BD31" i="47" s="1"/>
  <c r="AH31" i="47"/>
  <c r="AI31" i="47" s="1"/>
  <c r="AJ31" i="47" s="1"/>
  <c r="AK31" i="47" s="1"/>
  <c r="AL31" i="47" s="1"/>
  <c r="AM31" i="47" s="1"/>
  <c r="AN31" i="47" s="1"/>
  <c r="AO31" i="47" s="1"/>
  <c r="AP31" i="47" s="1"/>
  <c r="AQ31" i="47" s="1"/>
  <c r="AR31" i="47" s="1"/>
  <c r="V31" i="47"/>
  <c r="W31" i="47" s="1"/>
  <c r="X31" i="47" s="1"/>
  <c r="Y31" i="47" s="1"/>
  <c r="Z31" i="47" s="1"/>
  <c r="AA31" i="47" s="1"/>
  <c r="AB31" i="47" s="1"/>
  <c r="AC31" i="47" s="1"/>
  <c r="AD31" i="47" s="1"/>
  <c r="AE31" i="47" s="1"/>
  <c r="AF31" i="47" s="1"/>
  <c r="F31" i="47"/>
  <c r="G31" i="47" s="1"/>
  <c r="H31" i="47" s="1"/>
  <c r="D29" i="47"/>
  <c r="C29" i="47"/>
  <c r="AF28" i="47"/>
  <c r="AE28" i="47"/>
  <c r="AD28" i="47"/>
  <c r="AC28" i="47"/>
  <c r="AB28" i="47"/>
  <c r="AA28" i="47"/>
  <c r="Z28" i="47"/>
  <c r="Y28" i="47"/>
  <c r="X28" i="47"/>
  <c r="W28" i="47"/>
  <c r="V28" i="47"/>
  <c r="D28" i="47" s="1"/>
  <c r="H28" i="47"/>
  <c r="G28" i="47"/>
  <c r="F28" i="47"/>
  <c r="E28" i="47"/>
  <c r="BD27" i="47"/>
  <c r="BC27" i="47"/>
  <c r="BB27" i="47"/>
  <c r="BA27" i="47"/>
  <c r="AZ27" i="47"/>
  <c r="AY27" i="47"/>
  <c r="AX27" i="47"/>
  <c r="AW27" i="47"/>
  <c r="AV27" i="47"/>
  <c r="AU27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D26" i="47"/>
  <c r="C26" i="47"/>
  <c r="BD25" i="47"/>
  <c r="BC25" i="47"/>
  <c r="BB25" i="47"/>
  <c r="BA25" i="47"/>
  <c r="AZ25" i="47"/>
  <c r="AY25" i="47"/>
  <c r="AX25" i="47"/>
  <c r="AW25" i="47"/>
  <c r="AV25" i="47"/>
  <c r="AU25" i="47"/>
  <c r="AT25" i="47"/>
  <c r="AS25" i="47"/>
  <c r="AR25" i="47"/>
  <c r="AQ25" i="47"/>
  <c r="AP25" i="47"/>
  <c r="AO25" i="47"/>
  <c r="AN25" i="47"/>
  <c r="AM25" i="47"/>
  <c r="AL25" i="47"/>
  <c r="AK25" i="47"/>
  <c r="AJ25" i="47"/>
  <c r="AI25" i="47"/>
  <c r="AH25" i="47"/>
  <c r="AG25" i="47"/>
  <c r="D24" i="47"/>
  <c r="C24" i="47"/>
  <c r="BD23" i="47"/>
  <c r="BC23" i="47"/>
  <c r="BB23" i="47"/>
  <c r="BA23" i="47"/>
  <c r="AZ23" i="47"/>
  <c r="AY23" i="47"/>
  <c r="AX23" i="47"/>
  <c r="AW23" i="47"/>
  <c r="AV23" i="47"/>
  <c r="AU23" i="47"/>
  <c r="AT23" i="47"/>
  <c r="AS23" i="47"/>
  <c r="AR23" i="47"/>
  <c r="AQ23" i="47"/>
  <c r="AP23" i="47"/>
  <c r="AO23" i="47"/>
  <c r="AN23" i="47"/>
  <c r="AM23" i="47"/>
  <c r="AL23" i="47"/>
  <c r="AK23" i="47"/>
  <c r="AJ23" i="47"/>
  <c r="AI23" i="47"/>
  <c r="AH23" i="47"/>
  <c r="AG23" i="47"/>
  <c r="BD21" i="47"/>
  <c r="BC21" i="47"/>
  <c r="BB21" i="47"/>
  <c r="BA21" i="47"/>
  <c r="AZ21" i="47"/>
  <c r="AY21" i="47"/>
  <c r="AX21" i="47"/>
  <c r="AW21" i="47"/>
  <c r="AV21" i="47"/>
  <c r="AU21" i="47"/>
  <c r="AT21" i="47"/>
  <c r="AS21" i="47"/>
  <c r="AR21" i="47"/>
  <c r="AQ21" i="47"/>
  <c r="AP21" i="47"/>
  <c r="AO21" i="47"/>
  <c r="AN21" i="47"/>
  <c r="AM21" i="47"/>
  <c r="AL21" i="47"/>
  <c r="AK21" i="47"/>
  <c r="AJ21" i="47"/>
  <c r="AI21" i="47"/>
  <c r="AH21" i="47"/>
  <c r="AG21" i="47"/>
  <c r="BD20" i="47"/>
  <c r="BC20" i="47"/>
  <c r="BB20" i="47"/>
  <c r="BA20" i="47"/>
  <c r="AZ20" i="47"/>
  <c r="AY20" i="47"/>
  <c r="AX20" i="47"/>
  <c r="AW20" i="47"/>
  <c r="AV20" i="47"/>
  <c r="AU20" i="47"/>
  <c r="AT20" i="47"/>
  <c r="AS20" i="47"/>
  <c r="AR20" i="47"/>
  <c r="AQ20" i="47"/>
  <c r="AP20" i="47"/>
  <c r="AO20" i="47"/>
  <c r="AN20" i="47"/>
  <c r="AM20" i="47"/>
  <c r="AL20" i="47"/>
  <c r="AK20" i="47"/>
  <c r="AJ20" i="47"/>
  <c r="AI20" i="47"/>
  <c r="AH20" i="47"/>
  <c r="AG20" i="47"/>
  <c r="BD19" i="47"/>
  <c r="BC19" i="47"/>
  <c r="BC28" i="47" s="1"/>
  <c r="BB19" i="47"/>
  <c r="BA19" i="47"/>
  <c r="AZ19" i="47"/>
  <c r="AY19" i="47"/>
  <c r="AX19" i="47"/>
  <c r="AW19" i="47"/>
  <c r="AW45" i="47" s="1"/>
  <c r="AV19" i="47"/>
  <c r="AU19" i="47"/>
  <c r="AU45" i="47" s="1"/>
  <c r="AT19" i="47"/>
  <c r="AS19" i="47"/>
  <c r="AS45" i="47" s="1"/>
  <c r="AR19" i="47"/>
  <c r="AQ19" i="47"/>
  <c r="AQ28" i="47" s="1"/>
  <c r="AP19" i="47"/>
  <c r="AO19" i="47"/>
  <c r="AN19" i="47"/>
  <c r="AM19" i="47"/>
  <c r="AM28" i="47" s="1"/>
  <c r="AL19" i="47"/>
  <c r="AK19" i="47"/>
  <c r="AK28" i="47" s="1"/>
  <c r="AJ19" i="47"/>
  <c r="AI19" i="47"/>
  <c r="AH19" i="47"/>
  <c r="AG19" i="47"/>
  <c r="AG28" i="47" s="1"/>
  <c r="AS18" i="47"/>
  <c r="AT18" i="47" s="1"/>
  <c r="AU18" i="47" s="1"/>
  <c r="AV18" i="47" s="1"/>
  <c r="AW18" i="47" s="1"/>
  <c r="AX18" i="47" s="1"/>
  <c r="AY18" i="47" s="1"/>
  <c r="AZ18" i="47" s="1"/>
  <c r="BA18" i="47" s="1"/>
  <c r="BB18" i="47" s="1"/>
  <c r="BC18" i="47" s="1"/>
  <c r="BD18" i="47" s="1"/>
  <c r="AH18" i="47"/>
  <c r="AI18" i="47" s="1"/>
  <c r="AJ18" i="47" s="1"/>
  <c r="AK18" i="47" s="1"/>
  <c r="AL18" i="47" s="1"/>
  <c r="AM18" i="47" s="1"/>
  <c r="AN18" i="47" s="1"/>
  <c r="AO18" i="47" s="1"/>
  <c r="AP18" i="47" s="1"/>
  <c r="AQ18" i="47" s="1"/>
  <c r="AR18" i="47" s="1"/>
  <c r="V18" i="47"/>
  <c r="W18" i="47" s="1"/>
  <c r="X18" i="47" s="1"/>
  <c r="Y18" i="47" s="1"/>
  <c r="Z18" i="47" s="1"/>
  <c r="AA18" i="47" s="1"/>
  <c r="AB18" i="47" s="1"/>
  <c r="AC18" i="47" s="1"/>
  <c r="AD18" i="47" s="1"/>
  <c r="AE18" i="47" s="1"/>
  <c r="AF18" i="47" s="1"/>
  <c r="F18" i="47"/>
  <c r="G18" i="47" s="1"/>
  <c r="H18" i="47" s="1"/>
  <c r="AE13" i="47"/>
  <c r="AF5" i="47" s="1"/>
  <c r="AD13" i="47"/>
  <c r="AC13" i="47"/>
  <c r="AB13" i="47"/>
  <c r="AA13" i="47"/>
  <c r="Z13" i="47"/>
  <c r="Y13" i="47"/>
  <c r="X13" i="47"/>
  <c r="W13" i="47"/>
  <c r="V13" i="47"/>
  <c r="AF12" i="47"/>
  <c r="C12" i="47"/>
  <c r="BK10" i="47"/>
  <c r="BI10" i="47"/>
  <c r="BH10" i="47"/>
  <c r="BG10" i="47"/>
  <c r="BF10" i="47"/>
  <c r="AQ10" i="47"/>
  <c r="C10" i="47"/>
  <c r="AQ9" i="47"/>
  <c r="C9" i="47" s="1"/>
  <c r="E8" i="47"/>
  <c r="E13" i="47" s="1"/>
  <c r="F5" i="47" s="1"/>
  <c r="D7" i="47"/>
  <c r="D6" i="47"/>
  <c r="AT3" i="47"/>
  <c r="AU3" i="47" s="1"/>
  <c r="AV3" i="47" s="1"/>
  <c r="AW3" i="47" s="1"/>
  <c r="AX3" i="47" s="1"/>
  <c r="AY3" i="47" s="1"/>
  <c r="AZ3" i="47" s="1"/>
  <c r="BA3" i="47" s="1"/>
  <c r="BB3" i="47" s="1"/>
  <c r="BC3" i="47" s="1"/>
  <c r="BD3" i="47" s="1"/>
  <c r="AH3" i="47"/>
  <c r="V3" i="47"/>
  <c r="W3" i="47" s="1"/>
  <c r="X3" i="47" s="1"/>
  <c r="Y3" i="47" s="1"/>
  <c r="Z3" i="47" s="1"/>
  <c r="AA3" i="47" s="1"/>
  <c r="AB3" i="47" s="1"/>
  <c r="AC3" i="47" s="1"/>
  <c r="AD3" i="47" s="1"/>
  <c r="AE3" i="47" s="1"/>
  <c r="AF3" i="47" s="1"/>
  <c r="F3" i="47"/>
  <c r="G3" i="47" s="1"/>
  <c r="H3" i="47" s="1"/>
  <c r="AB79" i="46"/>
  <c r="AA79" i="46"/>
  <c r="Z79" i="46"/>
  <c r="X79" i="46"/>
  <c r="W79" i="46"/>
  <c r="D78" i="46"/>
  <c r="G77" i="46"/>
  <c r="V76" i="46"/>
  <c r="I76" i="46"/>
  <c r="I77" i="46" s="1"/>
  <c r="F76" i="46"/>
  <c r="F77" i="46" s="1"/>
  <c r="E76" i="46"/>
  <c r="D76" i="46"/>
  <c r="AC75" i="46"/>
  <c r="Y75" i="46"/>
  <c r="BG74" i="46"/>
  <c r="AT73" i="46"/>
  <c r="AU73" i="46" s="1"/>
  <c r="AV73" i="46" s="1"/>
  <c r="AW73" i="46" s="1"/>
  <c r="AX73" i="46" s="1"/>
  <c r="AY73" i="46" s="1"/>
  <c r="AZ73" i="46" s="1"/>
  <c r="BA73" i="46" s="1"/>
  <c r="BB73" i="46" s="1"/>
  <c r="BC73" i="46" s="1"/>
  <c r="BD73" i="46" s="1"/>
  <c r="BE73" i="46" s="1"/>
  <c r="AI73" i="46"/>
  <c r="W73" i="46"/>
  <c r="X73" i="46" s="1"/>
  <c r="Y73" i="46" s="1"/>
  <c r="Z73" i="46" s="1"/>
  <c r="AA73" i="46" s="1"/>
  <c r="AB73" i="46" s="1"/>
  <c r="AC73" i="46" s="1"/>
  <c r="AD73" i="46" s="1"/>
  <c r="AE73" i="46" s="1"/>
  <c r="AF73" i="46" s="1"/>
  <c r="AG73" i="46" s="1"/>
  <c r="G73" i="46"/>
  <c r="H73" i="46" s="1"/>
  <c r="I73" i="46" s="1"/>
  <c r="AT63" i="46"/>
  <c r="AU63" i="46" s="1"/>
  <c r="AV63" i="46" s="1"/>
  <c r="AW63" i="46" s="1"/>
  <c r="AX63" i="46" s="1"/>
  <c r="AY63" i="46" s="1"/>
  <c r="AZ63" i="46" s="1"/>
  <c r="BA63" i="46" s="1"/>
  <c r="BB63" i="46" s="1"/>
  <c r="BC63" i="46" s="1"/>
  <c r="BD63" i="46" s="1"/>
  <c r="BE63" i="46" s="1"/>
  <c r="AI63" i="46"/>
  <c r="AJ63" i="46" s="1"/>
  <c r="AK63" i="46" s="1"/>
  <c r="AL63" i="46" s="1"/>
  <c r="AM63" i="46" s="1"/>
  <c r="AN63" i="46" s="1"/>
  <c r="AO63" i="46" s="1"/>
  <c r="AP63" i="46" s="1"/>
  <c r="AQ63" i="46" s="1"/>
  <c r="AR63" i="46" s="1"/>
  <c r="AS63" i="46" s="1"/>
  <c r="W63" i="46"/>
  <c r="X63" i="46" s="1"/>
  <c r="Y63" i="46" s="1"/>
  <c r="Z63" i="46" s="1"/>
  <c r="AA63" i="46" s="1"/>
  <c r="AB63" i="46" s="1"/>
  <c r="AC63" i="46" s="1"/>
  <c r="AD63" i="46" s="1"/>
  <c r="AE63" i="46" s="1"/>
  <c r="AF63" i="46" s="1"/>
  <c r="AG63" i="46" s="1"/>
  <c r="G63" i="46"/>
  <c r="H63" i="46" s="1"/>
  <c r="I63" i="46" s="1"/>
  <c r="E61" i="46"/>
  <c r="D61" i="46"/>
  <c r="AQ60" i="46"/>
  <c r="AP60" i="46"/>
  <c r="AO60" i="46"/>
  <c r="AN60" i="46"/>
  <c r="AM60" i="46"/>
  <c r="AL60" i="46"/>
  <c r="AK60" i="46"/>
  <c r="AJ60" i="46"/>
  <c r="AI60" i="46"/>
  <c r="AH60" i="46"/>
  <c r="AF60" i="46"/>
  <c r="AE60" i="46"/>
  <c r="AD60" i="46"/>
  <c r="AC60" i="46"/>
  <c r="AB60" i="46"/>
  <c r="AA60" i="46"/>
  <c r="Z60" i="46"/>
  <c r="Y60" i="46"/>
  <c r="X60" i="46"/>
  <c r="W60" i="46"/>
  <c r="V60" i="46"/>
  <c r="I60" i="46"/>
  <c r="H60" i="46"/>
  <c r="G60" i="46"/>
  <c r="E59" i="46"/>
  <c r="D59" i="46"/>
  <c r="BE58" i="46"/>
  <c r="BD58" i="46"/>
  <c r="BC58" i="46"/>
  <c r="BB58" i="46"/>
  <c r="BA58" i="46"/>
  <c r="AZ58" i="46"/>
  <c r="AY58" i="46"/>
  <c r="AX58" i="46"/>
  <c r="AW58" i="46"/>
  <c r="AV58" i="46"/>
  <c r="AU58" i="46"/>
  <c r="AT58" i="46"/>
  <c r="AS58" i="46"/>
  <c r="AR58" i="46"/>
  <c r="AG58" i="46"/>
  <c r="D58" i="46" s="1"/>
  <c r="E58" i="46"/>
  <c r="E57" i="46"/>
  <c r="D57" i="46"/>
  <c r="E56" i="46"/>
  <c r="D56" i="46"/>
  <c r="E55" i="46"/>
  <c r="BE54" i="46"/>
  <c r="AT54" i="46"/>
  <c r="AS54" i="46"/>
  <c r="E54" i="46"/>
  <c r="D54" i="46"/>
  <c r="BE53" i="46"/>
  <c r="AT53" i="46"/>
  <c r="AS53" i="46"/>
  <c r="E53" i="46"/>
  <c r="D53" i="46"/>
  <c r="BE52" i="46"/>
  <c r="AT52" i="46"/>
  <c r="AS52" i="46"/>
  <c r="E52" i="46"/>
  <c r="D52" i="46"/>
  <c r="AT51" i="46"/>
  <c r="AU51" i="46" s="1"/>
  <c r="AV51" i="46" s="1"/>
  <c r="AW51" i="46" s="1"/>
  <c r="AX51" i="46" s="1"/>
  <c r="AY51" i="46" s="1"/>
  <c r="AZ51" i="46" s="1"/>
  <c r="BA51" i="46" s="1"/>
  <c r="BB51" i="46" s="1"/>
  <c r="BC51" i="46" s="1"/>
  <c r="BD51" i="46" s="1"/>
  <c r="BE51" i="46" s="1"/>
  <c r="AI51" i="46"/>
  <c r="AJ51" i="46" s="1"/>
  <c r="AK51" i="46" s="1"/>
  <c r="AL51" i="46" s="1"/>
  <c r="AM51" i="46" s="1"/>
  <c r="AN51" i="46" s="1"/>
  <c r="AO51" i="46" s="1"/>
  <c r="AP51" i="46" s="1"/>
  <c r="AQ51" i="46" s="1"/>
  <c r="AR51" i="46" s="1"/>
  <c r="AS51" i="46" s="1"/>
  <c r="W51" i="46"/>
  <c r="X51" i="46" s="1"/>
  <c r="Y51" i="46" s="1"/>
  <c r="Z51" i="46" s="1"/>
  <c r="AA51" i="46" s="1"/>
  <c r="AB51" i="46" s="1"/>
  <c r="AC51" i="46" s="1"/>
  <c r="AD51" i="46" s="1"/>
  <c r="AE51" i="46" s="1"/>
  <c r="AF51" i="46" s="1"/>
  <c r="AG51" i="46" s="1"/>
  <c r="G51" i="46"/>
  <c r="H51" i="46" s="1"/>
  <c r="I51" i="46" s="1"/>
  <c r="BL47" i="46"/>
  <c r="BJ47" i="46"/>
  <c r="BI47" i="46"/>
  <c r="BH47" i="46"/>
  <c r="BG47" i="46"/>
  <c r="AC47" i="46"/>
  <c r="AD42" i="46" s="1"/>
  <c r="AB47" i="46"/>
  <c r="AA47" i="46"/>
  <c r="V47" i="46"/>
  <c r="W42" i="46" s="1"/>
  <c r="BJ46" i="46"/>
  <c r="BI46" i="46"/>
  <c r="BH46" i="46"/>
  <c r="U46" i="46"/>
  <c r="D46" i="46"/>
  <c r="D45" i="46"/>
  <c r="T44" i="46"/>
  <c r="T47" i="46" s="1"/>
  <c r="AE43" i="46"/>
  <c r="AD43" i="46"/>
  <c r="AD44" i="46" s="1"/>
  <c r="X43" i="46"/>
  <c r="W43" i="46"/>
  <c r="I43" i="46"/>
  <c r="F43" i="46"/>
  <c r="E43" i="46"/>
  <c r="D43" i="46"/>
  <c r="U42" i="46"/>
  <c r="U47" i="46" s="1"/>
  <c r="BG41" i="46"/>
  <c r="AT40" i="46"/>
  <c r="AU40" i="46" s="1"/>
  <c r="AV40" i="46" s="1"/>
  <c r="AW40" i="46" s="1"/>
  <c r="AX40" i="46" s="1"/>
  <c r="AY40" i="46" s="1"/>
  <c r="AZ40" i="46" s="1"/>
  <c r="BA40" i="46" s="1"/>
  <c r="BB40" i="46" s="1"/>
  <c r="BC40" i="46" s="1"/>
  <c r="BD40" i="46" s="1"/>
  <c r="BE40" i="46" s="1"/>
  <c r="AI40" i="46"/>
  <c r="AJ40" i="46" s="1"/>
  <c r="AK40" i="46" s="1"/>
  <c r="AL40" i="46" s="1"/>
  <c r="AM40" i="46" s="1"/>
  <c r="AN40" i="46" s="1"/>
  <c r="AO40" i="46" s="1"/>
  <c r="AP40" i="46" s="1"/>
  <c r="AQ40" i="46" s="1"/>
  <c r="AR40" i="46" s="1"/>
  <c r="AS40" i="46" s="1"/>
  <c r="W40" i="46"/>
  <c r="X40" i="46" s="1"/>
  <c r="Y40" i="46" s="1"/>
  <c r="Z40" i="46" s="1"/>
  <c r="AA40" i="46" s="1"/>
  <c r="AB40" i="46" s="1"/>
  <c r="AC40" i="46" s="1"/>
  <c r="AD40" i="46" s="1"/>
  <c r="AE40" i="46" s="1"/>
  <c r="AF40" i="46" s="1"/>
  <c r="AG40" i="46" s="1"/>
  <c r="G40" i="46"/>
  <c r="H40" i="46" s="1"/>
  <c r="I40" i="46" s="1"/>
  <c r="AT30" i="46"/>
  <c r="AU30" i="46" s="1"/>
  <c r="AV30" i="46" s="1"/>
  <c r="AW30" i="46" s="1"/>
  <c r="AX30" i="46" s="1"/>
  <c r="AY30" i="46" s="1"/>
  <c r="AZ30" i="46" s="1"/>
  <c r="BA30" i="46" s="1"/>
  <c r="BB30" i="46" s="1"/>
  <c r="BC30" i="46" s="1"/>
  <c r="BD30" i="46" s="1"/>
  <c r="BE30" i="46" s="1"/>
  <c r="AI30" i="46"/>
  <c r="AJ30" i="46" s="1"/>
  <c r="AK30" i="46" s="1"/>
  <c r="AL30" i="46" s="1"/>
  <c r="AM30" i="46" s="1"/>
  <c r="AN30" i="46" s="1"/>
  <c r="AO30" i="46" s="1"/>
  <c r="AP30" i="46" s="1"/>
  <c r="AQ30" i="46" s="1"/>
  <c r="AR30" i="46" s="1"/>
  <c r="AS30" i="46" s="1"/>
  <c r="W30" i="46"/>
  <c r="X30" i="46" s="1"/>
  <c r="Y30" i="46" s="1"/>
  <c r="Z30" i="46" s="1"/>
  <c r="AA30" i="46" s="1"/>
  <c r="AB30" i="46" s="1"/>
  <c r="AC30" i="46" s="1"/>
  <c r="AD30" i="46" s="1"/>
  <c r="AE30" i="46" s="1"/>
  <c r="AF30" i="46" s="1"/>
  <c r="AG30" i="46" s="1"/>
  <c r="G30" i="46"/>
  <c r="H30" i="46" s="1"/>
  <c r="I30" i="46" s="1"/>
  <c r="E28" i="46"/>
  <c r="D28" i="46"/>
  <c r="AQ27" i="46"/>
  <c r="AP27" i="46"/>
  <c r="AO27" i="46"/>
  <c r="AN27" i="46"/>
  <c r="AF27" i="46"/>
  <c r="AE27" i="46"/>
  <c r="AD27" i="46"/>
  <c r="AC27" i="46"/>
  <c r="AA27" i="46"/>
  <c r="Z27" i="46"/>
  <c r="Y27" i="46"/>
  <c r="X27" i="46"/>
  <c r="W27" i="46"/>
  <c r="V27" i="46"/>
  <c r="I27" i="46"/>
  <c r="H27" i="46"/>
  <c r="F27" i="46"/>
  <c r="E27" i="46"/>
  <c r="E26" i="46"/>
  <c r="D26" i="46"/>
  <c r="E25" i="46"/>
  <c r="D25" i="46"/>
  <c r="AY24" i="46"/>
  <c r="AX24" i="46"/>
  <c r="AW24" i="46"/>
  <c r="AV24" i="46"/>
  <c r="AU24" i="46"/>
  <c r="AT24" i="46"/>
  <c r="AM24" i="46"/>
  <c r="AM27" i="46" s="1"/>
  <c r="AL24" i="46"/>
  <c r="AL27" i="46" s="1"/>
  <c r="AK24" i="46"/>
  <c r="AK27" i="46" s="1"/>
  <c r="AJ24" i="46"/>
  <c r="AJ27" i="46" s="1"/>
  <c r="AI24" i="46"/>
  <c r="AI27" i="46" s="1"/>
  <c r="AH24" i="46"/>
  <c r="AH27" i="46" s="1"/>
  <c r="AG24" i="46"/>
  <c r="AG27" i="46" s="1"/>
  <c r="AB24" i="46"/>
  <c r="E23" i="46"/>
  <c r="D23" i="46"/>
  <c r="E22" i="46"/>
  <c r="D22" i="46"/>
  <c r="E21" i="46"/>
  <c r="D21" i="46"/>
  <c r="BE20" i="46"/>
  <c r="AT20" i="46"/>
  <c r="AS20" i="46"/>
  <c r="E20" i="46"/>
  <c r="BE19" i="46"/>
  <c r="AT19" i="46"/>
  <c r="AT43" i="46" s="1"/>
  <c r="AS19" i="46"/>
  <c r="E19" i="46"/>
  <c r="AT18" i="46"/>
  <c r="AU18" i="46" s="1"/>
  <c r="AV18" i="46" s="1"/>
  <c r="AW18" i="46" s="1"/>
  <c r="AX18" i="46" s="1"/>
  <c r="AY18" i="46" s="1"/>
  <c r="AZ18" i="46" s="1"/>
  <c r="BA18" i="46" s="1"/>
  <c r="BB18" i="46" s="1"/>
  <c r="BC18" i="46" s="1"/>
  <c r="BD18" i="46" s="1"/>
  <c r="BE18" i="46" s="1"/>
  <c r="AI18" i="46"/>
  <c r="AJ18" i="46" s="1"/>
  <c r="AK18" i="46" s="1"/>
  <c r="AL18" i="46" s="1"/>
  <c r="AM18" i="46" s="1"/>
  <c r="AN18" i="46" s="1"/>
  <c r="AO18" i="46" s="1"/>
  <c r="AP18" i="46" s="1"/>
  <c r="AQ18" i="46" s="1"/>
  <c r="AR18" i="46" s="1"/>
  <c r="AS18" i="46" s="1"/>
  <c r="W18" i="46"/>
  <c r="X18" i="46" s="1"/>
  <c r="Y18" i="46" s="1"/>
  <c r="Z18" i="46" s="1"/>
  <c r="AA18" i="46" s="1"/>
  <c r="AB18" i="46" s="1"/>
  <c r="AC18" i="46" s="1"/>
  <c r="AD18" i="46" s="1"/>
  <c r="AE18" i="46" s="1"/>
  <c r="AF18" i="46" s="1"/>
  <c r="AG18" i="46" s="1"/>
  <c r="G18" i="46"/>
  <c r="H18" i="46" s="1"/>
  <c r="I18" i="46" s="1"/>
  <c r="AF13" i="46"/>
  <c r="AE13" i="46"/>
  <c r="AD13" i="46"/>
  <c r="AC13" i="46"/>
  <c r="AB13" i="46"/>
  <c r="AA13" i="46"/>
  <c r="Z13" i="46"/>
  <c r="Y13" i="46"/>
  <c r="X13" i="46"/>
  <c r="W13" i="46"/>
  <c r="V13" i="46"/>
  <c r="T13" i="46"/>
  <c r="D12" i="46"/>
  <c r="BL10" i="46"/>
  <c r="BJ10" i="46"/>
  <c r="BI10" i="46"/>
  <c r="BH10" i="46"/>
  <c r="BG10" i="46"/>
  <c r="AR10" i="46"/>
  <c r="AR9" i="46"/>
  <c r="F8" i="46"/>
  <c r="F13" i="46" s="1"/>
  <c r="E7" i="46"/>
  <c r="E6" i="46"/>
  <c r="AG5" i="46"/>
  <c r="AG8" i="46" s="1"/>
  <c r="U5" i="46"/>
  <c r="U13" i="46" s="1"/>
  <c r="AU3" i="46"/>
  <c r="AV3" i="46" s="1"/>
  <c r="AW3" i="46" s="1"/>
  <c r="AX3" i="46" s="1"/>
  <c r="AY3" i="46" s="1"/>
  <c r="AZ3" i="46" s="1"/>
  <c r="BA3" i="46" s="1"/>
  <c r="BB3" i="46" s="1"/>
  <c r="BC3" i="46" s="1"/>
  <c r="BD3" i="46" s="1"/>
  <c r="BE3" i="46" s="1"/>
  <c r="AI3" i="46"/>
  <c r="W3" i="46"/>
  <c r="X3" i="46" s="1"/>
  <c r="Y3" i="46" s="1"/>
  <c r="Z3" i="46" s="1"/>
  <c r="AA3" i="46" s="1"/>
  <c r="AB3" i="46" s="1"/>
  <c r="AC3" i="46" s="1"/>
  <c r="AD3" i="46" s="1"/>
  <c r="AE3" i="46" s="1"/>
  <c r="AF3" i="46" s="1"/>
  <c r="AG3" i="46" s="1"/>
  <c r="G3" i="46"/>
  <c r="H3" i="46" s="1"/>
  <c r="I3" i="46" s="1"/>
  <c r="AN14" i="49"/>
  <c r="AP83" i="49"/>
  <c r="AF50" i="49"/>
  <c r="AS80" i="48"/>
  <c r="AM14" i="48"/>
  <c r="D20" i="47" l="1"/>
  <c r="AF51" i="49"/>
  <c r="AI51" i="49"/>
  <c r="AJ44" i="49"/>
  <c r="AJ49" i="49" s="1"/>
  <c r="AI84" i="49"/>
  <c r="AJ79" i="49"/>
  <c r="AJ82" i="49" s="1"/>
  <c r="H46" i="49"/>
  <c r="H49" i="49" s="1"/>
  <c r="H51" i="49" s="1"/>
  <c r="AQ78" i="49"/>
  <c r="AI15" i="49"/>
  <c r="AJ5" i="49"/>
  <c r="AJ13" i="49" s="1"/>
  <c r="AO3" i="49"/>
  <c r="BK44" i="49"/>
  <c r="AE49" i="48"/>
  <c r="AF42" i="48"/>
  <c r="AM15" i="48"/>
  <c r="AN5" i="48"/>
  <c r="AN13" i="48" s="1"/>
  <c r="I8" i="48"/>
  <c r="E8" i="48" s="1"/>
  <c r="AN3" i="48"/>
  <c r="BK78" i="48"/>
  <c r="BL78" i="48"/>
  <c r="E77" i="48"/>
  <c r="AE79" i="48"/>
  <c r="D21" i="47"/>
  <c r="C58" i="47"/>
  <c r="C60" i="47"/>
  <c r="BA45" i="47"/>
  <c r="W47" i="46"/>
  <c r="AU28" i="47"/>
  <c r="AO28" i="47"/>
  <c r="AI28" i="47"/>
  <c r="AL28" i="47"/>
  <c r="AY45" i="47"/>
  <c r="AS28" i="47"/>
  <c r="AW28" i="47"/>
  <c r="D58" i="47"/>
  <c r="D60" i="47"/>
  <c r="D64" i="47"/>
  <c r="AU64" i="47"/>
  <c r="AY64" i="47"/>
  <c r="F8" i="47"/>
  <c r="D23" i="47"/>
  <c r="C23" i="47"/>
  <c r="AH28" i="47"/>
  <c r="AF46" i="47"/>
  <c r="D46" i="47" s="1"/>
  <c r="D19" i="47"/>
  <c r="AP28" i="47"/>
  <c r="AT45" i="47"/>
  <c r="AT28" i="47"/>
  <c r="AX45" i="47"/>
  <c r="BB45" i="47"/>
  <c r="D25" i="47"/>
  <c r="C25" i="47"/>
  <c r="AX28" i="47"/>
  <c r="AH64" i="47"/>
  <c r="D55" i="47"/>
  <c r="AL64" i="47"/>
  <c r="AP64" i="47"/>
  <c r="AT64" i="47"/>
  <c r="AT80" i="47"/>
  <c r="AX64" i="47"/>
  <c r="AX80" i="47"/>
  <c r="BB64" i="47"/>
  <c r="BB80" i="47"/>
  <c r="C56" i="47"/>
  <c r="D56" i="47"/>
  <c r="C59" i="47"/>
  <c r="D59" i="47"/>
  <c r="AJ78" i="47"/>
  <c r="AI3" i="47"/>
  <c r="D27" i="47"/>
  <c r="C27" i="47"/>
  <c r="D62" i="47"/>
  <c r="C62" i="47"/>
  <c r="C57" i="47"/>
  <c r="D57" i="47"/>
  <c r="F79" i="47"/>
  <c r="F82" i="47" s="1"/>
  <c r="AF8" i="47"/>
  <c r="AQ11" i="47" s="1"/>
  <c r="C11" i="47" s="1"/>
  <c r="C20" i="47"/>
  <c r="BB28" i="47"/>
  <c r="E49" i="47"/>
  <c r="AG79" i="47"/>
  <c r="AG82" i="47" s="1"/>
  <c r="AJ28" i="47"/>
  <c r="AN28" i="47"/>
  <c r="AR28" i="47"/>
  <c r="AV45" i="47"/>
  <c r="AV28" i="47"/>
  <c r="AZ45" i="47"/>
  <c r="AZ28" i="47"/>
  <c r="BD28" i="47"/>
  <c r="C21" i="47"/>
  <c r="AY28" i="47"/>
  <c r="AV80" i="47"/>
  <c r="AV64" i="47"/>
  <c r="AZ80" i="47"/>
  <c r="AZ64" i="47"/>
  <c r="C61" i="47"/>
  <c r="D61" i="47"/>
  <c r="C19" i="47"/>
  <c r="BA28" i="47"/>
  <c r="W42" i="47"/>
  <c r="C63" i="47"/>
  <c r="D63" i="47"/>
  <c r="C55" i="47"/>
  <c r="AG64" i="47"/>
  <c r="AK64" i="47"/>
  <c r="AO64" i="47"/>
  <c r="AS80" i="47"/>
  <c r="AS64" i="47"/>
  <c r="AW80" i="47"/>
  <c r="AW64" i="47"/>
  <c r="BA80" i="47"/>
  <c r="BA64" i="47"/>
  <c r="AR11" i="46"/>
  <c r="AG13" i="46"/>
  <c r="G5" i="46"/>
  <c r="AJ73" i="46"/>
  <c r="AJ3" i="46"/>
  <c r="AD47" i="46"/>
  <c r="AT27" i="46"/>
  <c r="AS27" i="46"/>
  <c r="BE27" i="46"/>
  <c r="E24" i="46"/>
  <c r="D24" i="46"/>
  <c r="X42" i="46"/>
  <c r="X47" i="46" s="1"/>
  <c r="Y77" i="46"/>
  <c r="E60" i="46"/>
  <c r="AC77" i="46"/>
  <c r="AC79" i="46" s="1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J44" i="45"/>
  <c r="L44" i="45" s="1"/>
  <c r="E44" i="45"/>
  <c r="J43" i="45"/>
  <c r="L43" i="45" s="1"/>
  <c r="E43" i="45"/>
  <c r="P42" i="45"/>
  <c r="J42" i="45"/>
  <c r="L42" i="45" s="1"/>
  <c r="E42" i="45"/>
  <c r="P41" i="45"/>
  <c r="J41" i="45"/>
  <c r="L41" i="45" s="1"/>
  <c r="E41" i="45"/>
  <c r="N40" i="45"/>
  <c r="P40" i="45" s="1"/>
  <c r="J40" i="45"/>
  <c r="L40" i="45" s="1"/>
  <c r="E40" i="45"/>
  <c r="N39" i="45"/>
  <c r="P39" i="45" s="1"/>
  <c r="J39" i="45"/>
  <c r="L39" i="45" s="1"/>
  <c r="E39" i="45"/>
  <c r="N38" i="45"/>
  <c r="P38" i="45" s="1"/>
  <c r="J38" i="45"/>
  <c r="L38" i="45" s="1"/>
  <c r="E38" i="45"/>
  <c r="N37" i="45"/>
  <c r="P37" i="45" s="1"/>
  <c r="J37" i="45"/>
  <c r="L37" i="45" s="1"/>
  <c r="E37" i="45"/>
  <c r="N36" i="45"/>
  <c r="N43" i="45" s="1"/>
  <c r="N47" i="45" s="1"/>
  <c r="E36" i="45"/>
  <c r="E35" i="45"/>
  <c r="E34" i="45"/>
  <c r="E33" i="45"/>
  <c r="J32" i="45"/>
  <c r="J34" i="45" s="1"/>
  <c r="E32" i="45"/>
  <c r="L31" i="45"/>
  <c r="E31" i="45"/>
  <c r="L30" i="45"/>
  <c r="E30" i="45"/>
  <c r="L29" i="45"/>
  <c r="E29" i="45"/>
  <c r="N28" i="45"/>
  <c r="N30" i="45" s="1"/>
  <c r="L28" i="45"/>
  <c r="E28" i="45"/>
  <c r="P27" i="45"/>
  <c r="L27" i="45"/>
  <c r="E27" i="45"/>
  <c r="P26" i="45"/>
  <c r="L26" i="45"/>
  <c r="E26" i="45"/>
  <c r="P25" i="45"/>
  <c r="L25" i="45"/>
  <c r="E25" i="45"/>
  <c r="P24" i="45"/>
  <c r="L24" i="45"/>
  <c r="E24" i="45"/>
  <c r="P23" i="45"/>
  <c r="P28" i="45" s="1"/>
  <c r="L23" i="45"/>
  <c r="L32" i="45" s="1"/>
  <c r="E23" i="45"/>
  <c r="E22" i="45"/>
  <c r="E21" i="45"/>
  <c r="E20" i="45"/>
  <c r="E19" i="45"/>
  <c r="E18" i="45"/>
  <c r="E17" i="45"/>
  <c r="E16" i="45"/>
  <c r="E15" i="45"/>
  <c r="E14" i="45"/>
  <c r="E13" i="45"/>
  <c r="E12" i="45"/>
  <c r="K11" i="45"/>
  <c r="O11" i="45" s="1"/>
  <c r="E11" i="45"/>
  <c r="K10" i="45"/>
  <c r="N10" i="45" s="1"/>
  <c r="E10" i="45"/>
  <c r="K9" i="45"/>
  <c r="K12" i="45" s="1"/>
  <c r="E9" i="45"/>
  <c r="E8" i="45"/>
  <c r="K7" i="45"/>
  <c r="L7" i="45" s="1"/>
  <c r="L14" i="45" s="1"/>
  <c r="L52" i="45" s="1"/>
  <c r="E7" i="45"/>
  <c r="E6" i="45"/>
  <c r="E5" i="45"/>
  <c r="E4" i="45"/>
  <c r="I1" i="45"/>
  <c r="AO14" i="49"/>
  <c r="AQ83" i="49"/>
  <c r="AN14" i="48"/>
  <c r="I13" i="48" l="1"/>
  <c r="I15" i="48" s="1"/>
  <c r="AR78" i="49"/>
  <c r="AJ51" i="49"/>
  <c r="AK44" i="49"/>
  <c r="AK49" i="49" s="1"/>
  <c r="AJ84" i="49"/>
  <c r="AK79" i="49"/>
  <c r="AK82" i="49" s="1"/>
  <c r="AP3" i="49"/>
  <c r="AJ15" i="49"/>
  <c r="AK5" i="49"/>
  <c r="AK13" i="49" s="1"/>
  <c r="AF75" i="48"/>
  <c r="AE81" i="48"/>
  <c r="AN15" i="48"/>
  <c r="AO5" i="48"/>
  <c r="AO13" i="48" s="1"/>
  <c r="AO3" i="48"/>
  <c r="AF44" i="48"/>
  <c r="C28" i="47"/>
  <c r="AF13" i="47"/>
  <c r="AG5" i="47" s="1"/>
  <c r="AG13" i="47" s="1"/>
  <c r="F44" i="47"/>
  <c r="C64" i="47"/>
  <c r="X42" i="47"/>
  <c r="AF49" i="47"/>
  <c r="AJ3" i="47"/>
  <c r="AK78" i="47"/>
  <c r="AH79" i="47"/>
  <c r="AH82" i="47" s="1"/>
  <c r="G79" i="47"/>
  <c r="G82" i="47" s="1"/>
  <c r="F13" i="47"/>
  <c r="AD75" i="46"/>
  <c r="AK3" i="46"/>
  <c r="AK73" i="46"/>
  <c r="G8" i="46"/>
  <c r="Y42" i="46"/>
  <c r="Y47" i="46" s="1"/>
  <c r="AH5" i="46"/>
  <c r="AH13" i="46" s="1"/>
  <c r="Y79" i="46"/>
  <c r="AE42" i="46"/>
  <c r="L53" i="45"/>
  <c r="L55" i="45" s="1"/>
  <c r="L33" i="45"/>
  <c r="N53" i="45"/>
  <c r="P29" i="45"/>
  <c r="L45" i="45"/>
  <c r="K14" i="45"/>
  <c r="K15" i="45" s="1"/>
  <c r="M7" i="45"/>
  <c r="J45" i="45"/>
  <c r="P36" i="45"/>
  <c r="P43" i="45" s="1"/>
  <c r="K38" i="25"/>
  <c r="AR83" i="49"/>
  <c r="AP14" i="49"/>
  <c r="AO14" i="48"/>
  <c r="BA54" i="46" l="1"/>
  <c r="BA54" i="48"/>
  <c r="AK15" i="49"/>
  <c r="AL5" i="49"/>
  <c r="AL13" i="49" s="1"/>
  <c r="AQ3" i="49"/>
  <c r="AK84" i="49"/>
  <c r="AL79" i="49"/>
  <c r="AL82" i="49" s="1"/>
  <c r="BK76" i="49"/>
  <c r="BJ76" i="49"/>
  <c r="BJ77" i="49"/>
  <c r="BK77" i="49"/>
  <c r="AL44" i="49"/>
  <c r="AL49" i="49" s="1"/>
  <c r="AK51" i="49"/>
  <c r="AF47" i="48"/>
  <c r="AP3" i="48"/>
  <c r="AF77" i="48"/>
  <c r="AO15" i="48"/>
  <c r="AP5" i="48"/>
  <c r="AP13" i="48" s="1"/>
  <c r="AL78" i="47"/>
  <c r="AI79" i="47"/>
  <c r="AI82" i="47" s="1"/>
  <c r="G5" i="47"/>
  <c r="F46" i="47"/>
  <c r="F49" i="47"/>
  <c r="H79" i="47"/>
  <c r="H82" i="47" s="1"/>
  <c r="AK3" i="47"/>
  <c r="Y42" i="47"/>
  <c r="AG44" i="47"/>
  <c r="AG49" i="47" s="1"/>
  <c r="AH5" i="47"/>
  <c r="AH13" i="47" s="1"/>
  <c r="AI5" i="46"/>
  <c r="AI13" i="46" s="1"/>
  <c r="G13" i="46"/>
  <c r="AE44" i="46"/>
  <c r="AE47" i="46" s="1"/>
  <c r="Z42" i="46"/>
  <c r="Z47" i="46" s="1"/>
  <c r="AL73" i="46"/>
  <c r="AL3" i="46"/>
  <c r="AD77" i="46"/>
  <c r="AD79" i="46" s="1"/>
  <c r="J47" i="45"/>
  <c r="N5" i="45"/>
  <c r="P44" i="45"/>
  <c r="M53" i="45"/>
  <c r="M15" i="45"/>
  <c r="M14" i="45"/>
  <c r="N52" i="45" s="1"/>
  <c r="N55" i="45" s="1"/>
  <c r="K53" i="45"/>
  <c r="L46" i="45"/>
  <c r="K36" i="25"/>
  <c r="AQ14" i="49"/>
  <c r="AP14" i="48"/>
  <c r="BA52" i="48" l="1"/>
  <c r="BA19" i="48"/>
  <c r="BK80" i="49"/>
  <c r="AR3" i="49"/>
  <c r="AM44" i="49"/>
  <c r="AM49" i="49" s="1"/>
  <c r="AL51" i="49"/>
  <c r="AM5" i="49"/>
  <c r="AM13" i="49" s="1"/>
  <c r="AL15" i="49"/>
  <c r="AM79" i="49"/>
  <c r="AM82" i="49" s="1"/>
  <c r="AL84" i="49"/>
  <c r="AQ3" i="48"/>
  <c r="AP15" i="48"/>
  <c r="AQ5" i="48"/>
  <c r="AQ13" i="48" s="1"/>
  <c r="AF49" i="48"/>
  <c r="AG42" i="48"/>
  <c r="AF79" i="48"/>
  <c r="BA52" i="46"/>
  <c r="BA19" i="46"/>
  <c r="AL3" i="47"/>
  <c r="AI5" i="47"/>
  <c r="AI13" i="47" s="1"/>
  <c r="G44" i="47"/>
  <c r="Z42" i="47"/>
  <c r="G8" i="47"/>
  <c r="AM78" i="47"/>
  <c r="AJ79" i="47"/>
  <c r="AJ82" i="47" s="1"/>
  <c r="AH44" i="47"/>
  <c r="AH49" i="47" s="1"/>
  <c r="AF42" i="46"/>
  <c r="AE75" i="46"/>
  <c r="AM73" i="46"/>
  <c r="AM3" i="46"/>
  <c r="H5" i="46"/>
  <c r="AJ5" i="46"/>
  <c r="AJ13" i="46" s="1"/>
  <c r="O53" i="45"/>
  <c r="M61" i="45"/>
  <c r="O5" i="45"/>
  <c r="O9" i="45" s="1"/>
  <c r="O12" i="45" s="1"/>
  <c r="N9" i="45"/>
  <c r="N12" i="45" s="1"/>
  <c r="C18" i="25"/>
  <c r="C6" i="25"/>
  <c r="C19" i="25"/>
  <c r="C5" i="25"/>
  <c r="AR14" i="49"/>
  <c r="AQ14" i="48"/>
  <c r="AM15" i="49" l="1"/>
  <c r="AN5" i="49"/>
  <c r="AN13" i="49" s="1"/>
  <c r="AM84" i="49"/>
  <c r="AN79" i="49"/>
  <c r="AN82" i="49" s="1"/>
  <c r="AM51" i="49"/>
  <c r="AN44" i="49"/>
  <c r="AN49" i="49" s="1"/>
  <c r="AG75" i="48"/>
  <c r="AF81" i="48"/>
  <c r="AG44" i="48"/>
  <c r="AG47" i="48"/>
  <c r="AQ15" i="48"/>
  <c r="AR5" i="48"/>
  <c r="AR3" i="48"/>
  <c r="C33" i="25"/>
  <c r="AK79" i="47"/>
  <c r="AK82" i="47" s="1"/>
  <c r="AA42" i="47"/>
  <c r="AI44" i="47"/>
  <c r="AI49" i="47" s="1"/>
  <c r="AN78" i="47"/>
  <c r="AM3" i="47"/>
  <c r="G46" i="47"/>
  <c r="G49" i="47" s="1"/>
  <c r="G13" i="47"/>
  <c r="AJ5" i="47"/>
  <c r="AJ13" i="47" s="1"/>
  <c r="AK5" i="46"/>
  <c r="AK13" i="46" s="1"/>
  <c r="AF44" i="46"/>
  <c r="AF47" i="46" s="1"/>
  <c r="H8" i="46"/>
  <c r="H13" i="46" s="1"/>
  <c r="AN3" i="46"/>
  <c r="AE77" i="46"/>
  <c r="AE79" i="46" s="1"/>
  <c r="AN73" i="46"/>
  <c r="N14" i="45"/>
  <c r="K52" i="45"/>
  <c r="M52" i="45"/>
  <c r="M55" i="45" s="1"/>
  <c r="N56" i="45" s="1"/>
  <c r="O14" i="45"/>
  <c r="C15" i="25"/>
  <c r="C12" i="25"/>
  <c r="C4" i="25"/>
  <c r="C21" i="25"/>
  <c r="C54" i="25"/>
  <c r="AR14" i="48"/>
  <c r="BM46" i="47"/>
  <c r="BM45" i="47"/>
  <c r="BM10" i="47"/>
  <c r="BA83" i="47"/>
  <c r="AW83" i="47"/>
  <c r="AS83" i="47"/>
  <c r="AG83" i="47"/>
  <c r="AC83" i="47"/>
  <c r="Y83" i="47"/>
  <c r="H83" i="47"/>
  <c r="BA50" i="47"/>
  <c r="AW50" i="47"/>
  <c r="AS50" i="47"/>
  <c r="AO50" i="47"/>
  <c r="AK50" i="47"/>
  <c r="AG50" i="47"/>
  <c r="BD83" i="47"/>
  <c r="AZ83" i="47"/>
  <c r="AV83" i="47"/>
  <c r="AF83" i="47"/>
  <c r="AB83" i="47"/>
  <c r="X83" i="47"/>
  <c r="G83" i="47"/>
  <c r="BC83" i="47"/>
  <c r="AU83" i="47"/>
  <c r="AE83" i="47"/>
  <c r="W83" i="47"/>
  <c r="BB50" i="47"/>
  <c r="AV50" i="47"/>
  <c r="AQ50" i="47"/>
  <c r="AL50" i="47"/>
  <c r="F50" i="47"/>
  <c r="AY83" i="47"/>
  <c r="AI83" i="47"/>
  <c r="AA83" i="47"/>
  <c r="F83" i="47"/>
  <c r="BD50" i="47"/>
  <c r="AY50" i="47"/>
  <c r="AT50" i="47"/>
  <c r="AN50" i="47"/>
  <c r="AI50" i="47"/>
  <c r="H50" i="47"/>
  <c r="BA14" i="47"/>
  <c r="AW14" i="47"/>
  <c r="AS14" i="47"/>
  <c r="AG14" i="47"/>
  <c r="AC14" i="47"/>
  <c r="Y14" i="47"/>
  <c r="H14" i="47"/>
  <c r="BB83" i="47"/>
  <c r="V83" i="47"/>
  <c r="AZ50" i="47"/>
  <c r="AP50" i="47"/>
  <c r="V50" i="47"/>
  <c r="BD14" i="47"/>
  <c r="AY14" i="47"/>
  <c r="AT14" i="47"/>
  <c r="AD14" i="47"/>
  <c r="X14" i="47"/>
  <c r="F14" i="47"/>
  <c r="W14" i="47"/>
  <c r="AX83" i="47"/>
  <c r="AH83" i="47"/>
  <c r="E83" i="47"/>
  <c r="AX50" i="47"/>
  <c r="AM50" i="47"/>
  <c r="G50" i="47"/>
  <c r="BC14" i="47"/>
  <c r="AX14" i="47"/>
  <c r="AH14" i="47"/>
  <c r="AB14" i="47"/>
  <c r="E14" i="47"/>
  <c r="AT83" i="47"/>
  <c r="BC50" i="47"/>
  <c r="AH50" i="47"/>
  <c r="AZ14" i="47"/>
  <c r="AE14" i="47"/>
  <c r="G14" i="47"/>
  <c r="AV14" i="47"/>
  <c r="AA14" i="47"/>
  <c r="AD83" i="47"/>
  <c r="AR50" i="47"/>
  <c r="Z14" i="47"/>
  <c r="Z83" i="47"/>
  <c r="AJ50" i="47"/>
  <c r="BB14" i="47"/>
  <c r="AF14" i="47"/>
  <c r="V14" i="47"/>
  <c r="AU50" i="47"/>
  <c r="AU14" i="47"/>
  <c r="E50" i="47"/>
  <c r="BE80" i="46"/>
  <c r="BA80" i="46"/>
  <c r="AW80" i="46"/>
  <c r="AG80" i="46"/>
  <c r="AC80" i="46"/>
  <c r="Y80" i="46"/>
  <c r="BB48" i="46"/>
  <c r="AX48" i="46"/>
  <c r="AT48" i="46"/>
  <c r="AP48" i="46"/>
  <c r="BB80" i="46"/>
  <c r="AX80" i="46"/>
  <c r="AT80" i="46"/>
  <c r="AH80" i="46"/>
  <c r="AD80" i="46"/>
  <c r="Z80" i="46"/>
  <c r="BC48" i="46"/>
  <c r="AY48" i="46"/>
  <c r="AZ80" i="46"/>
  <c r="AB80" i="46"/>
  <c r="BA48" i="46"/>
  <c r="AU48" i="46"/>
  <c r="AO48" i="46"/>
  <c r="AK48" i="46"/>
  <c r="AG48" i="46"/>
  <c r="AC48" i="46"/>
  <c r="Y48" i="46"/>
  <c r="U48" i="46"/>
  <c r="G48" i="46"/>
  <c r="AY80" i="46"/>
  <c r="AI80" i="46"/>
  <c r="AA80" i="46"/>
  <c r="AZ48" i="46"/>
  <c r="AS48" i="46"/>
  <c r="AN48" i="46"/>
  <c r="AJ48" i="46"/>
  <c r="AF48" i="46"/>
  <c r="AB48" i="46"/>
  <c r="X48" i="46"/>
  <c r="T48" i="46"/>
  <c r="F48" i="46"/>
  <c r="BD80" i="46"/>
  <c r="X80" i="46"/>
  <c r="AW48" i="46"/>
  <c r="AM48" i="46"/>
  <c r="AE48" i="46"/>
  <c r="W48" i="46"/>
  <c r="BD14" i="46"/>
  <c r="AZ14" i="46"/>
  <c r="AV14" i="46"/>
  <c r="AF14" i="46"/>
  <c r="AB14" i="46"/>
  <c r="X14" i="46"/>
  <c r="T14" i="46"/>
  <c r="F14" i="46"/>
  <c r="AU80" i="46"/>
  <c r="AE80" i="46"/>
  <c r="BD48" i="46"/>
  <c r="AQ48" i="46"/>
  <c r="AH48" i="46"/>
  <c r="Z48" i="46"/>
  <c r="H48" i="46"/>
  <c r="BE14" i="46"/>
  <c r="BA14" i="46"/>
  <c r="AW14" i="46"/>
  <c r="AG14" i="46"/>
  <c r="AC14" i="46"/>
  <c r="Y14" i="46"/>
  <c r="U14" i="46"/>
  <c r="G14" i="46"/>
  <c r="BC80" i="46"/>
  <c r="W80" i="46"/>
  <c r="BE48" i="46"/>
  <c r="AI48" i="46"/>
  <c r="I48" i="46"/>
  <c r="BB14" i="46"/>
  <c r="AT14" i="46"/>
  <c r="AD14" i="46"/>
  <c r="V14" i="46"/>
  <c r="AA48" i="46"/>
  <c r="AX14" i="46"/>
  <c r="AH14" i="46"/>
  <c r="H14" i="46"/>
  <c r="AL48" i="46"/>
  <c r="AU14" i="46"/>
  <c r="W14" i="46"/>
  <c r="AV80" i="46"/>
  <c r="AV48" i="46"/>
  <c r="AD48" i="46"/>
  <c r="AY14" i="46"/>
  <c r="AI14" i="46"/>
  <c r="AA14" i="46"/>
  <c r="I14" i="46"/>
  <c r="AR48" i="46"/>
  <c r="Z14" i="46"/>
  <c r="AF80" i="46"/>
  <c r="V48" i="46"/>
  <c r="BC14" i="46"/>
  <c r="AE14" i="46"/>
  <c r="AJ83" i="47"/>
  <c r="AI14" i="47"/>
  <c r="W50" i="47"/>
  <c r="AJ80" i="46"/>
  <c r="AJ14" i="46"/>
  <c r="AK83" i="47"/>
  <c r="AK80" i="46"/>
  <c r="AK14" i="46"/>
  <c r="X50" i="47"/>
  <c r="AJ14" i="47"/>
  <c r="AK14" i="47"/>
  <c r="AL80" i="46"/>
  <c r="Y50" i="47"/>
  <c r="AL14" i="46"/>
  <c r="AL83" i="47"/>
  <c r="AM80" i="46"/>
  <c r="AL14" i="47"/>
  <c r="AM14" i="46"/>
  <c r="Z50" i="47"/>
  <c r="AM83" i="47"/>
  <c r="AN80" i="46"/>
  <c r="AN83" i="47"/>
  <c r="AM14" i="47"/>
  <c r="AN14" i="46"/>
  <c r="AA50" i="47"/>
  <c r="AN51" i="49" l="1"/>
  <c r="AO44" i="49"/>
  <c r="AO49" i="49" s="1"/>
  <c r="AO5" i="49"/>
  <c r="AO13" i="49" s="1"/>
  <c r="AN15" i="49"/>
  <c r="AO79" i="49"/>
  <c r="AO82" i="49" s="1"/>
  <c r="AN84" i="49"/>
  <c r="AG49" i="48"/>
  <c r="AH42" i="48"/>
  <c r="AS3" i="48"/>
  <c r="AG77" i="48"/>
  <c r="D77" i="48" s="1"/>
  <c r="Z51" i="47"/>
  <c r="Y51" i="47"/>
  <c r="X51" i="47"/>
  <c r="AJ15" i="46"/>
  <c r="W51" i="47"/>
  <c r="AI15" i="47"/>
  <c r="AJ84" i="47"/>
  <c r="AE15" i="46"/>
  <c r="V49" i="46"/>
  <c r="Z15" i="46"/>
  <c r="AA15" i="46"/>
  <c r="AI15" i="46"/>
  <c r="AD49" i="46"/>
  <c r="W15" i="46"/>
  <c r="AH15" i="46"/>
  <c r="AA49" i="46"/>
  <c r="V15" i="46"/>
  <c r="AD15" i="46"/>
  <c r="W81" i="46"/>
  <c r="G15" i="46"/>
  <c r="U15" i="46"/>
  <c r="Y15" i="46"/>
  <c r="AC15" i="46"/>
  <c r="AG15" i="46"/>
  <c r="Z49" i="46"/>
  <c r="F15" i="46"/>
  <c r="T15" i="46"/>
  <c r="X15" i="46"/>
  <c r="AB15" i="46"/>
  <c r="AF15" i="46"/>
  <c r="W49" i="46"/>
  <c r="AE49" i="46"/>
  <c r="X81" i="46"/>
  <c r="T49" i="46"/>
  <c r="X49" i="46"/>
  <c r="AB49" i="46"/>
  <c r="AA81" i="46"/>
  <c r="U49" i="46"/>
  <c r="Y49" i="46"/>
  <c r="AC49" i="46"/>
  <c r="AB81" i="46"/>
  <c r="Z81" i="46"/>
  <c r="AD81" i="46"/>
  <c r="Y81" i="46"/>
  <c r="AC81" i="46"/>
  <c r="E51" i="47"/>
  <c r="V15" i="47"/>
  <c r="AF15" i="47"/>
  <c r="Z84" i="47"/>
  <c r="Z15" i="47"/>
  <c r="AD84" i="47"/>
  <c r="AA15" i="47"/>
  <c r="AE15" i="47"/>
  <c r="AH51" i="47"/>
  <c r="E15" i="47"/>
  <c r="AB15" i="47"/>
  <c r="AH15" i="47"/>
  <c r="E84" i="47"/>
  <c r="AH84" i="47"/>
  <c r="W15" i="47"/>
  <c r="F15" i="47"/>
  <c r="X15" i="47"/>
  <c r="AD15" i="47"/>
  <c r="V51" i="47"/>
  <c r="V84" i="47"/>
  <c r="Y15" i="47"/>
  <c r="AC15" i="47"/>
  <c r="AG15" i="47"/>
  <c r="F84" i="47"/>
  <c r="AA84" i="47"/>
  <c r="AI84" i="47"/>
  <c r="F51" i="47"/>
  <c r="W84" i="47"/>
  <c r="AE84" i="47"/>
  <c r="G84" i="47"/>
  <c r="X84" i="47"/>
  <c r="AB84" i="47"/>
  <c r="AF84" i="47"/>
  <c r="AG51" i="47"/>
  <c r="H84" i="47"/>
  <c r="Y84" i="47"/>
  <c r="AC84" i="47"/>
  <c r="AG84" i="47"/>
  <c r="AA51" i="47"/>
  <c r="AO78" i="47"/>
  <c r="AB42" i="47"/>
  <c r="AI51" i="47"/>
  <c r="AJ44" i="47"/>
  <c r="AJ49" i="47" s="1"/>
  <c r="G15" i="47"/>
  <c r="H5" i="47"/>
  <c r="AK5" i="47"/>
  <c r="AK13" i="47" s="1"/>
  <c r="AJ15" i="47"/>
  <c r="G51" i="47"/>
  <c r="H44" i="47"/>
  <c r="AN3" i="47"/>
  <c r="AK84" i="47"/>
  <c r="AL79" i="47"/>
  <c r="AL82" i="47" s="1"/>
  <c r="AE81" i="46"/>
  <c r="AF75" i="46"/>
  <c r="AO3" i="46"/>
  <c r="AF49" i="46"/>
  <c r="AG42" i="46"/>
  <c r="AO73" i="46"/>
  <c r="AK15" i="46"/>
  <c r="AL5" i="46"/>
  <c r="AL13" i="46" s="1"/>
  <c r="E77" i="46"/>
  <c r="H15" i="46"/>
  <c r="I5" i="46"/>
  <c r="O15" i="45"/>
  <c r="K55" i="45"/>
  <c r="O52" i="45"/>
  <c r="O54" i="45" s="1"/>
  <c r="C53" i="25"/>
  <c r="AS14" i="48"/>
  <c r="AO14" i="46"/>
  <c r="AO80" i="46"/>
  <c r="AO83" i="47"/>
  <c r="AB50" i="47"/>
  <c r="AN14" i="47"/>
  <c r="AO15" i="49" l="1"/>
  <c r="AP5" i="49"/>
  <c r="AP13" i="49" s="1"/>
  <c r="AO51" i="49"/>
  <c r="AP44" i="49"/>
  <c r="AP49" i="49" s="1"/>
  <c r="AO84" i="49"/>
  <c r="AP79" i="49"/>
  <c r="AP82" i="49" s="1"/>
  <c r="AH44" i="48"/>
  <c r="AH47" i="48" s="1"/>
  <c r="AG79" i="48"/>
  <c r="AB51" i="47"/>
  <c r="AP78" i="47"/>
  <c r="AO3" i="47"/>
  <c r="AL84" i="47"/>
  <c r="AM79" i="47"/>
  <c r="AM82" i="47" s="1"/>
  <c r="H46" i="47"/>
  <c r="H49" i="47" s="1"/>
  <c r="H51" i="47" s="1"/>
  <c r="H8" i="47"/>
  <c r="D8" i="47" s="1"/>
  <c r="AC42" i="47"/>
  <c r="AJ51" i="47"/>
  <c r="AK44" i="47"/>
  <c r="AK49" i="47" s="1"/>
  <c r="AK15" i="47"/>
  <c r="AL5" i="47"/>
  <c r="AL13" i="47" s="1"/>
  <c r="AP73" i="46"/>
  <c r="I8" i="46"/>
  <c r="E8" i="46" s="1"/>
  <c r="AL15" i="46"/>
  <c r="AM5" i="46"/>
  <c r="AM13" i="46" s="1"/>
  <c r="AG44" i="46"/>
  <c r="AG47" i="46" s="1"/>
  <c r="AP3" i="46"/>
  <c r="AF77" i="46"/>
  <c r="O55" i="45"/>
  <c r="O56" i="45" s="1"/>
  <c r="L56" i="45"/>
  <c r="J59" i="45" s="1"/>
  <c r="C44" i="25"/>
  <c r="AO14" i="47"/>
  <c r="AP80" i="46"/>
  <c r="AP83" i="47"/>
  <c r="AP14" i="46"/>
  <c r="AC50" i="47"/>
  <c r="AP51" i="49" l="1"/>
  <c r="AQ44" i="49"/>
  <c r="AQ79" i="49"/>
  <c r="AQ82" i="49" s="1"/>
  <c r="AP84" i="49"/>
  <c r="AQ5" i="49"/>
  <c r="AP15" i="49"/>
  <c r="AH49" i="48"/>
  <c r="AI42" i="48"/>
  <c r="AG81" i="48"/>
  <c r="AH75" i="48"/>
  <c r="AC51" i="47"/>
  <c r="AP3" i="47"/>
  <c r="AL44" i="47"/>
  <c r="AL49" i="47" s="1"/>
  <c r="AK51" i="47"/>
  <c r="AD42" i="47"/>
  <c r="AQ78" i="47"/>
  <c r="AL15" i="47"/>
  <c r="AM5" i="47"/>
  <c r="AM13" i="47" s="1"/>
  <c r="H13" i="47"/>
  <c r="H15" i="47" s="1"/>
  <c r="AN79" i="47"/>
  <c r="AN82" i="47" s="1"/>
  <c r="AM84" i="47"/>
  <c r="AG49" i="46"/>
  <c r="AH42" i="46"/>
  <c r="AQ3" i="46"/>
  <c r="AF79" i="46"/>
  <c r="AM15" i="46"/>
  <c r="AN5" i="46"/>
  <c r="AN13" i="46" s="1"/>
  <c r="I13" i="46"/>
  <c r="I15" i="46" s="1"/>
  <c r="AQ73" i="46"/>
  <c r="AE82" i="44"/>
  <c r="AD82" i="44"/>
  <c r="AC82" i="44"/>
  <c r="AB82" i="44"/>
  <c r="AA82" i="44"/>
  <c r="Z82" i="44"/>
  <c r="Y82" i="44"/>
  <c r="X82" i="44"/>
  <c r="W82" i="44"/>
  <c r="V82" i="44"/>
  <c r="AS81" i="44"/>
  <c r="C81" i="44"/>
  <c r="F80" i="44"/>
  <c r="E80" i="44"/>
  <c r="E82" i="44" s="1"/>
  <c r="D80" i="44"/>
  <c r="C80" i="44"/>
  <c r="C82" i="44" s="1"/>
  <c r="AF79" i="44"/>
  <c r="AF82" i="44" s="1"/>
  <c r="AS78" i="44"/>
  <c r="AT78" i="44" s="1"/>
  <c r="AU78" i="44" s="1"/>
  <c r="AV78" i="44" s="1"/>
  <c r="AW78" i="44" s="1"/>
  <c r="AX78" i="44" s="1"/>
  <c r="AY78" i="44" s="1"/>
  <c r="AZ78" i="44" s="1"/>
  <c r="BA78" i="44" s="1"/>
  <c r="BB78" i="44" s="1"/>
  <c r="BC78" i="44" s="1"/>
  <c r="BD78" i="44" s="1"/>
  <c r="AH78" i="44"/>
  <c r="AI78" i="44" s="1"/>
  <c r="AJ78" i="44" s="1"/>
  <c r="AK78" i="44" s="1"/>
  <c r="AL78" i="44" s="1"/>
  <c r="AM78" i="44" s="1"/>
  <c r="AN78" i="44" s="1"/>
  <c r="V78" i="44"/>
  <c r="W78" i="44" s="1"/>
  <c r="X78" i="44" s="1"/>
  <c r="Y78" i="44" s="1"/>
  <c r="Z78" i="44" s="1"/>
  <c r="AA78" i="44" s="1"/>
  <c r="AB78" i="44" s="1"/>
  <c r="AC78" i="44" s="1"/>
  <c r="AD78" i="44" s="1"/>
  <c r="AE78" i="44" s="1"/>
  <c r="AF78" i="44" s="1"/>
  <c r="F78" i="44"/>
  <c r="G78" i="44" s="1"/>
  <c r="H78" i="44" s="1"/>
  <c r="BF75" i="44"/>
  <c r="AS67" i="44"/>
  <c r="AT67" i="44" s="1"/>
  <c r="AU67" i="44" s="1"/>
  <c r="AV67" i="44" s="1"/>
  <c r="AW67" i="44" s="1"/>
  <c r="AX67" i="44" s="1"/>
  <c r="AY67" i="44" s="1"/>
  <c r="AZ67" i="44" s="1"/>
  <c r="BA67" i="44" s="1"/>
  <c r="BB67" i="44" s="1"/>
  <c r="BC67" i="44" s="1"/>
  <c r="BD67" i="44" s="1"/>
  <c r="AH67" i="44"/>
  <c r="AI67" i="44" s="1"/>
  <c r="AJ67" i="44" s="1"/>
  <c r="AK67" i="44" s="1"/>
  <c r="AL67" i="44" s="1"/>
  <c r="AM67" i="44" s="1"/>
  <c r="AN67" i="44" s="1"/>
  <c r="AO67" i="44" s="1"/>
  <c r="AP67" i="44" s="1"/>
  <c r="AQ67" i="44" s="1"/>
  <c r="AR67" i="44" s="1"/>
  <c r="V67" i="44"/>
  <c r="W67" i="44" s="1"/>
  <c r="X67" i="44" s="1"/>
  <c r="Y67" i="44" s="1"/>
  <c r="Z67" i="44" s="1"/>
  <c r="AA67" i="44" s="1"/>
  <c r="AB67" i="44" s="1"/>
  <c r="AC67" i="44" s="1"/>
  <c r="AD67" i="44" s="1"/>
  <c r="AE67" i="44" s="1"/>
  <c r="AF67" i="44" s="1"/>
  <c r="F67" i="44"/>
  <c r="G67" i="44" s="1"/>
  <c r="H67" i="44" s="1"/>
  <c r="D65" i="44"/>
  <c r="C65" i="44"/>
  <c r="AF64" i="44"/>
  <c r="AE64" i="44"/>
  <c r="AD64" i="44"/>
  <c r="AC64" i="44"/>
  <c r="AB64" i="44"/>
  <c r="AA64" i="44"/>
  <c r="Z64" i="44"/>
  <c r="Y64" i="44"/>
  <c r="X64" i="44"/>
  <c r="W64" i="44"/>
  <c r="V64" i="44"/>
  <c r="D64" i="44" s="1"/>
  <c r="H64" i="44"/>
  <c r="G64" i="44"/>
  <c r="F64" i="44"/>
  <c r="E64" i="44"/>
  <c r="BD63" i="44"/>
  <c r="BC63" i="44"/>
  <c r="BB63" i="44"/>
  <c r="BA63" i="44"/>
  <c r="AZ63" i="44"/>
  <c r="AY63" i="44"/>
  <c r="AX63" i="44"/>
  <c r="AW63" i="44"/>
  <c r="AV63" i="44"/>
  <c r="AU63" i="44"/>
  <c r="AT63" i="44"/>
  <c r="AS63" i="44"/>
  <c r="AR63" i="44"/>
  <c r="AQ63" i="44"/>
  <c r="AP63" i="44"/>
  <c r="AO63" i="44"/>
  <c r="AN63" i="44"/>
  <c r="AM63" i="44"/>
  <c r="AL63" i="44"/>
  <c r="AK63" i="44"/>
  <c r="AJ63" i="44"/>
  <c r="AI63" i="44"/>
  <c r="AH63" i="44"/>
  <c r="AG63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I61" i="44"/>
  <c r="AH61" i="44"/>
  <c r="AG61" i="44"/>
  <c r="BD60" i="44"/>
  <c r="BC60" i="44"/>
  <c r="BB60" i="44"/>
  <c r="BA60" i="44"/>
  <c r="AZ60" i="44"/>
  <c r="AY60" i="44"/>
  <c r="AX60" i="44"/>
  <c r="AW60" i="44"/>
  <c r="AV60" i="44"/>
  <c r="AU60" i="44"/>
  <c r="AT60" i="44"/>
  <c r="AS60" i="44"/>
  <c r="AR60" i="44"/>
  <c r="AQ60" i="44"/>
  <c r="AP60" i="44"/>
  <c r="AO60" i="44"/>
  <c r="AN60" i="44"/>
  <c r="AM60" i="44"/>
  <c r="AL60" i="44"/>
  <c r="AK60" i="44"/>
  <c r="AJ60" i="44"/>
  <c r="AI60" i="44"/>
  <c r="AH60" i="44"/>
  <c r="AG60" i="44"/>
  <c r="BD59" i="44"/>
  <c r="BC59" i="44"/>
  <c r="BB59" i="44"/>
  <c r="BA59" i="44"/>
  <c r="AZ59" i="44"/>
  <c r="AY59" i="44"/>
  <c r="AX59" i="44"/>
  <c r="AW59" i="44"/>
  <c r="AV59" i="44"/>
  <c r="AU59" i="44"/>
  <c r="AT59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I58" i="44"/>
  <c r="AH58" i="44"/>
  <c r="AG58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BD55" i="44"/>
  <c r="BC55" i="44"/>
  <c r="BB55" i="44"/>
  <c r="BA55" i="44"/>
  <c r="AZ55" i="44"/>
  <c r="AY55" i="44"/>
  <c r="AX55" i="44"/>
  <c r="AW55" i="44"/>
  <c r="AW80" i="44" s="1"/>
  <c r="AV55" i="44"/>
  <c r="AU55" i="44"/>
  <c r="AT55" i="44"/>
  <c r="AS55" i="44"/>
  <c r="AS80" i="44" s="1"/>
  <c r="AR55" i="44"/>
  <c r="AQ55" i="44"/>
  <c r="AP55" i="44"/>
  <c r="AO55" i="44"/>
  <c r="AN55" i="44"/>
  <c r="AM55" i="44"/>
  <c r="AL55" i="44"/>
  <c r="AK55" i="44"/>
  <c r="AK64" i="44" s="1"/>
  <c r="AJ55" i="44"/>
  <c r="AI55" i="44"/>
  <c r="AH55" i="44"/>
  <c r="AG55" i="44"/>
  <c r="AG64" i="44" s="1"/>
  <c r="AS54" i="44"/>
  <c r="AT54" i="44" s="1"/>
  <c r="AU54" i="44" s="1"/>
  <c r="AV54" i="44" s="1"/>
  <c r="AW54" i="44" s="1"/>
  <c r="AX54" i="44" s="1"/>
  <c r="AY54" i="44" s="1"/>
  <c r="AZ54" i="44" s="1"/>
  <c r="BA54" i="44" s="1"/>
  <c r="BB54" i="44" s="1"/>
  <c r="BC54" i="44" s="1"/>
  <c r="BD54" i="44" s="1"/>
  <c r="AH54" i="44"/>
  <c r="AI54" i="44" s="1"/>
  <c r="AJ54" i="44" s="1"/>
  <c r="AK54" i="44" s="1"/>
  <c r="AL54" i="44" s="1"/>
  <c r="AM54" i="44" s="1"/>
  <c r="AN54" i="44" s="1"/>
  <c r="AO54" i="44" s="1"/>
  <c r="AP54" i="44" s="1"/>
  <c r="AQ54" i="44" s="1"/>
  <c r="AR54" i="44" s="1"/>
  <c r="V54" i="44"/>
  <c r="W54" i="44" s="1"/>
  <c r="X54" i="44" s="1"/>
  <c r="Y54" i="44" s="1"/>
  <c r="Z54" i="44" s="1"/>
  <c r="AA54" i="44" s="1"/>
  <c r="AB54" i="44" s="1"/>
  <c r="AC54" i="44" s="1"/>
  <c r="AD54" i="44" s="1"/>
  <c r="AE54" i="44" s="1"/>
  <c r="AF54" i="44" s="1"/>
  <c r="F54" i="44"/>
  <c r="G54" i="44" s="1"/>
  <c r="H54" i="44" s="1"/>
  <c r="AE49" i="44"/>
  <c r="AD49" i="44"/>
  <c r="AC49" i="44"/>
  <c r="AB49" i="44"/>
  <c r="AA49" i="44"/>
  <c r="Z49" i="44"/>
  <c r="Y49" i="44"/>
  <c r="X49" i="44"/>
  <c r="W49" i="44"/>
  <c r="V49" i="44"/>
  <c r="C48" i="44"/>
  <c r="C47" i="44"/>
  <c r="BK46" i="44"/>
  <c r="BJ46" i="44"/>
  <c r="BI46" i="44"/>
  <c r="BH46" i="44"/>
  <c r="BG46" i="44"/>
  <c r="BF46" i="44"/>
  <c r="BI45" i="44"/>
  <c r="BH45" i="44"/>
  <c r="BG45" i="44"/>
  <c r="BD45" i="44"/>
  <c r="AR45" i="44"/>
  <c r="F45" i="44"/>
  <c r="E45" i="44"/>
  <c r="D45" i="44"/>
  <c r="C45" i="44"/>
  <c r="AS42" i="44"/>
  <c r="AT42" i="44" s="1"/>
  <c r="AU42" i="44" s="1"/>
  <c r="AV42" i="44" s="1"/>
  <c r="AW42" i="44" s="1"/>
  <c r="AX42" i="44" s="1"/>
  <c r="AY42" i="44" s="1"/>
  <c r="AZ42" i="44" s="1"/>
  <c r="BA42" i="44" s="1"/>
  <c r="BB42" i="44" s="1"/>
  <c r="BC42" i="44" s="1"/>
  <c r="BD42" i="44" s="1"/>
  <c r="AH42" i="44"/>
  <c r="AI42" i="44" s="1"/>
  <c r="AJ42" i="44" s="1"/>
  <c r="AK42" i="44" s="1"/>
  <c r="AL42" i="44" s="1"/>
  <c r="AM42" i="44" s="1"/>
  <c r="AN42" i="44" s="1"/>
  <c r="AO42" i="44" s="1"/>
  <c r="AP42" i="44" s="1"/>
  <c r="AQ42" i="44" s="1"/>
  <c r="AR42" i="44" s="1"/>
  <c r="V42" i="44"/>
  <c r="W42" i="44" s="1"/>
  <c r="X42" i="44" s="1"/>
  <c r="Y42" i="44" s="1"/>
  <c r="Z42" i="44" s="1"/>
  <c r="AA42" i="44" s="1"/>
  <c r="AB42" i="44" s="1"/>
  <c r="AC42" i="44" s="1"/>
  <c r="AD42" i="44" s="1"/>
  <c r="AE42" i="44" s="1"/>
  <c r="AF42" i="44" s="1"/>
  <c r="F42" i="44"/>
  <c r="G42" i="44" s="1"/>
  <c r="H42" i="44" s="1"/>
  <c r="BF40" i="44"/>
  <c r="AS31" i="44"/>
  <c r="AT31" i="44" s="1"/>
  <c r="AU31" i="44" s="1"/>
  <c r="AV31" i="44" s="1"/>
  <c r="AW31" i="44" s="1"/>
  <c r="AX31" i="44" s="1"/>
  <c r="AY31" i="44" s="1"/>
  <c r="AZ31" i="44" s="1"/>
  <c r="BA31" i="44" s="1"/>
  <c r="BB31" i="44" s="1"/>
  <c r="BC31" i="44" s="1"/>
  <c r="BD31" i="44" s="1"/>
  <c r="AH31" i="44"/>
  <c r="AI31" i="44" s="1"/>
  <c r="AJ31" i="44" s="1"/>
  <c r="AK31" i="44" s="1"/>
  <c r="AL31" i="44" s="1"/>
  <c r="AM31" i="44" s="1"/>
  <c r="AN31" i="44" s="1"/>
  <c r="AO31" i="44" s="1"/>
  <c r="AP31" i="44" s="1"/>
  <c r="AQ31" i="44" s="1"/>
  <c r="AR31" i="44" s="1"/>
  <c r="V31" i="44"/>
  <c r="W31" i="44" s="1"/>
  <c r="X31" i="44" s="1"/>
  <c r="Y31" i="44" s="1"/>
  <c r="Z31" i="44" s="1"/>
  <c r="AA31" i="44" s="1"/>
  <c r="AB31" i="44" s="1"/>
  <c r="AC31" i="44" s="1"/>
  <c r="AD31" i="44" s="1"/>
  <c r="AE31" i="44" s="1"/>
  <c r="AF31" i="44" s="1"/>
  <c r="F31" i="44"/>
  <c r="G31" i="44" s="1"/>
  <c r="H31" i="44" s="1"/>
  <c r="D29" i="44"/>
  <c r="C29" i="44"/>
  <c r="AF28" i="44"/>
  <c r="AE28" i="44"/>
  <c r="AD28" i="44"/>
  <c r="AC28" i="44"/>
  <c r="AB28" i="44"/>
  <c r="AA28" i="44"/>
  <c r="Z28" i="44"/>
  <c r="Y28" i="44"/>
  <c r="X28" i="44"/>
  <c r="W28" i="44"/>
  <c r="V28" i="44"/>
  <c r="H28" i="44"/>
  <c r="G28" i="44"/>
  <c r="F28" i="44"/>
  <c r="E28" i="44"/>
  <c r="BD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I27" i="44"/>
  <c r="AH27" i="44"/>
  <c r="AG27" i="44"/>
  <c r="D26" i="44"/>
  <c r="C26" i="44"/>
  <c r="BD25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AN25" i="44"/>
  <c r="AM25" i="44"/>
  <c r="AL25" i="44"/>
  <c r="AK25" i="44"/>
  <c r="AJ25" i="44"/>
  <c r="AI25" i="44"/>
  <c r="AH25" i="44"/>
  <c r="AG25" i="44"/>
  <c r="D24" i="44"/>
  <c r="C24" i="44"/>
  <c r="BD23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I23" i="44"/>
  <c r="AH23" i="44"/>
  <c r="AG23" i="44"/>
  <c r="BD21" i="44"/>
  <c r="BC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AN21" i="44"/>
  <c r="AM21" i="44"/>
  <c r="AL21" i="44"/>
  <c r="AK21" i="44"/>
  <c r="AJ21" i="44"/>
  <c r="AI21" i="44"/>
  <c r="AH21" i="44"/>
  <c r="AG21" i="44"/>
  <c r="BD20" i="44"/>
  <c r="BC20" i="44"/>
  <c r="BB20" i="44"/>
  <c r="BA20" i="44"/>
  <c r="AZ20" i="44"/>
  <c r="AY20" i="44"/>
  <c r="AX20" i="44"/>
  <c r="AW20" i="44"/>
  <c r="AV20" i="44"/>
  <c r="AU20" i="44"/>
  <c r="AT20" i="44"/>
  <c r="AS20" i="44"/>
  <c r="AR20" i="44"/>
  <c r="AQ20" i="44"/>
  <c r="AP20" i="44"/>
  <c r="AO20" i="44"/>
  <c r="AN20" i="44"/>
  <c r="AM20" i="44"/>
  <c r="AL20" i="44"/>
  <c r="AK20" i="44"/>
  <c r="AJ20" i="44"/>
  <c r="AI20" i="44"/>
  <c r="AH20" i="44"/>
  <c r="AG20" i="44"/>
  <c r="BD19" i="44"/>
  <c r="BC19" i="44"/>
  <c r="BB19" i="44"/>
  <c r="BA19" i="44"/>
  <c r="AZ19" i="44"/>
  <c r="AY19" i="44"/>
  <c r="AX19" i="44"/>
  <c r="AW19" i="44"/>
  <c r="AV19" i="44"/>
  <c r="AU19" i="44"/>
  <c r="AT19" i="44"/>
  <c r="AS19" i="44"/>
  <c r="AR19" i="44"/>
  <c r="AQ19" i="44"/>
  <c r="AP19" i="44"/>
  <c r="AO19" i="44"/>
  <c r="AN19" i="44"/>
  <c r="AM19" i="44"/>
  <c r="AL19" i="44"/>
  <c r="AK19" i="44"/>
  <c r="AJ19" i="44"/>
  <c r="AI19" i="44"/>
  <c r="AH19" i="44"/>
  <c r="AG19" i="44"/>
  <c r="AS18" i="44"/>
  <c r="AT18" i="44" s="1"/>
  <c r="AU18" i="44" s="1"/>
  <c r="AV18" i="44" s="1"/>
  <c r="AW18" i="44" s="1"/>
  <c r="AX18" i="44" s="1"/>
  <c r="AY18" i="44" s="1"/>
  <c r="AZ18" i="44" s="1"/>
  <c r="BA18" i="44" s="1"/>
  <c r="BB18" i="44" s="1"/>
  <c r="BC18" i="44" s="1"/>
  <c r="BD18" i="44" s="1"/>
  <c r="AH18" i="44"/>
  <c r="AI18" i="44" s="1"/>
  <c r="AJ18" i="44" s="1"/>
  <c r="AK18" i="44" s="1"/>
  <c r="AL18" i="44" s="1"/>
  <c r="AM18" i="44" s="1"/>
  <c r="AN18" i="44" s="1"/>
  <c r="AO18" i="44" s="1"/>
  <c r="AP18" i="44" s="1"/>
  <c r="AQ18" i="44" s="1"/>
  <c r="AR18" i="44" s="1"/>
  <c r="V18" i="44"/>
  <c r="W18" i="44" s="1"/>
  <c r="X18" i="44" s="1"/>
  <c r="Y18" i="44" s="1"/>
  <c r="Z18" i="44" s="1"/>
  <c r="AA18" i="44" s="1"/>
  <c r="AB18" i="44" s="1"/>
  <c r="AC18" i="44" s="1"/>
  <c r="AD18" i="44" s="1"/>
  <c r="AE18" i="44" s="1"/>
  <c r="AF18" i="44" s="1"/>
  <c r="F18" i="44"/>
  <c r="G18" i="44" s="1"/>
  <c r="H18" i="44" s="1"/>
  <c r="AE13" i="44"/>
  <c r="AF5" i="44" s="1"/>
  <c r="AD13" i="44"/>
  <c r="AC13" i="44"/>
  <c r="AB13" i="44"/>
  <c r="AA13" i="44"/>
  <c r="Z13" i="44"/>
  <c r="Y13" i="44"/>
  <c r="X13" i="44"/>
  <c r="W13" i="44"/>
  <c r="V13" i="44"/>
  <c r="AF12" i="44"/>
  <c r="AQ10" i="44" s="1"/>
  <c r="C10" i="44" s="1"/>
  <c r="C12" i="44"/>
  <c r="BK10" i="44"/>
  <c r="BI10" i="44"/>
  <c r="BH10" i="44"/>
  <c r="BG10" i="44"/>
  <c r="BF10" i="44"/>
  <c r="AQ9" i="44"/>
  <c r="C9" i="44"/>
  <c r="E8" i="44"/>
  <c r="E13" i="44" s="1"/>
  <c r="D7" i="44"/>
  <c r="D6" i="44"/>
  <c r="AT3" i="44"/>
  <c r="AU3" i="44" s="1"/>
  <c r="AV3" i="44" s="1"/>
  <c r="AW3" i="44" s="1"/>
  <c r="AX3" i="44" s="1"/>
  <c r="AY3" i="44" s="1"/>
  <c r="AZ3" i="44" s="1"/>
  <c r="BA3" i="44" s="1"/>
  <c r="BB3" i="44" s="1"/>
  <c r="BC3" i="44" s="1"/>
  <c r="BD3" i="44" s="1"/>
  <c r="AH3" i="44"/>
  <c r="AI3" i="44" s="1"/>
  <c r="AJ3" i="44" s="1"/>
  <c r="V3" i="44"/>
  <c r="W3" i="44" s="1"/>
  <c r="X3" i="44" s="1"/>
  <c r="Y3" i="44" s="1"/>
  <c r="Z3" i="44" s="1"/>
  <c r="AA3" i="44" s="1"/>
  <c r="AB3" i="44" s="1"/>
  <c r="AC3" i="44" s="1"/>
  <c r="AD3" i="44" s="1"/>
  <c r="AE3" i="44" s="1"/>
  <c r="AF3" i="44" s="1"/>
  <c r="F3" i="44"/>
  <c r="G3" i="44" s="1"/>
  <c r="H3" i="44" s="1"/>
  <c r="AB79" i="43"/>
  <c r="AC75" i="43" s="1"/>
  <c r="AC77" i="43" s="1"/>
  <c r="AC79" i="43" s="1"/>
  <c r="AA79" i="43"/>
  <c r="Z79" i="43"/>
  <c r="X79" i="43"/>
  <c r="Y75" i="43" s="1"/>
  <c r="W79" i="43"/>
  <c r="D78" i="43"/>
  <c r="G77" i="43"/>
  <c r="V76" i="43"/>
  <c r="E76" i="43" s="1"/>
  <c r="I76" i="43"/>
  <c r="I77" i="43" s="1"/>
  <c r="F76" i="43"/>
  <c r="F77" i="43" s="1"/>
  <c r="BG74" i="43"/>
  <c r="AT73" i="43"/>
  <c r="AU73" i="43" s="1"/>
  <c r="AV73" i="43" s="1"/>
  <c r="AW73" i="43" s="1"/>
  <c r="AX73" i="43" s="1"/>
  <c r="AY73" i="43" s="1"/>
  <c r="AZ73" i="43" s="1"/>
  <c r="BA73" i="43" s="1"/>
  <c r="BB73" i="43" s="1"/>
  <c r="BC73" i="43" s="1"/>
  <c r="BD73" i="43" s="1"/>
  <c r="BE73" i="43" s="1"/>
  <c r="AI73" i="43"/>
  <c r="AJ73" i="43" s="1"/>
  <c r="AK73" i="43" s="1"/>
  <c r="AL73" i="43" s="1"/>
  <c r="AM73" i="43" s="1"/>
  <c r="AN73" i="43" s="1"/>
  <c r="AO73" i="43" s="1"/>
  <c r="AP73" i="43" s="1"/>
  <c r="AQ73" i="43" s="1"/>
  <c r="AR73" i="43" s="1"/>
  <c r="AS73" i="43" s="1"/>
  <c r="W73" i="43"/>
  <c r="X73" i="43" s="1"/>
  <c r="Y73" i="43" s="1"/>
  <c r="Z73" i="43" s="1"/>
  <c r="AA73" i="43" s="1"/>
  <c r="AB73" i="43" s="1"/>
  <c r="AC73" i="43" s="1"/>
  <c r="AD73" i="43" s="1"/>
  <c r="AE73" i="43" s="1"/>
  <c r="AF73" i="43" s="1"/>
  <c r="AG73" i="43" s="1"/>
  <c r="G73" i="43"/>
  <c r="H73" i="43" s="1"/>
  <c r="I73" i="43" s="1"/>
  <c r="AT63" i="43"/>
  <c r="AU63" i="43" s="1"/>
  <c r="AV63" i="43" s="1"/>
  <c r="AW63" i="43" s="1"/>
  <c r="AX63" i="43" s="1"/>
  <c r="AY63" i="43" s="1"/>
  <c r="AZ63" i="43" s="1"/>
  <c r="BA63" i="43" s="1"/>
  <c r="BB63" i="43" s="1"/>
  <c r="BC63" i="43" s="1"/>
  <c r="BD63" i="43" s="1"/>
  <c r="BE63" i="43" s="1"/>
  <c r="AI63" i="43"/>
  <c r="AJ63" i="43" s="1"/>
  <c r="AK63" i="43" s="1"/>
  <c r="AL63" i="43" s="1"/>
  <c r="AM63" i="43" s="1"/>
  <c r="AN63" i="43" s="1"/>
  <c r="AO63" i="43" s="1"/>
  <c r="AP63" i="43" s="1"/>
  <c r="AQ63" i="43" s="1"/>
  <c r="AR63" i="43" s="1"/>
  <c r="AS63" i="43" s="1"/>
  <c r="W63" i="43"/>
  <c r="X63" i="43" s="1"/>
  <c r="Y63" i="43" s="1"/>
  <c r="Z63" i="43" s="1"/>
  <c r="AA63" i="43" s="1"/>
  <c r="AB63" i="43" s="1"/>
  <c r="AC63" i="43" s="1"/>
  <c r="AD63" i="43" s="1"/>
  <c r="AE63" i="43" s="1"/>
  <c r="AF63" i="43" s="1"/>
  <c r="AG63" i="43" s="1"/>
  <c r="G63" i="43"/>
  <c r="H63" i="43" s="1"/>
  <c r="I63" i="43" s="1"/>
  <c r="E61" i="43"/>
  <c r="D61" i="43"/>
  <c r="AQ60" i="43"/>
  <c r="AP60" i="43"/>
  <c r="AO60" i="43"/>
  <c r="AN60" i="43"/>
  <c r="AM60" i="43"/>
  <c r="AL60" i="43"/>
  <c r="AK60" i="43"/>
  <c r="AJ60" i="43"/>
  <c r="AI60" i="43"/>
  <c r="AH60" i="43"/>
  <c r="AF60" i="43"/>
  <c r="AE60" i="43"/>
  <c r="AD60" i="43"/>
  <c r="AC60" i="43"/>
  <c r="AB60" i="43"/>
  <c r="AA60" i="43"/>
  <c r="Z60" i="43"/>
  <c r="Y60" i="43"/>
  <c r="X60" i="43"/>
  <c r="W60" i="43"/>
  <c r="V60" i="43"/>
  <c r="I60" i="43"/>
  <c r="H60" i="43"/>
  <c r="G60" i="43"/>
  <c r="E59" i="43"/>
  <c r="D59" i="43"/>
  <c r="BE58" i="43"/>
  <c r="BD58" i="43"/>
  <c r="BC58" i="43"/>
  <c r="BB58" i="43"/>
  <c r="BA58" i="43"/>
  <c r="AZ58" i="43"/>
  <c r="AY58" i="43"/>
  <c r="AX58" i="43"/>
  <c r="AW58" i="43"/>
  <c r="AV58" i="43"/>
  <c r="AU58" i="43"/>
  <c r="AT58" i="43"/>
  <c r="AS58" i="43"/>
  <c r="AR58" i="43"/>
  <c r="AG58" i="43"/>
  <c r="D58" i="43" s="1"/>
  <c r="E58" i="43"/>
  <c r="E57" i="43"/>
  <c r="D57" i="43"/>
  <c r="E56" i="43"/>
  <c r="D56" i="43"/>
  <c r="E55" i="43"/>
  <c r="BE54" i="43"/>
  <c r="AT54" i="43"/>
  <c r="AS54" i="43"/>
  <c r="E54" i="43"/>
  <c r="D54" i="43"/>
  <c r="BE53" i="43"/>
  <c r="AT53" i="43"/>
  <c r="AS53" i="43"/>
  <c r="E53" i="43"/>
  <c r="D53" i="43"/>
  <c r="BE52" i="43"/>
  <c r="AT52" i="43"/>
  <c r="AS52" i="43"/>
  <c r="E52" i="43"/>
  <c r="D52" i="43"/>
  <c r="AT51" i="43"/>
  <c r="AU51" i="43" s="1"/>
  <c r="AV51" i="43" s="1"/>
  <c r="AW51" i="43" s="1"/>
  <c r="AX51" i="43" s="1"/>
  <c r="AY51" i="43" s="1"/>
  <c r="AZ51" i="43" s="1"/>
  <c r="BA51" i="43" s="1"/>
  <c r="BB51" i="43" s="1"/>
  <c r="BC51" i="43" s="1"/>
  <c r="BD51" i="43" s="1"/>
  <c r="BE51" i="43" s="1"/>
  <c r="AI51" i="43"/>
  <c r="AJ51" i="43" s="1"/>
  <c r="AK51" i="43" s="1"/>
  <c r="AL51" i="43" s="1"/>
  <c r="AM51" i="43" s="1"/>
  <c r="AN51" i="43" s="1"/>
  <c r="AO51" i="43" s="1"/>
  <c r="AP51" i="43" s="1"/>
  <c r="AQ51" i="43" s="1"/>
  <c r="AR51" i="43" s="1"/>
  <c r="AS51" i="43" s="1"/>
  <c r="W51" i="43"/>
  <c r="X51" i="43" s="1"/>
  <c r="Y51" i="43" s="1"/>
  <c r="Z51" i="43" s="1"/>
  <c r="AA51" i="43" s="1"/>
  <c r="AB51" i="43" s="1"/>
  <c r="AC51" i="43" s="1"/>
  <c r="AD51" i="43" s="1"/>
  <c r="AE51" i="43" s="1"/>
  <c r="AF51" i="43" s="1"/>
  <c r="AG51" i="43" s="1"/>
  <c r="G51" i="43"/>
  <c r="H51" i="43" s="1"/>
  <c r="I51" i="43" s="1"/>
  <c r="BL47" i="43"/>
  <c r="BJ47" i="43"/>
  <c r="BI47" i="43"/>
  <c r="BH47" i="43"/>
  <c r="BG47" i="43"/>
  <c r="AC47" i="43"/>
  <c r="AD42" i="43" s="1"/>
  <c r="AB47" i="43"/>
  <c r="AA47" i="43"/>
  <c r="V47" i="43"/>
  <c r="BJ46" i="43"/>
  <c r="BI46" i="43"/>
  <c r="BH46" i="43"/>
  <c r="U46" i="43"/>
  <c r="D46" i="43"/>
  <c r="D45" i="43"/>
  <c r="T44" i="43"/>
  <c r="T47" i="43" s="1"/>
  <c r="AE43" i="43"/>
  <c r="AD43" i="43"/>
  <c r="AD44" i="43" s="1"/>
  <c r="X43" i="43"/>
  <c r="W43" i="43"/>
  <c r="I43" i="43"/>
  <c r="F43" i="43"/>
  <c r="E43" i="43"/>
  <c r="D43" i="43"/>
  <c r="BG41" i="43"/>
  <c r="AT40" i="43"/>
  <c r="AU40" i="43" s="1"/>
  <c r="AV40" i="43" s="1"/>
  <c r="AW40" i="43" s="1"/>
  <c r="AX40" i="43" s="1"/>
  <c r="AY40" i="43" s="1"/>
  <c r="AZ40" i="43" s="1"/>
  <c r="BA40" i="43" s="1"/>
  <c r="BB40" i="43" s="1"/>
  <c r="BC40" i="43" s="1"/>
  <c r="BD40" i="43" s="1"/>
  <c r="BE40" i="43" s="1"/>
  <c r="AI40" i="43"/>
  <c r="AJ40" i="43" s="1"/>
  <c r="AK40" i="43" s="1"/>
  <c r="AL40" i="43" s="1"/>
  <c r="AM40" i="43" s="1"/>
  <c r="AN40" i="43" s="1"/>
  <c r="AO40" i="43" s="1"/>
  <c r="AP40" i="43" s="1"/>
  <c r="AQ40" i="43" s="1"/>
  <c r="AR40" i="43" s="1"/>
  <c r="AS40" i="43" s="1"/>
  <c r="W40" i="43"/>
  <c r="X40" i="43" s="1"/>
  <c r="Y40" i="43" s="1"/>
  <c r="Z40" i="43" s="1"/>
  <c r="AA40" i="43" s="1"/>
  <c r="AB40" i="43" s="1"/>
  <c r="AC40" i="43" s="1"/>
  <c r="AD40" i="43" s="1"/>
  <c r="AE40" i="43" s="1"/>
  <c r="AF40" i="43" s="1"/>
  <c r="AG40" i="43" s="1"/>
  <c r="G40" i="43"/>
  <c r="H40" i="43" s="1"/>
  <c r="I40" i="43" s="1"/>
  <c r="AT30" i="43"/>
  <c r="AU30" i="43" s="1"/>
  <c r="AV30" i="43" s="1"/>
  <c r="AW30" i="43" s="1"/>
  <c r="AX30" i="43" s="1"/>
  <c r="AY30" i="43" s="1"/>
  <c r="AZ30" i="43" s="1"/>
  <c r="BA30" i="43" s="1"/>
  <c r="BB30" i="43" s="1"/>
  <c r="BC30" i="43" s="1"/>
  <c r="BD30" i="43" s="1"/>
  <c r="BE30" i="43" s="1"/>
  <c r="AI30" i="43"/>
  <c r="AJ30" i="43" s="1"/>
  <c r="AK30" i="43" s="1"/>
  <c r="AL30" i="43" s="1"/>
  <c r="AM30" i="43" s="1"/>
  <c r="AN30" i="43" s="1"/>
  <c r="AO30" i="43" s="1"/>
  <c r="AP30" i="43" s="1"/>
  <c r="AQ30" i="43" s="1"/>
  <c r="AR30" i="43" s="1"/>
  <c r="AS30" i="43" s="1"/>
  <c r="W30" i="43"/>
  <c r="X30" i="43" s="1"/>
  <c r="Y30" i="43" s="1"/>
  <c r="Z30" i="43" s="1"/>
  <c r="AA30" i="43" s="1"/>
  <c r="AB30" i="43" s="1"/>
  <c r="AC30" i="43" s="1"/>
  <c r="AD30" i="43" s="1"/>
  <c r="AE30" i="43" s="1"/>
  <c r="AF30" i="43" s="1"/>
  <c r="AG30" i="43" s="1"/>
  <c r="G30" i="43"/>
  <c r="H30" i="43" s="1"/>
  <c r="I30" i="43" s="1"/>
  <c r="E28" i="43"/>
  <c r="D28" i="43"/>
  <c r="AQ27" i="43"/>
  <c r="AP27" i="43"/>
  <c r="AO27" i="43"/>
  <c r="AN27" i="43"/>
  <c r="AF27" i="43"/>
  <c r="AE27" i="43"/>
  <c r="AD27" i="43"/>
  <c r="AC27" i="43"/>
  <c r="AA27" i="43"/>
  <c r="Z27" i="43"/>
  <c r="Y27" i="43"/>
  <c r="X27" i="43"/>
  <c r="W27" i="43"/>
  <c r="V27" i="43"/>
  <c r="I27" i="43"/>
  <c r="H27" i="43"/>
  <c r="F27" i="43"/>
  <c r="E26" i="43"/>
  <c r="D26" i="43"/>
  <c r="E25" i="43"/>
  <c r="D25" i="43"/>
  <c r="AY24" i="43"/>
  <c r="AX24" i="43"/>
  <c r="AW24" i="43"/>
  <c r="AV24" i="43"/>
  <c r="AU24" i="43"/>
  <c r="AT24" i="43"/>
  <c r="AM24" i="43"/>
  <c r="AM27" i="43" s="1"/>
  <c r="AL24" i="43"/>
  <c r="AL27" i="43" s="1"/>
  <c r="AK24" i="43"/>
  <c r="AK27" i="43" s="1"/>
  <c r="AJ24" i="43"/>
  <c r="AJ27" i="43" s="1"/>
  <c r="AI24" i="43"/>
  <c r="AI27" i="43" s="1"/>
  <c r="AH24" i="43"/>
  <c r="AH27" i="43" s="1"/>
  <c r="AG24" i="43"/>
  <c r="AG27" i="43" s="1"/>
  <c r="AB24" i="43"/>
  <c r="E23" i="43"/>
  <c r="D23" i="43"/>
  <c r="E22" i="43"/>
  <c r="D22" i="43"/>
  <c r="E21" i="43"/>
  <c r="D21" i="43"/>
  <c r="BE20" i="43"/>
  <c r="AT20" i="43"/>
  <c r="AS20" i="43"/>
  <c r="E20" i="43"/>
  <c r="BE19" i="43"/>
  <c r="AT19" i="43"/>
  <c r="AS19" i="43"/>
  <c r="AS27" i="43" s="1"/>
  <c r="E19" i="43"/>
  <c r="AT18" i="43"/>
  <c r="AU18" i="43" s="1"/>
  <c r="AV18" i="43" s="1"/>
  <c r="AW18" i="43" s="1"/>
  <c r="AX18" i="43" s="1"/>
  <c r="AY18" i="43" s="1"/>
  <c r="AZ18" i="43" s="1"/>
  <c r="BA18" i="43" s="1"/>
  <c r="BB18" i="43" s="1"/>
  <c r="BC18" i="43" s="1"/>
  <c r="BD18" i="43" s="1"/>
  <c r="BE18" i="43" s="1"/>
  <c r="AI18" i="43"/>
  <c r="AJ18" i="43" s="1"/>
  <c r="AK18" i="43" s="1"/>
  <c r="AL18" i="43" s="1"/>
  <c r="AM18" i="43" s="1"/>
  <c r="AN18" i="43" s="1"/>
  <c r="AO18" i="43" s="1"/>
  <c r="AP18" i="43" s="1"/>
  <c r="AQ18" i="43" s="1"/>
  <c r="AR18" i="43" s="1"/>
  <c r="AS18" i="43" s="1"/>
  <c r="W18" i="43"/>
  <c r="X18" i="43" s="1"/>
  <c r="Y18" i="43" s="1"/>
  <c r="Z18" i="43" s="1"/>
  <c r="AA18" i="43" s="1"/>
  <c r="AB18" i="43" s="1"/>
  <c r="AC18" i="43" s="1"/>
  <c r="AD18" i="43" s="1"/>
  <c r="AE18" i="43" s="1"/>
  <c r="AF18" i="43" s="1"/>
  <c r="AG18" i="43" s="1"/>
  <c r="G18" i="43"/>
  <c r="H18" i="43" s="1"/>
  <c r="I18" i="43" s="1"/>
  <c r="AF13" i="43"/>
  <c r="AG5" i="43" s="1"/>
  <c r="AE13" i="43"/>
  <c r="AD13" i="43"/>
  <c r="AC13" i="43"/>
  <c r="AB13" i="43"/>
  <c r="AA13" i="43"/>
  <c r="Z13" i="43"/>
  <c r="Y13" i="43"/>
  <c r="X13" i="43"/>
  <c r="W13" i="43"/>
  <c r="V13" i="43"/>
  <c r="T13" i="43"/>
  <c r="D12" i="43"/>
  <c r="BL10" i="43"/>
  <c r="BJ10" i="43"/>
  <c r="BI10" i="43"/>
  <c r="BH10" i="43"/>
  <c r="BG10" i="43"/>
  <c r="AR10" i="43"/>
  <c r="AR9" i="43"/>
  <c r="F8" i="43"/>
  <c r="E7" i="43"/>
  <c r="E6" i="43"/>
  <c r="AU3" i="43"/>
  <c r="AV3" i="43" s="1"/>
  <c r="AW3" i="43" s="1"/>
  <c r="AX3" i="43" s="1"/>
  <c r="AY3" i="43" s="1"/>
  <c r="AZ3" i="43" s="1"/>
  <c r="BA3" i="43" s="1"/>
  <c r="BB3" i="43" s="1"/>
  <c r="BC3" i="43" s="1"/>
  <c r="BD3" i="43" s="1"/>
  <c r="BE3" i="43" s="1"/>
  <c r="AI3" i="43"/>
  <c r="AJ3" i="43" s="1"/>
  <c r="AK3" i="43" s="1"/>
  <c r="W3" i="43"/>
  <c r="X3" i="43" s="1"/>
  <c r="Y3" i="43" s="1"/>
  <c r="Z3" i="43" s="1"/>
  <c r="AA3" i="43" s="1"/>
  <c r="AB3" i="43" s="1"/>
  <c r="AC3" i="43" s="1"/>
  <c r="AD3" i="43" s="1"/>
  <c r="AE3" i="43" s="1"/>
  <c r="AF3" i="43" s="1"/>
  <c r="AG3" i="43" s="1"/>
  <c r="G3" i="43"/>
  <c r="H3" i="43" s="1"/>
  <c r="I3" i="43" s="1"/>
  <c r="AD50" i="47"/>
  <c r="AP14" i="47"/>
  <c r="AQ83" i="47"/>
  <c r="AQ14" i="46"/>
  <c r="AQ80" i="46"/>
  <c r="AQ84" i="49" l="1"/>
  <c r="AR79" i="49"/>
  <c r="AR82" i="49" s="1"/>
  <c r="AQ46" i="49"/>
  <c r="AQ49" i="49" s="1"/>
  <c r="AH77" i="48"/>
  <c r="AH79" i="48" s="1"/>
  <c r="AI44" i="48"/>
  <c r="D56" i="44"/>
  <c r="AO64" i="44"/>
  <c r="BA80" i="44"/>
  <c r="D62" i="44"/>
  <c r="AD51" i="47"/>
  <c r="AO79" i="47"/>
  <c r="AO82" i="47" s="1"/>
  <c r="AN84" i="47"/>
  <c r="AE42" i="47"/>
  <c r="AM15" i="47"/>
  <c r="AN5" i="47"/>
  <c r="AN13" i="47" s="1"/>
  <c r="AR78" i="47"/>
  <c r="BK77" i="47" s="1"/>
  <c r="AQ3" i="47"/>
  <c r="AL51" i="47"/>
  <c r="AM44" i="47"/>
  <c r="AM49" i="47" s="1"/>
  <c r="AO5" i="46"/>
  <c r="AO13" i="46" s="1"/>
  <c r="AN15" i="46"/>
  <c r="AR73" i="46"/>
  <c r="AR3" i="46"/>
  <c r="AF81" i="46"/>
  <c r="AG75" i="46"/>
  <c r="AH44" i="46"/>
  <c r="AH47" i="46" s="1"/>
  <c r="E27" i="43"/>
  <c r="D23" i="44"/>
  <c r="D27" i="44"/>
  <c r="D58" i="44"/>
  <c r="D60" i="44"/>
  <c r="E24" i="43"/>
  <c r="D76" i="43"/>
  <c r="AI64" i="44"/>
  <c r="AM64" i="44"/>
  <c r="AQ64" i="44"/>
  <c r="AU80" i="44"/>
  <c r="AY80" i="44"/>
  <c r="BC64" i="44"/>
  <c r="AI28" i="44"/>
  <c r="AQ28" i="44"/>
  <c r="AU45" i="44"/>
  <c r="AY28" i="44"/>
  <c r="AV80" i="44"/>
  <c r="C62" i="44"/>
  <c r="D20" i="44"/>
  <c r="AK3" i="44"/>
  <c r="E60" i="43"/>
  <c r="C20" i="44"/>
  <c r="AM28" i="44"/>
  <c r="AY45" i="44"/>
  <c r="BK44" i="44" s="1"/>
  <c r="BC28" i="44"/>
  <c r="AZ80" i="44"/>
  <c r="AS64" i="44"/>
  <c r="AW64" i="44"/>
  <c r="BA64" i="44"/>
  <c r="F5" i="44"/>
  <c r="AG28" i="44"/>
  <c r="D19" i="44"/>
  <c r="C19" i="44"/>
  <c r="AK28" i="44"/>
  <c r="AO28" i="44"/>
  <c r="AS45" i="44"/>
  <c r="AS28" i="44"/>
  <c r="AW45" i="44"/>
  <c r="AW28" i="44"/>
  <c r="BA45" i="44"/>
  <c r="BA28" i="44"/>
  <c r="D21" i="44"/>
  <c r="C21" i="44"/>
  <c r="BJ44" i="44"/>
  <c r="AF8" i="44"/>
  <c r="AQ11" i="44" s="1"/>
  <c r="C11" i="44" s="1"/>
  <c r="AH28" i="44"/>
  <c r="AL28" i="44"/>
  <c r="AP28" i="44"/>
  <c r="AT45" i="44"/>
  <c r="AT28" i="44"/>
  <c r="AX45" i="44"/>
  <c r="AX28" i="44"/>
  <c r="BB45" i="44"/>
  <c r="BB28" i="44"/>
  <c r="C23" i="44"/>
  <c r="D28" i="44"/>
  <c r="C25" i="44"/>
  <c r="AU28" i="44"/>
  <c r="AF44" i="44"/>
  <c r="D61" i="44"/>
  <c r="C61" i="44"/>
  <c r="AO78" i="44"/>
  <c r="AJ28" i="44"/>
  <c r="AN28" i="44"/>
  <c r="AR28" i="44"/>
  <c r="AV45" i="44"/>
  <c r="AV28" i="44"/>
  <c r="AZ45" i="44"/>
  <c r="AZ28" i="44"/>
  <c r="BD28" i="44"/>
  <c r="D25" i="44"/>
  <c r="C27" i="44"/>
  <c r="D55" i="44"/>
  <c r="AH64" i="44"/>
  <c r="C55" i="44"/>
  <c r="AL64" i="44"/>
  <c r="AP64" i="44"/>
  <c r="AT80" i="44"/>
  <c r="AT64" i="44"/>
  <c r="AX80" i="44"/>
  <c r="AX64" i="44"/>
  <c r="BB80" i="44"/>
  <c r="BB64" i="44"/>
  <c r="C56" i="44"/>
  <c r="D63" i="44"/>
  <c r="C63" i="44"/>
  <c r="AG79" i="44"/>
  <c r="AG82" i="44" s="1"/>
  <c r="BK41" i="44"/>
  <c r="E46" i="44"/>
  <c r="E49" i="44" s="1"/>
  <c r="D57" i="44"/>
  <c r="C57" i="44"/>
  <c r="F79" i="44"/>
  <c r="F82" i="44" s="1"/>
  <c r="AJ64" i="44"/>
  <c r="AN64" i="44"/>
  <c r="AR64" i="44"/>
  <c r="AV64" i="44"/>
  <c r="AZ64" i="44"/>
  <c r="BD64" i="44"/>
  <c r="C58" i="44"/>
  <c r="D59" i="44"/>
  <c r="C59" i="44"/>
  <c r="C60" i="44"/>
  <c r="AU64" i="44"/>
  <c r="AY64" i="44"/>
  <c r="AT43" i="43"/>
  <c r="AT27" i="43"/>
  <c r="AL3" i="43"/>
  <c r="F13" i="43"/>
  <c r="U5" i="43"/>
  <c r="U13" i="43" s="1"/>
  <c r="BE27" i="43"/>
  <c r="D24" i="43"/>
  <c r="AD47" i="43"/>
  <c r="U42" i="43"/>
  <c r="U47" i="43" s="1"/>
  <c r="AG8" i="43"/>
  <c r="AR11" i="43" s="1"/>
  <c r="W42" i="43"/>
  <c r="W47" i="43" s="1"/>
  <c r="AD75" i="43"/>
  <c r="Y77" i="43"/>
  <c r="Y79" i="43" s="1"/>
  <c r="BK78" i="43"/>
  <c r="BL78" i="43"/>
  <c r="G44" i="24"/>
  <c r="G43" i="24"/>
  <c r="G42" i="24"/>
  <c r="G41" i="24"/>
  <c r="G40" i="24"/>
  <c r="G39" i="24"/>
  <c r="G38" i="24"/>
  <c r="G37" i="24"/>
  <c r="AE50" i="47"/>
  <c r="AR83" i="47"/>
  <c r="AR14" i="46"/>
  <c r="AR80" i="46"/>
  <c r="AQ14" i="47"/>
  <c r="AQ51" i="49" l="1"/>
  <c r="AR44" i="49"/>
  <c r="AR84" i="49"/>
  <c r="AS79" i="49"/>
  <c r="AS82" i="49" s="1"/>
  <c r="AH81" i="48"/>
  <c r="AI75" i="48"/>
  <c r="AI47" i="48"/>
  <c r="AE51" i="47"/>
  <c r="AM51" i="47"/>
  <c r="AN44" i="47"/>
  <c r="AN49" i="47" s="1"/>
  <c r="BJ77" i="47"/>
  <c r="BJ76" i="47"/>
  <c r="BK76" i="47"/>
  <c r="AF42" i="47"/>
  <c r="BK44" i="47"/>
  <c r="AN15" i="47"/>
  <c r="AO5" i="47"/>
  <c r="AO13" i="47" s="1"/>
  <c r="AR3" i="47"/>
  <c r="AO84" i="47"/>
  <c r="AP79" i="47"/>
  <c r="AP82" i="47" s="1"/>
  <c r="AS3" i="46"/>
  <c r="AS73" i="46"/>
  <c r="AH49" i="46"/>
  <c r="AI42" i="46"/>
  <c r="AG77" i="46"/>
  <c r="D77" i="46" s="1"/>
  <c r="AP5" i="46"/>
  <c r="AP13" i="46" s="1"/>
  <c r="AO15" i="46"/>
  <c r="C64" i="44"/>
  <c r="AL3" i="44"/>
  <c r="F44" i="44"/>
  <c r="AP78" i="44"/>
  <c r="AF46" i="44"/>
  <c r="D46" i="44" s="1"/>
  <c r="AH79" i="44"/>
  <c r="AH82" i="44" s="1"/>
  <c r="C28" i="44"/>
  <c r="AF13" i="44"/>
  <c r="F8" i="44"/>
  <c r="F13" i="44" s="1"/>
  <c r="G79" i="44"/>
  <c r="G82" i="44" s="1"/>
  <c r="AD77" i="43"/>
  <c r="AD79" i="43" s="1"/>
  <c r="G5" i="43"/>
  <c r="AM3" i="43"/>
  <c r="AG13" i="43"/>
  <c r="AE42" i="43"/>
  <c r="X42" i="43"/>
  <c r="X47" i="43" s="1"/>
  <c r="C19" i="24"/>
  <c r="C5" i="24"/>
  <c r="C9" i="24"/>
  <c r="C15" i="24"/>
  <c r="C12" i="24"/>
  <c r="C18" i="24"/>
  <c r="C6" i="24"/>
  <c r="C4" i="24"/>
  <c r="C10" i="24"/>
  <c r="C8" i="24"/>
  <c r="C21" i="24"/>
  <c r="AR14" i="47"/>
  <c r="AF50" i="47"/>
  <c r="AS80" i="46"/>
  <c r="AS14" i="46"/>
  <c r="AT79" i="49" l="1"/>
  <c r="AT82" i="49" s="1"/>
  <c r="AS84" i="49"/>
  <c r="AR46" i="49"/>
  <c r="C46" i="49" s="1"/>
  <c r="C49" i="49" s="1"/>
  <c r="AI49" i="48"/>
  <c r="AJ42" i="48"/>
  <c r="AI77" i="48"/>
  <c r="AI79" i="48" s="1"/>
  <c r="BK41" i="47"/>
  <c r="AG79" i="46"/>
  <c r="BK80" i="47"/>
  <c r="AF51" i="47"/>
  <c r="AO44" i="47"/>
  <c r="AO49" i="47" s="1"/>
  <c r="AN51" i="47"/>
  <c r="AO15" i="47"/>
  <c r="AP5" i="47"/>
  <c r="AP13" i="47" s="1"/>
  <c r="BJ44" i="47"/>
  <c r="AP84" i="47"/>
  <c r="AQ79" i="47"/>
  <c r="AQ82" i="47" s="1"/>
  <c r="AI44" i="46"/>
  <c r="AH75" i="46"/>
  <c r="AG81" i="46"/>
  <c r="AP15" i="46"/>
  <c r="AQ5" i="46"/>
  <c r="AQ13" i="46" s="1"/>
  <c r="BL78" i="46"/>
  <c r="BK78" i="46"/>
  <c r="AM3" i="44"/>
  <c r="G5" i="44"/>
  <c r="AQ78" i="44"/>
  <c r="AI79" i="44"/>
  <c r="AI82" i="44" s="1"/>
  <c r="F46" i="44"/>
  <c r="F49" i="44" s="1"/>
  <c r="H79" i="44"/>
  <c r="H82" i="44" s="1"/>
  <c r="AG5" i="44"/>
  <c r="AG13" i="44" s="1"/>
  <c r="AF49" i="44"/>
  <c r="AE75" i="43"/>
  <c r="AE44" i="43"/>
  <c r="AE47" i="43" s="1"/>
  <c r="Y42" i="43"/>
  <c r="Y47" i="43" s="1"/>
  <c r="G8" i="43"/>
  <c r="AH5" i="43"/>
  <c r="AH13" i="43" s="1"/>
  <c r="AN3" i="43"/>
  <c r="C44" i="24"/>
  <c r="AR49" i="49" l="1"/>
  <c r="AS44" i="49"/>
  <c r="AR51" i="49"/>
  <c r="AU79" i="49"/>
  <c r="AU82" i="49" s="1"/>
  <c r="AT84" i="49"/>
  <c r="AJ75" i="48"/>
  <c r="AI81" i="48"/>
  <c r="AJ44" i="48"/>
  <c r="AJ47" i="48"/>
  <c r="AP15" i="47"/>
  <c r="AQ5" i="47"/>
  <c r="AO51" i="47"/>
  <c r="AP44" i="47"/>
  <c r="AP49" i="47" s="1"/>
  <c r="AR79" i="47"/>
  <c r="AR82" i="47" s="1"/>
  <c r="AQ84" i="47"/>
  <c r="AH77" i="46"/>
  <c r="AH79" i="46" s="1"/>
  <c r="AQ15" i="46"/>
  <c r="AR5" i="46"/>
  <c r="AI47" i="46"/>
  <c r="AN3" i="44"/>
  <c r="G44" i="44"/>
  <c r="AG44" i="44"/>
  <c r="AG49" i="44" s="1"/>
  <c r="AJ79" i="44"/>
  <c r="AJ82" i="44" s="1"/>
  <c r="AR78" i="44"/>
  <c r="BK77" i="44" s="1"/>
  <c r="G8" i="44"/>
  <c r="G13" i="44" s="1"/>
  <c r="AH5" i="44"/>
  <c r="AH13" i="44" s="1"/>
  <c r="AF42" i="43"/>
  <c r="G13" i="43"/>
  <c r="AO3" i="43"/>
  <c r="AI5" i="43"/>
  <c r="AI13" i="43" s="1"/>
  <c r="Z42" i="43"/>
  <c r="Z47" i="43" s="1"/>
  <c r="AE77" i="43"/>
  <c r="AE79" i="43" s="1"/>
  <c r="AE82" i="42"/>
  <c r="AD82" i="42"/>
  <c r="AC82" i="42"/>
  <c r="AB82" i="42"/>
  <c r="AA82" i="42"/>
  <c r="Z82" i="42"/>
  <c r="Y82" i="42"/>
  <c r="X82" i="42"/>
  <c r="W82" i="42"/>
  <c r="V82" i="42"/>
  <c r="AS81" i="42"/>
  <c r="C81" i="42"/>
  <c r="F80" i="42"/>
  <c r="E80" i="42"/>
  <c r="E82" i="42" s="1"/>
  <c r="F79" i="42" s="1"/>
  <c r="D80" i="42"/>
  <c r="C80" i="42"/>
  <c r="C82" i="42" s="1"/>
  <c r="AF79" i="42"/>
  <c r="AF82" i="42" s="1"/>
  <c r="AS78" i="42"/>
  <c r="AT78" i="42" s="1"/>
  <c r="AU78" i="42" s="1"/>
  <c r="AV78" i="42" s="1"/>
  <c r="AW78" i="42" s="1"/>
  <c r="AX78" i="42" s="1"/>
  <c r="AY78" i="42" s="1"/>
  <c r="AZ78" i="42" s="1"/>
  <c r="BA78" i="42" s="1"/>
  <c r="BB78" i="42" s="1"/>
  <c r="BC78" i="42" s="1"/>
  <c r="BD78" i="42" s="1"/>
  <c r="AH78" i="42"/>
  <c r="AI78" i="42" s="1"/>
  <c r="AJ78" i="42" s="1"/>
  <c r="V78" i="42"/>
  <c r="W78" i="42" s="1"/>
  <c r="X78" i="42" s="1"/>
  <c r="Y78" i="42" s="1"/>
  <c r="Z78" i="42" s="1"/>
  <c r="AA78" i="42" s="1"/>
  <c r="AB78" i="42" s="1"/>
  <c r="AC78" i="42" s="1"/>
  <c r="AD78" i="42" s="1"/>
  <c r="AE78" i="42" s="1"/>
  <c r="AF78" i="42" s="1"/>
  <c r="F78" i="42"/>
  <c r="G78" i="42" s="1"/>
  <c r="H78" i="42" s="1"/>
  <c r="BF75" i="42"/>
  <c r="AS67" i="42"/>
  <c r="AT67" i="42" s="1"/>
  <c r="AU67" i="42" s="1"/>
  <c r="AV67" i="42" s="1"/>
  <c r="AW67" i="42" s="1"/>
  <c r="AX67" i="42" s="1"/>
  <c r="AY67" i="42" s="1"/>
  <c r="AZ67" i="42" s="1"/>
  <c r="BA67" i="42" s="1"/>
  <c r="BB67" i="42" s="1"/>
  <c r="BC67" i="42" s="1"/>
  <c r="BD67" i="42" s="1"/>
  <c r="AH67" i="42"/>
  <c r="AI67" i="42" s="1"/>
  <c r="AJ67" i="42" s="1"/>
  <c r="AK67" i="42" s="1"/>
  <c r="AL67" i="42" s="1"/>
  <c r="AM67" i="42" s="1"/>
  <c r="AN67" i="42" s="1"/>
  <c r="AO67" i="42" s="1"/>
  <c r="AP67" i="42" s="1"/>
  <c r="AQ67" i="42" s="1"/>
  <c r="AR67" i="42" s="1"/>
  <c r="V67" i="42"/>
  <c r="W67" i="42" s="1"/>
  <c r="X67" i="42" s="1"/>
  <c r="Y67" i="42" s="1"/>
  <c r="Z67" i="42" s="1"/>
  <c r="AA67" i="42" s="1"/>
  <c r="AB67" i="42" s="1"/>
  <c r="AC67" i="42" s="1"/>
  <c r="AD67" i="42" s="1"/>
  <c r="AE67" i="42" s="1"/>
  <c r="AF67" i="42" s="1"/>
  <c r="F67" i="42"/>
  <c r="G67" i="42" s="1"/>
  <c r="H67" i="42" s="1"/>
  <c r="D65" i="42"/>
  <c r="C65" i="42"/>
  <c r="AF64" i="42"/>
  <c r="AE64" i="42"/>
  <c r="AD64" i="42"/>
  <c r="AC64" i="42"/>
  <c r="AB64" i="42"/>
  <c r="AA64" i="42"/>
  <c r="Z64" i="42"/>
  <c r="Y64" i="42"/>
  <c r="X64" i="42"/>
  <c r="W64" i="42"/>
  <c r="V64" i="42"/>
  <c r="H64" i="42"/>
  <c r="G64" i="42"/>
  <c r="F64" i="42"/>
  <c r="E64" i="42"/>
  <c r="BD63" i="42"/>
  <c r="BC63" i="42"/>
  <c r="BB63" i="42"/>
  <c r="BA63" i="42"/>
  <c r="AZ63" i="42"/>
  <c r="AY63" i="42"/>
  <c r="AX63" i="42"/>
  <c r="AW63" i="42"/>
  <c r="AV63" i="42"/>
  <c r="AU63" i="42"/>
  <c r="AT63" i="42"/>
  <c r="AS63" i="42"/>
  <c r="AR63" i="42"/>
  <c r="AQ63" i="42"/>
  <c r="AP63" i="42"/>
  <c r="AO63" i="42"/>
  <c r="AN63" i="42"/>
  <c r="AM63" i="42"/>
  <c r="AL63" i="42"/>
  <c r="AK63" i="42"/>
  <c r="AJ63" i="42"/>
  <c r="AI63" i="42"/>
  <c r="AH63" i="42"/>
  <c r="AG63" i="42"/>
  <c r="BD62" i="42"/>
  <c r="BC62" i="42"/>
  <c r="BB62" i="42"/>
  <c r="BA62" i="42"/>
  <c r="AZ62" i="42"/>
  <c r="AY62" i="42"/>
  <c r="AX62" i="42"/>
  <c r="AW62" i="42"/>
  <c r="AV62" i="42"/>
  <c r="AU62" i="42"/>
  <c r="AT62" i="42"/>
  <c r="AS62" i="42"/>
  <c r="AR62" i="42"/>
  <c r="AQ62" i="42"/>
  <c r="AP62" i="42"/>
  <c r="AO62" i="42"/>
  <c r="AN62" i="42"/>
  <c r="AM62" i="42"/>
  <c r="AL62" i="42"/>
  <c r="AK62" i="42"/>
  <c r="AJ62" i="42"/>
  <c r="AI62" i="42"/>
  <c r="AH62" i="42"/>
  <c r="AG62" i="42"/>
  <c r="BD61" i="42"/>
  <c r="BC61" i="42"/>
  <c r="BB61" i="42"/>
  <c r="BA61" i="42"/>
  <c r="AZ61" i="42"/>
  <c r="AY61" i="42"/>
  <c r="AX61" i="42"/>
  <c r="AW61" i="42"/>
  <c r="AV61" i="42"/>
  <c r="AU61" i="42"/>
  <c r="AT61" i="42"/>
  <c r="AS61" i="42"/>
  <c r="AR61" i="42"/>
  <c r="AQ61" i="42"/>
  <c r="AP61" i="42"/>
  <c r="AO61" i="42"/>
  <c r="AN61" i="42"/>
  <c r="AM61" i="42"/>
  <c r="AL61" i="42"/>
  <c r="AK61" i="42"/>
  <c r="AJ61" i="42"/>
  <c r="AI61" i="42"/>
  <c r="AH61" i="42"/>
  <c r="AG61" i="42"/>
  <c r="BD60" i="42"/>
  <c r="BC60" i="42"/>
  <c r="BB60" i="42"/>
  <c r="BA60" i="42"/>
  <c r="AZ60" i="42"/>
  <c r="AY60" i="42"/>
  <c r="AX60" i="42"/>
  <c r="AW60" i="42"/>
  <c r="AV60" i="42"/>
  <c r="AU60" i="42"/>
  <c r="AT60" i="42"/>
  <c r="AS60" i="42"/>
  <c r="AR60" i="42"/>
  <c r="AQ60" i="42"/>
  <c r="AP60" i="42"/>
  <c r="AO60" i="42"/>
  <c r="AN60" i="42"/>
  <c r="AM60" i="42"/>
  <c r="AL60" i="42"/>
  <c r="AK60" i="42"/>
  <c r="AJ60" i="42"/>
  <c r="AI60" i="42"/>
  <c r="AH60" i="42"/>
  <c r="AG60" i="42"/>
  <c r="BD59" i="42"/>
  <c r="BC59" i="42"/>
  <c r="BB59" i="42"/>
  <c r="BA59" i="42"/>
  <c r="AZ59" i="42"/>
  <c r="AY59" i="42"/>
  <c r="AX59" i="42"/>
  <c r="AW59" i="42"/>
  <c r="AV59" i="42"/>
  <c r="AU59" i="42"/>
  <c r="AT59" i="42"/>
  <c r="AS59" i="42"/>
  <c r="AR59" i="42"/>
  <c r="AQ59" i="42"/>
  <c r="AP59" i="42"/>
  <c r="AO59" i="42"/>
  <c r="AN59" i="42"/>
  <c r="AM59" i="42"/>
  <c r="AL59" i="42"/>
  <c r="AK59" i="42"/>
  <c r="AJ59" i="42"/>
  <c r="AI59" i="42"/>
  <c r="AH59" i="42"/>
  <c r="AG59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BD56" i="42"/>
  <c r="BC56" i="42"/>
  <c r="BB56" i="42"/>
  <c r="BA56" i="42"/>
  <c r="AZ56" i="42"/>
  <c r="AY56" i="42"/>
  <c r="AX56" i="42"/>
  <c r="AW56" i="42"/>
  <c r="AV56" i="42"/>
  <c r="AU56" i="42"/>
  <c r="AT56" i="42"/>
  <c r="AS56" i="42"/>
  <c r="AR56" i="42"/>
  <c r="AQ56" i="42"/>
  <c r="AP56" i="42"/>
  <c r="AO56" i="42"/>
  <c r="AN56" i="42"/>
  <c r="AM56" i="42"/>
  <c r="AL56" i="42"/>
  <c r="AK56" i="42"/>
  <c r="AJ56" i="42"/>
  <c r="AI56" i="42"/>
  <c r="AH56" i="42"/>
  <c r="AG56" i="42"/>
  <c r="BD55" i="42"/>
  <c r="BC55" i="42"/>
  <c r="BB55" i="42"/>
  <c r="BA55" i="42"/>
  <c r="AZ55" i="42"/>
  <c r="AZ80" i="42" s="1"/>
  <c r="AY55" i="42"/>
  <c r="AX55" i="42"/>
  <c r="AW55" i="42"/>
  <c r="AV55" i="42"/>
  <c r="AU55" i="42"/>
  <c r="AT55" i="42"/>
  <c r="AS55" i="42"/>
  <c r="AR55" i="42"/>
  <c r="AQ55" i="42"/>
  <c r="AP55" i="42"/>
  <c r="AP64" i="42" s="1"/>
  <c r="AO55" i="42"/>
  <c r="AN55" i="42"/>
  <c r="AM55" i="42"/>
  <c r="AL55" i="42"/>
  <c r="AK55" i="42"/>
  <c r="AJ55" i="42"/>
  <c r="AI55" i="42"/>
  <c r="AH55" i="42"/>
  <c r="AG55" i="42"/>
  <c r="AS54" i="42"/>
  <c r="AT54" i="42" s="1"/>
  <c r="AU54" i="42" s="1"/>
  <c r="AV54" i="42" s="1"/>
  <c r="AW54" i="42" s="1"/>
  <c r="AX54" i="42" s="1"/>
  <c r="AY54" i="42" s="1"/>
  <c r="AZ54" i="42" s="1"/>
  <c r="BA54" i="42" s="1"/>
  <c r="BB54" i="42" s="1"/>
  <c r="BC54" i="42" s="1"/>
  <c r="BD54" i="42" s="1"/>
  <c r="AH54" i="42"/>
  <c r="AI54" i="42" s="1"/>
  <c r="AJ54" i="42" s="1"/>
  <c r="AK54" i="42" s="1"/>
  <c r="AL54" i="42" s="1"/>
  <c r="AM54" i="42" s="1"/>
  <c r="AN54" i="42" s="1"/>
  <c r="AO54" i="42" s="1"/>
  <c r="AP54" i="42" s="1"/>
  <c r="AQ54" i="42" s="1"/>
  <c r="AR54" i="42" s="1"/>
  <c r="V54" i="42"/>
  <c r="W54" i="42" s="1"/>
  <c r="X54" i="42" s="1"/>
  <c r="Y54" i="42" s="1"/>
  <c r="Z54" i="42" s="1"/>
  <c r="AA54" i="42" s="1"/>
  <c r="AB54" i="42" s="1"/>
  <c r="AC54" i="42" s="1"/>
  <c r="AD54" i="42" s="1"/>
  <c r="AE54" i="42" s="1"/>
  <c r="AF54" i="42" s="1"/>
  <c r="F54" i="42"/>
  <c r="G54" i="42" s="1"/>
  <c r="H54" i="42" s="1"/>
  <c r="AE49" i="42"/>
  <c r="AD49" i="42"/>
  <c r="AC49" i="42"/>
  <c r="AB49" i="42"/>
  <c r="AA49" i="42"/>
  <c r="Z49" i="42"/>
  <c r="Y49" i="42"/>
  <c r="X49" i="42"/>
  <c r="W49" i="42"/>
  <c r="V49" i="42"/>
  <c r="C48" i="42"/>
  <c r="C47" i="42"/>
  <c r="BK46" i="42"/>
  <c r="BJ46" i="42"/>
  <c r="BI46" i="42"/>
  <c r="BH46" i="42"/>
  <c r="BG46" i="42"/>
  <c r="BF46" i="42"/>
  <c r="BI45" i="42"/>
  <c r="BH45" i="42"/>
  <c r="BG45" i="42"/>
  <c r="BD45" i="42"/>
  <c r="AR45" i="42"/>
  <c r="F45" i="42"/>
  <c r="E45" i="42"/>
  <c r="E46" i="42" s="1"/>
  <c r="D45" i="42"/>
  <c r="C45" i="42"/>
  <c r="AS42" i="42"/>
  <c r="AT42" i="42" s="1"/>
  <c r="AU42" i="42" s="1"/>
  <c r="AV42" i="42" s="1"/>
  <c r="AW42" i="42" s="1"/>
  <c r="AX42" i="42" s="1"/>
  <c r="AY42" i="42" s="1"/>
  <c r="AZ42" i="42" s="1"/>
  <c r="BA42" i="42" s="1"/>
  <c r="BB42" i="42" s="1"/>
  <c r="BC42" i="42" s="1"/>
  <c r="BD42" i="42" s="1"/>
  <c r="AH42" i="42"/>
  <c r="AI42" i="42" s="1"/>
  <c r="AJ42" i="42" s="1"/>
  <c r="AK42" i="42" s="1"/>
  <c r="AL42" i="42" s="1"/>
  <c r="AM42" i="42" s="1"/>
  <c r="AN42" i="42" s="1"/>
  <c r="AO42" i="42" s="1"/>
  <c r="AP42" i="42" s="1"/>
  <c r="AQ42" i="42" s="1"/>
  <c r="AR42" i="42" s="1"/>
  <c r="V42" i="42"/>
  <c r="W42" i="42" s="1"/>
  <c r="X42" i="42" s="1"/>
  <c r="Y42" i="42" s="1"/>
  <c r="Z42" i="42" s="1"/>
  <c r="AA42" i="42" s="1"/>
  <c r="AB42" i="42" s="1"/>
  <c r="AC42" i="42" s="1"/>
  <c r="AD42" i="42" s="1"/>
  <c r="AE42" i="42" s="1"/>
  <c r="AF42" i="42" s="1"/>
  <c r="F42" i="42"/>
  <c r="G42" i="42" s="1"/>
  <c r="H42" i="42" s="1"/>
  <c r="BF40" i="42"/>
  <c r="AS31" i="42"/>
  <c r="AT31" i="42" s="1"/>
  <c r="AU31" i="42" s="1"/>
  <c r="AV31" i="42" s="1"/>
  <c r="AW31" i="42" s="1"/>
  <c r="AX31" i="42" s="1"/>
  <c r="AY31" i="42" s="1"/>
  <c r="AZ31" i="42" s="1"/>
  <c r="BA31" i="42" s="1"/>
  <c r="BB31" i="42" s="1"/>
  <c r="BC31" i="42" s="1"/>
  <c r="BD31" i="42" s="1"/>
  <c r="AH31" i="42"/>
  <c r="AI31" i="42" s="1"/>
  <c r="AJ31" i="42" s="1"/>
  <c r="AK31" i="42" s="1"/>
  <c r="AL31" i="42" s="1"/>
  <c r="AM31" i="42" s="1"/>
  <c r="AN31" i="42" s="1"/>
  <c r="AO31" i="42" s="1"/>
  <c r="AP31" i="42" s="1"/>
  <c r="AQ31" i="42" s="1"/>
  <c r="AR31" i="42" s="1"/>
  <c r="V31" i="42"/>
  <c r="W31" i="42" s="1"/>
  <c r="X31" i="42" s="1"/>
  <c r="Y31" i="42" s="1"/>
  <c r="Z31" i="42" s="1"/>
  <c r="AA31" i="42" s="1"/>
  <c r="AB31" i="42" s="1"/>
  <c r="AC31" i="42" s="1"/>
  <c r="AD31" i="42" s="1"/>
  <c r="AE31" i="42" s="1"/>
  <c r="AF31" i="42" s="1"/>
  <c r="F31" i="42"/>
  <c r="G31" i="42" s="1"/>
  <c r="H31" i="42" s="1"/>
  <c r="D29" i="42"/>
  <c r="C29" i="42"/>
  <c r="AF28" i="42"/>
  <c r="AE28" i="42"/>
  <c r="AD28" i="42"/>
  <c r="AC28" i="42"/>
  <c r="AB28" i="42"/>
  <c r="AA28" i="42"/>
  <c r="Z28" i="42"/>
  <c r="Y28" i="42"/>
  <c r="X28" i="42"/>
  <c r="W28" i="42"/>
  <c r="V28" i="42"/>
  <c r="H28" i="42"/>
  <c r="G28" i="42"/>
  <c r="F28" i="42"/>
  <c r="E28" i="42"/>
  <c r="BD27" i="42"/>
  <c r="BC27" i="42"/>
  <c r="BB27" i="42"/>
  <c r="BA27" i="42"/>
  <c r="AZ27" i="42"/>
  <c r="AY27" i="42"/>
  <c r="AX27" i="42"/>
  <c r="AW27" i="42"/>
  <c r="AV27" i="42"/>
  <c r="AU27" i="42"/>
  <c r="AT27" i="42"/>
  <c r="AS27" i="42"/>
  <c r="AR27" i="42"/>
  <c r="AQ27" i="42"/>
  <c r="AP27" i="42"/>
  <c r="AO27" i="42"/>
  <c r="AN27" i="42"/>
  <c r="AM27" i="42"/>
  <c r="AL27" i="42"/>
  <c r="AK27" i="42"/>
  <c r="AJ27" i="42"/>
  <c r="AI27" i="42"/>
  <c r="AH27" i="42"/>
  <c r="AG27" i="42"/>
  <c r="D26" i="42"/>
  <c r="C26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D24" i="42"/>
  <c r="C24" i="42"/>
  <c r="BD23" i="42"/>
  <c r="BC23" i="42"/>
  <c r="BB23" i="42"/>
  <c r="BA23" i="42"/>
  <c r="AZ23" i="42"/>
  <c r="AY23" i="42"/>
  <c r="AX23" i="42"/>
  <c r="AW23" i="42"/>
  <c r="AV23" i="42"/>
  <c r="AU23" i="42"/>
  <c r="AT23" i="42"/>
  <c r="AS23" i="42"/>
  <c r="AR23" i="42"/>
  <c r="AQ23" i="42"/>
  <c r="AP23" i="42"/>
  <c r="AO23" i="42"/>
  <c r="AN23" i="42"/>
  <c r="AM23" i="42"/>
  <c r="AL23" i="42"/>
  <c r="AK23" i="42"/>
  <c r="AJ23" i="42"/>
  <c r="AI23" i="42"/>
  <c r="AH23" i="42"/>
  <c r="AG23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BD20" i="42"/>
  <c r="BC20" i="42"/>
  <c r="BB20" i="42"/>
  <c r="BA20" i="42"/>
  <c r="AZ20" i="42"/>
  <c r="AY20" i="42"/>
  <c r="AX20" i="42"/>
  <c r="AW20" i="42"/>
  <c r="AV20" i="42"/>
  <c r="AU20" i="42"/>
  <c r="AT20" i="42"/>
  <c r="AS20" i="42"/>
  <c r="AR20" i="42"/>
  <c r="AQ20" i="42"/>
  <c r="AP20" i="42"/>
  <c r="AO20" i="42"/>
  <c r="AN20" i="42"/>
  <c r="AM20" i="42"/>
  <c r="AL20" i="42"/>
  <c r="AK20" i="42"/>
  <c r="AJ20" i="42"/>
  <c r="AI20" i="42"/>
  <c r="AH20" i="42"/>
  <c r="AG20" i="42"/>
  <c r="BD19" i="42"/>
  <c r="BC19" i="42"/>
  <c r="BB19" i="42"/>
  <c r="BA19" i="42"/>
  <c r="BA45" i="42" s="1"/>
  <c r="AZ19" i="42"/>
  <c r="AY19" i="42"/>
  <c r="AX19" i="42"/>
  <c r="AW19" i="42"/>
  <c r="AW45" i="42" s="1"/>
  <c r="AV19" i="42"/>
  <c r="AU19" i="42"/>
  <c r="AT19" i="42"/>
  <c r="AS19" i="42"/>
  <c r="AS45" i="42" s="1"/>
  <c r="AR19" i="42"/>
  <c r="AQ19" i="42"/>
  <c r="AP19" i="42"/>
  <c r="AP28" i="42" s="1"/>
  <c r="AO19" i="42"/>
  <c r="AO28" i="42" s="1"/>
  <c r="AN19" i="42"/>
  <c r="AM19" i="42"/>
  <c r="AL19" i="42"/>
  <c r="AL28" i="42" s="1"/>
  <c r="AK19" i="42"/>
  <c r="AK28" i="42" s="1"/>
  <c r="AJ19" i="42"/>
  <c r="AI19" i="42"/>
  <c r="AH19" i="42"/>
  <c r="AH28" i="42" s="1"/>
  <c r="AG19" i="42"/>
  <c r="AS18" i="42"/>
  <c r="AT18" i="42" s="1"/>
  <c r="AU18" i="42" s="1"/>
  <c r="AV18" i="42" s="1"/>
  <c r="AW18" i="42" s="1"/>
  <c r="AX18" i="42" s="1"/>
  <c r="AY18" i="42" s="1"/>
  <c r="AZ18" i="42" s="1"/>
  <c r="BA18" i="42" s="1"/>
  <c r="BB18" i="42" s="1"/>
  <c r="BC18" i="42" s="1"/>
  <c r="BD18" i="42" s="1"/>
  <c r="AH18" i="42"/>
  <c r="AI18" i="42" s="1"/>
  <c r="AJ18" i="42" s="1"/>
  <c r="AK18" i="42" s="1"/>
  <c r="AL18" i="42" s="1"/>
  <c r="AM18" i="42" s="1"/>
  <c r="AN18" i="42" s="1"/>
  <c r="AO18" i="42" s="1"/>
  <c r="AP18" i="42" s="1"/>
  <c r="AQ18" i="42" s="1"/>
  <c r="AR18" i="42" s="1"/>
  <c r="V18" i="42"/>
  <c r="W18" i="42" s="1"/>
  <c r="X18" i="42" s="1"/>
  <c r="Y18" i="42" s="1"/>
  <c r="Z18" i="42" s="1"/>
  <c r="AA18" i="42" s="1"/>
  <c r="AB18" i="42" s="1"/>
  <c r="AC18" i="42" s="1"/>
  <c r="AD18" i="42" s="1"/>
  <c r="AE18" i="42" s="1"/>
  <c r="AF18" i="42" s="1"/>
  <c r="F18" i="42"/>
  <c r="G18" i="42" s="1"/>
  <c r="H18" i="42" s="1"/>
  <c r="AE13" i="42"/>
  <c r="AD13" i="42"/>
  <c r="AC13" i="42"/>
  <c r="AB13" i="42"/>
  <c r="AA13" i="42"/>
  <c r="Z13" i="42"/>
  <c r="Y13" i="42"/>
  <c r="X13" i="42"/>
  <c r="W13" i="42"/>
  <c r="V13" i="42"/>
  <c r="AF12" i="42"/>
  <c r="AQ10" i="42" s="1"/>
  <c r="C10" i="42" s="1"/>
  <c r="C12" i="42"/>
  <c r="BK10" i="42"/>
  <c r="BI10" i="42"/>
  <c r="BH10" i="42"/>
  <c r="BG10" i="42"/>
  <c r="BF10" i="42"/>
  <c r="AQ9" i="42"/>
  <c r="C9" i="42"/>
  <c r="E8" i="42"/>
  <c r="D7" i="42"/>
  <c r="D6" i="42"/>
  <c r="AF5" i="42"/>
  <c r="AT3" i="42"/>
  <c r="AU3" i="42" s="1"/>
  <c r="AV3" i="42" s="1"/>
  <c r="AW3" i="42" s="1"/>
  <c r="AX3" i="42" s="1"/>
  <c r="AY3" i="42" s="1"/>
  <c r="AZ3" i="42" s="1"/>
  <c r="BA3" i="42" s="1"/>
  <c r="BB3" i="42" s="1"/>
  <c r="BC3" i="42" s="1"/>
  <c r="BD3" i="42" s="1"/>
  <c r="AH3" i="42"/>
  <c r="V3" i="42"/>
  <c r="W3" i="42" s="1"/>
  <c r="X3" i="42" s="1"/>
  <c r="Y3" i="42" s="1"/>
  <c r="Z3" i="42" s="1"/>
  <c r="AA3" i="42" s="1"/>
  <c r="AB3" i="42" s="1"/>
  <c r="AC3" i="42" s="1"/>
  <c r="AD3" i="42" s="1"/>
  <c r="AE3" i="42" s="1"/>
  <c r="AF3" i="42" s="1"/>
  <c r="F3" i="42"/>
  <c r="G3" i="42" s="1"/>
  <c r="H3" i="42" s="1"/>
  <c r="AB79" i="41"/>
  <c r="AC75" i="41" s="1"/>
  <c r="AA79" i="41"/>
  <c r="Z79" i="41"/>
  <c r="X79" i="41"/>
  <c r="Y75" i="41" s="1"/>
  <c r="W79" i="41"/>
  <c r="D78" i="41"/>
  <c r="G77" i="41"/>
  <c r="V76" i="41"/>
  <c r="D76" i="41" s="1"/>
  <c r="I76" i="41"/>
  <c r="I77" i="41" s="1"/>
  <c r="F76" i="41"/>
  <c r="F77" i="41" s="1"/>
  <c r="BG74" i="41"/>
  <c r="AT73" i="41"/>
  <c r="AU73" i="41" s="1"/>
  <c r="AV73" i="41" s="1"/>
  <c r="AW73" i="41" s="1"/>
  <c r="AX73" i="41" s="1"/>
  <c r="AY73" i="41" s="1"/>
  <c r="AZ73" i="41" s="1"/>
  <c r="BA73" i="41" s="1"/>
  <c r="BB73" i="41" s="1"/>
  <c r="BC73" i="41" s="1"/>
  <c r="BD73" i="41" s="1"/>
  <c r="BE73" i="41" s="1"/>
  <c r="AI73" i="41"/>
  <c r="W73" i="41"/>
  <c r="X73" i="41" s="1"/>
  <c r="Y73" i="41" s="1"/>
  <c r="Z73" i="41" s="1"/>
  <c r="AA73" i="41" s="1"/>
  <c r="AB73" i="41" s="1"/>
  <c r="AC73" i="41" s="1"/>
  <c r="AD73" i="41" s="1"/>
  <c r="AE73" i="41" s="1"/>
  <c r="AF73" i="41" s="1"/>
  <c r="AG73" i="41" s="1"/>
  <c r="G73" i="41"/>
  <c r="H73" i="41" s="1"/>
  <c r="I73" i="41" s="1"/>
  <c r="AT63" i="41"/>
  <c r="AU63" i="41" s="1"/>
  <c r="AV63" i="41" s="1"/>
  <c r="AW63" i="41" s="1"/>
  <c r="AX63" i="41" s="1"/>
  <c r="AY63" i="41" s="1"/>
  <c r="AZ63" i="41" s="1"/>
  <c r="BA63" i="41" s="1"/>
  <c r="BB63" i="41" s="1"/>
  <c r="BC63" i="41" s="1"/>
  <c r="BD63" i="41" s="1"/>
  <c r="BE63" i="41" s="1"/>
  <c r="AI63" i="41"/>
  <c r="AJ63" i="41" s="1"/>
  <c r="AK63" i="41" s="1"/>
  <c r="AL63" i="41" s="1"/>
  <c r="AM63" i="41" s="1"/>
  <c r="AN63" i="41" s="1"/>
  <c r="AO63" i="41" s="1"/>
  <c r="AP63" i="41" s="1"/>
  <c r="AQ63" i="41" s="1"/>
  <c r="AR63" i="41" s="1"/>
  <c r="AS63" i="41" s="1"/>
  <c r="W63" i="41"/>
  <c r="X63" i="41" s="1"/>
  <c r="Y63" i="41" s="1"/>
  <c r="Z63" i="41" s="1"/>
  <c r="AA63" i="41" s="1"/>
  <c r="AB63" i="41" s="1"/>
  <c r="AC63" i="41" s="1"/>
  <c r="AD63" i="41" s="1"/>
  <c r="AE63" i="41" s="1"/>
  <c r="AF63" i="41" s="1"/>
  <c r="AG63" i="41" s="1"/>
  <c r="G63" i="41"/>
  <c r="H63" i="41" s="1"/>
  <c r="I63" i="41" s="1"/>
  <c r="E61" i="41"/>
  <c r="D61" i="41"/>
  <c r="AQ60" i="41"/>
  <c r="AP60" i="41"/>
  <c r="AO60" i="41"/>
  <c r="AN60" i="41"/>
  <c r="AM60" i="41"/>
  <c r="AL60" i="41"/>
  <c r="AK60" i="41"/>
  <c r="AJ60" i="41"/>
  <c r="AI60" i="41"/>
  <c r="AH60" i="41"/>
  <c r="AF60" i="41"/>
  <c r="AE60" i="41"/>
  <c r="AD60" i="41"/>
  <c r="AC60" i="41"/>
  <c r="AB60" i="41"/>
  <c r="AA60" i="41"/>
  <c r="Z60" i="41"/>
  <c r="Y60" i="41"/>
  <c r="X60" i="41"/>
  <c r="W60" i="41"/>
  <c r="V60" i="41"/>
  <c r="I60" i="41"/>
  <c r="H60" i="41"/>
  <c r="G60" i="41"/>
  <c r="E59" i="41"/>
  <c r="D59" i="41"/>
  <c r="BE58" i="41"/>
  <c r="BD58" i="41"/>
  <c r="BC58" i="41"/>
  <c r="BB58" i="41"/>
  <c r="BA58" i="41"/>
  <c r="AZ58" i="41"/>
  <c r="AY58" i="41"/>
  <c r="AX58" i="41"/>
  <c r="AW58" i="41"/>
  <c r="AV58" i="41"/>
  <c r="AU58" i="41"/>
  <c r="AT58" i="41"/>
  <c r="AS58" i="41"/>
  <c r="AR58" i="41"/>
  <c r="AG58" i="41"/>
  <c r="D58" i="41" s="1"/>
  <c r="E58" i="41"/>
  <c r="E57" i="41"/>
  <c r="D57" i="41"/>
  <c r="E56" i="41"/>
  <c r="D56" i="41"/>
  <c r="E55" i="41"/>
  <c r="BE54" i="41"/>
  <c r="AT54" i="41"/>
  <c r="AS54" i="41"/>
  <c r="E54" i="41"/>
  <c r="D54" i="41"/>
  <c r="BE53" i="41"/>
  <c r="AT53" i="41"/>
  <c r="AS53" i="41"/>
  <c r="E53" i="41"/>
  <c r="D53" i="41"/>
  <c r="BE52" i="41"/>
  <c r="AT52" i="41"/>
  <c r="AS52" i="41"/>
  <c r="E52" i="41"/>
  <c r="D52" i="41"/>
  <c r="AT51" i="41"/>
  <c r="AU51" i="41" s="1"/>
  <c r="AV51" i="41" s="1"/>
  <c r="AW51" i="41" s="1"/>
  <c r="AX51" i="41" s="1"/>
  <c r="AY51" i="41" s="1"/>
  <c r="AZ51" i="41" s="1"/>
  <c r="BA51" i="41" s="1"/>
  <c r="BB51" i="41" s="1"/>
  <c r="BC51" i="41" s="1"/>
  <c r="BD51" i="41" s="1"/>
  <c r="BE51" i="41" s="1"/>
  <c r="AI51" i="41"/>
  <c r="AJ51" i="41" s="1"/>
  <c r="AK51" i="41" s="1"/>
  <c r="AL51" i="41" s="1"/>
  <c r="AM51" i="41" s="1"/>
  <c r="AN51" i="41" s="1"/>
  <c r="AO51" i="41" s="1"/>
  <c r="AP51" i="41" s="1"/>
  <c r="AQ51" i="41" s="1"/>
  <c r="AR51" i="41" s="1"/>
  <c r="AS51" i="41" s="1"/>
  <c r="W51" i="41"/>
  <c r="X51" i="41" s="1"/>
  <c r="Y51" i="41" s="1"/>
  <c r="Z51" i="41" s="1"/>
  <c r="AA51" i="41" s="1"/>
  <c r="AB51" i="41" s="1"/>
  <c r="AC51" i="41" s="1"/>
  <c r="AD51" i="41" s="1"/>
  <c r="AE51" i="41" s="1"/>
  <c r="AF51" i="41" s="1"/>
  <c r="AG51" i="41" s="1"/>
  <c r="G51" i="41"/>
  <c r="H51" i="41" s="1"/>
  <c r="I51" i="41" s="1"/>
  <c r="BL47" i="41"/>
  <c r="BJ47" i="41"/>
  <c r="BI47" i="41"/>
  <c r="BH47" i="41"/>
  <c r="BG47" i="41"/>
  <c r="AC47" i="41"/>
  <c r="AB47" i="41"/>
  <c r="AA47" i="41"/>
  <c r="V47" i="41"/>
  <c r="W42" i="41" s="1"/>
  <c r="BJ46" i="41"/>
  <c r="BI46" i="41"/>
  <c r="BH46" i="41"/>
  <c r="U46" i="41"/>
  <c r="D46" i="41"/>
  <c r="D45" i="41"/>
  <c r="T44" i="41"/>
  <c r="T47" i="41" s="1"/>
  <c r="U42" i="41" s="1"/>
  <c r="AE43" i="41"/>
  <c r="AD43" i="41"/>
  <c r="X43" i="41"/>
  <c r="W43" i="41"/>
  <c r="I43" i="41"/>
  <c r="F43" i="41"/>
  <c r="E43" i="41"/>
  <c r="D43" i="41"/>
  <c r="AD42" i="41"/>
  <c r="BG41" i="41"/>
  <c r="AT40" i="41"/>
  <c r="AU40" i="41" s="1"/>
  <c r="AV40" i="41" s="1"/>
  <c r="AW40" i="41" s="1"/>
  <c r="AX40" i="41" s="1"/>
  <c r="AY40" i="41" s="1"/>
  <c r="AZ40" i="41" s="1"/>
  <c r="BA40" i="41" s="1"/>
  <c r="BB40" i="41" s="1"/>
  <c r="BC40" i="41" s="1"/>
  <c r="BD40" i="41" s="1"/>
  <c r="BE40" i="41" s="1"/>
  <c r="AI40" i="41"/>
  <c r="AJ40" i="41" s="1"/>
  <c r="AK40" i="41" s="1"/>
  <c r="AL40" i="41" s="1"/>
  <c r="AM40" i="41" s="1"/>
  <c r="AN40" i="41" s="1"/>
  <c r="AO40" i="41" s="1"/>
  <c r="AP40" i="41" s="1"/>
  <c r="AQ40" i="41" s="1"/>
  <c r="AR40" i="41" s="1"/>
  <c r="AS40" i="41" s="1"/>
  <c r="W40" i="41"/>
  <c r="X40" i="41" s="1"/>
  <c r="Y40" i="41" s="1"/>
  <c r="Z40" i="41" s="1"/>
  <c r="AA40" i="41" s="1"/>
  <c r="AB40" i="41" s="1"/>
  <c r="AC40" i="41" s="1"/>
  <c r="AD40" i="41" s="1"/>
  <c r="AE40" i="41" s="1"/>
  <c r="AF40" i="41" s="1"/>
  <c r="AG40" i="41" s="1"/>
  <c r="G40" i="41"/>
  <c r="H40" i="41" s="1"/>
  <c r="I40" i="41" s="1"/>
  <c r="AT30" i="41"/>
  <c r="AU30" i="41" s="1"/>
  <c r="AV30" i="41" s="1"/>
  <c r="AW30" i="41" s="1"/>
  <c r="AX30" i="41" s="1"/>
  <c r="AY30" i="41" s="1"/>
  <c r="AZ30" i="41" s="1"/>
  <c r="BA30" i="41" s="1"/>
  <c r="BB30" i="41" s="1"/>
  <c r="BC30" i="41" s="1"/>
  <c r="BD30" i="41" s="1"/>
  <c r="BE30" i="41" s="1"/>
  <c r="AI30" i="41"/>
  <c r="AJ30" i="41" s="1"/>
  <c r="AK30" i="41" s="1"/>
  <c r="AL30" i="41" s="1"/>
  <c r="AM30" i="41" s="1"/>
  <c r="AN30" i="41" s="1"/>
  <c r="AO30" i="41" s="1"/>
  <c r="AP30" i="41" s="1"/>
  <c r="AQ30" i="41" s="1"/>
  <c r="AR30" i="41" s="1"/>
  <c r="AS30" i="41" s="1"/>
  <c r="W30" i="41"/>
  <c r="X30" i="41" s="1"/>
  <c r="Y30" i="41" s="1"/>
  <c r="Z30" i="41" s="1"/>
  <c r="AA30" i="41" s="1"/>
  <c r="AB30" i="41" s="1"/>
  <c r="AC30" i="41" s="1"/>
  <c r="AD30" i="41" s="1"/>
  <c r="AE30" i="41" s="1"/>
  <c r="AF30" i="41" s="1"/>
  <c r="AG30" i="41" s="1"/>
  <c r="G30" i="41"/>
  <c r="H30" i="41" s="1"/>
  <c r="I30" i="41" s="1"/>
  <c r="E28" i="41"/>
  <c r="D28" i="41"/>
  <c r="AQ27" i="41"/>
  <c r="AP27" i="41"/>
  <c r="AO27" i="41"/>
  <c r="AN27" i="41"/>
  <c r="AF27" i="41"/>
  <c r="AE27" i="41"/>
  <c r="AD27" i="41"/>
  <c r="AC27" i="41"/>
  <c r="AA27" i="41"/>
  <c r="Z27" i="41"/>
  <c r="Y27" i="41"/>
  <c r="X27" i="41"/>
  <c r="W27" i="41"/>
  <c r="V27" i="41"/>
  <c r="I27" i="41"/>
  <c r="H27" i="41"/>
  <c r="F27" i="41"/>
  <c r="E26" i="41"/>
  <c r="D26" i="41"/>
  <c r="E25" i="41"/>
  <c r="D25" i="41"/>
  <c r="AY24" i="41"/>
  <c r="AX24" i="41"/>
  <c r="AW24" i="41"/>
  <c r="AV24" i="41"/>
  <c r="AU24" i="41"/>
  <c r="AT24" i="41"/>
  <c r="AM24" i="41"/>
  <c r="AM27" i="41" s="1"/>
  <c r="AL24" i="41"/>
  <c r="AL27" i="41" s="1"/>
  <c r="AK24" i="41"/>
  <c r="AK27" i="41" s="1"/>
  <c r="AJ24" i="41"/>
  <c r="AJ27" i="41" s="1"/>
  <c r="AI24" i="41"/>
  <c r="AI27" i="41" s="1"/>
  <c r="AH24" i="41"/>
  <c r="AH27" i="41" s="1"/>
  <c r="AG24" i="41"/>
  <c r="AB24" i="41"/>
  <c r="E23" i="41"/>
  <c r="D23" i="41"/>
  <c r="E22" i="41"/>
  <c r="D22" i="41"/>
  <c r="E21" i="41"/>
  <c r="D21" i="41"/>
  <c r="BE20" i="41"/>
  <c r="AT20" i="41"/>
  <c r="AS20" i="41"/>
  <c r="E20" i="41"/>
  <c r="BE19" i="41"/>
  <c r="BE27" i="41" s="1"/>
  <c r="AT19" i="41"/>
  <c r="AT27" i="41" s="1"/>
  <c r="AS19" i="41"/>
  <c r="AS27" i="41" s="1"/>
  <c r="E19" i="41"/>
  <c r="AT18" i="41"/>
  <c r="AU18" i="41" s="1"/>
  <c r="AV18" i="41" s="1"/>
  <c r="AW18" i="41" s="1"/>
  <c r="AX18" i="41" s="1"/>
  <c r="AY18" i="41" s="1"/>
  <c r="AZ18" i="41" s="1"/>
  <c r="BA18" i="41" s="1"/>
  <c r="BB18" i="41" s="1"/>
  <c r="BC18" i="41" s="1"/>
  <c r="BD18" i="41" s="1"/>
  <c r="BE18" i="41" s="1"/>
  <c r="AI18" i="41"/>
  <c r="AJ18" i="41" s="1"/>
  <c r="AK18" i="41" s="1"/>
  <c r="AL18" i="41" s="1"/>
  <c r="AM18" i="41" s="1"/>
  <c r="AN18" i="41" s="1"/>
  <c r="AO18" i="41" s="1"/>
  <c r="AP18" i="41" s="1"/>
  <c r="AQ18" i="41" s="1"/>
  <c r="AR18" i="41" s="1"/>
  <c r="AS18" i="41" s="1"/>
  <c r="W18" i="41"/>
  <c r="X18" i="41" s="1"/>
  <c r="Y18" i="41" s="1"/>
  <c r="Z18" i="41" s="1"/>
  <c r="AA18" i="41" s="1"/>
  <c r="AB18" i="41" s="1"/>
  <c r="AC18" i="41" s="1"/>
  <c r="AD18" i="41" s="1"/>
  <c r="AE18" i="41" s="1"/>
  <c r="AF18" i="41" s="1"/>
  <c r="AG18" i="41" s="1"/>
  <c r="G18" i="41"/>
  <c r="H18" i="41" s="1"/>
  <c r="I18" i="41" s="1"/>
  <c r="AF13" i="41"/>
  <c r="AG5" i="41" s="1"/>
  <c r="AE13" i="41"/>
  <c r="AD13" i="41"/>
  <c r="AC13" i="41"/>
  <c r="AB13" i="41"/>
  <c r="AA13" i="41"/>
  <c r="Z13" i="41"/>
  <c r="Y13" i="41"/>
  <c r="X13" i="41"/>
  <c r="W13" i="41"/>
  <c r="V13" i="41"/>
  <c r="T13" i="41"/>
  <c r="U5" i="41" s="1"/>
  <c r="U13" i="41" s="1"/>
  <c r="D12" i="41"/>
  <c r="BL10" i="41"/>
  <c r="BJ10" i="41"/>
  <c r="BI10" i="41"/>
  <c r="BH10" i="41"/>
  <c r="BG10" i="41"/>
  <c r="AR10" i="41"/>
  <c r="AR9" i="41"/>
  <c r="F8" i="41"/>
  <c r="F13" i="41" s="1"/>
  <c r="E7" i="41"/>
  <c r="E6" i="41"/>
  <c r="AU3" i="41"/>
  <c r="AV3" i="41" s="1"/>
  <c r="AW3" i="41" s="1"/>
  <c r="AX3" i="41" s="1"/>
  <c r="AY3" i="41" s="1"/>
  <c r="AZ3" i="41" s="1"/>
  <c r="BA3" i="41" s="1"/>
  <c r="BB3" i="41" s="1"/>
  <c r="BC3" i="41" s="1"/>
  <c r="BD3" i="41" s="1"/>
  <c r="BE3" i="41" s="1"/>
  <c r="AI3" i="41"/>
  <c r="W3" i="41"/>
  <c r="X3" i="41" s="1"/>
  <c r="Y3" i="41" s="1"/>
  <c r="Z3" i="41" s="1"/>
  <c r="AA3" i="41" s="1"/>
  <c r="AB3" i="41" s="1"/>
  <c r="AC3" i="41" s="1"/>
  <c r="AD3" i="41" s="1"/>
  <c r="AE3" i="41" s="1"/>
  <c r="AF3" i="41" s="1"/>
  <c r="AG3" i="41" s="1"/>
  <c r="G3" i="41"/>
  <c r="H3" i="41" s="1"/>
  <c r="I3" i="41" s="1"/>
  <c r="BC50" i="44"/>
  <c r="AX50" i="44"/>
  <c r="AB83" i="44"/>
  <c r="AZ83" i="44"/>
  <c r="V14" i="44"/>
  <c r="BD14" i="44"/>
  <c r="BE80" i="43"/>
  <c r="AR80" i="43"/>
  <c r="AJ48" i="43"/>
  <c r="I48" i="43"/>
  <c r="AU48" i="43"/>
  <c r="Y14" i="43"/>
  <c r="AG14" i="43"/>
  <c r="AO83" i="44"/>
  <c r="AY50" i="44"/>
  <c r="AT50" i="44"/>
  <c r="AV50" i="44"/>
  <c r="AJ83" i="44"/>
  <c r="E14" i="44"/>
  <c r="AZ14" i="44"/>
  <c r="BA80" i="43"/>
  <c r="AN80" i="43"/>
  <c r="AF48" i="43"/>
  <c r="AX80" i="43"/>
  <c r="AO48" i="43"/>
  <c r="I14" i="43"/>
  <c r="V14" i="43"/>
  <c r="AL14" i="43"/>
  <c r="AU50" i="44"/>
  <c r="AP50" i="44"/>
  <c r="AJ50" i="44"/>
  <c r="G83" i="44"/>
  <c r="BD83" i="44"/>
  <c r="AK50" i="44"/>
  <c r="AZ80" i="43"/>
  <c r="F14" i="43"/>
  <c r="AI14" i="43"/>
  <c r="U14" i="43"/>
  <c r="H83" i="44"/>
  <c r="AG14" i="44"/>
  <c r="AC80" i="43"/>
  <c r="AZ14" i="43"/>
  <c r="W80" i="43"/>
  <c r="G14" i="43"/>
  <c r="BB50" i="44"/>
  <c r="AZ50" i="44"/>
  <c r="AW80" i="43"/>
  <c r="AB48" i="43"/>
  <c r="AK48" i="43"/>
  <c r="BD48" i="43"/>
  <c r="AL50" i="44"/>
  <c r="X50" i="44"/>
  <c r="AS80" i="43"/>
  <c r="AG48" i="43"/>
  <c r="AR83" i="44"/>
  <c r="AM50" i="44"/>
  <c r="BA83" i="44"/>
  <c r="AA50" i="44"/>
  <c r="AN50" i="44"/>
  <c r="BA14" i="44"/>
  <c r="AF14" i="44"/>
  <c r="AO80" i="43"/>
  <c r="AB80" i="43"/>
  <c r="T48" i="43"/>
  <c r="Z80" i="43"/>
  <c r="AC48" i="43"/>
  <c r="Z48" i="43"/>
  <c r="AL48" i="43"/>
  <c r="AP83" i="44"/>
  <c r="AI50" i="44"/>
  <c r="AW83" i="44"/>
  <c r="W50" i="44"/>
  <c r="AG50" i="44"/>
  <c r="AW14" i="44"/>
  <c r="AB14" i="44"/>
  <c r="AK80" i="43"/>
  <c r="X80" i="43"/>
  <c r="F48" i="43"/>
  <c r="AY48" i="43"/>
  <c r="Y48" i="43"/>
  <c r="G48" i="43"/>
  <c r="AW14" i="43"/>
  <c r="AN14" i="43"/>
  <c r="BB83" i="44"/>
  <c r="AS83" i="44"/>
  <c r="F50" i="44"/>
  <c r="BC83" i="44"/>
  <c r="AC50" i="44"/>
  <c r="X14" i="44"/>
  <c r="BE48" i="43"/>
  <c r="AR48" i="43"/>
  <c r="BC14" i="43"/>
  <c r="AM14" i="44"/>
  <c r="AH50" i="44"/>
  <c r="G50" i="44"/>
  <c r="AV80" i="43"/>
  <c r="AM48" i="43"/>
  <c r="AD14" i="43"/>
  <c r="AK14" i="44"/>
  <c r="AO50" i="44"/>
  <c r="H14" i="44"/>
  <c r="AX48" i="43"/>
  <c r="AF14" i="43"/>
  <c r="H48" i="43"/>
  <c r="AK14" i="43"/>
  <c r="AE50" i="44"/>
  <c r="AF83" i="44"/>
  <c r="AT48" i="43"/>
  <c r="AB14" i="43"/>
  <c r="BE14" i="43"/>
  <c r="Z14" i="43"/>
  <c r="AN14" i="44"/>
  <c r="AM14" i="43"/>
  <c r="AJ14" i="44"/>
  <c r="AH80" i="43"/>
  <c r="AY83" i="44"/>
  <c r="AT83" i="44"/>
  <c r="AG83" i="44"/>
  <c r="AN83" i="44"/>
  <c r="H50" i="44"/>
  <c r="AC14" i="44"/>
  <c r="AA14" i="44"/>
  <c r="Y80" i="43"/>
  <c r="AW48" i="43"/>
  <c r="AV14" i="43"/>
  <c r="AE48" i="43"/>
  <c r="AV48" i="43"/>
  <c r="AH14" i="43"/>
  <c r="AH48" i="43"/>
  <c r="AU83" i="44"/>
  <c r="AL83" i="44"/>
  <c r="AC83" i="44"/>
  <c r="X83" i="44"/>
  <c r="AB50" i="44"/>
  <c r="Y14" i="44"/>
  <c r="BC14" i="44"/>
  <c r="BB48" i="43"/>
  <c r="AY80" i="43"/>
  <c r="AJ14" i="43"/>
  <c r="AA48" i="43"/>
  <c r="AD48" i="43"/>
  <c r="AC14" i="43"/>
  <c r="AU14" i="43"/>
  <c r="AM83" i="44"/>
  <c r="AH83" i="44"/>
  <c r="Y83" i="44"/>
  <c r="AR50" i="44"/>
  <c r="AX83" i="44"/>
  <c r="AD14" i="44"/>
  <c r="F14" i="44"/>
  <c r="AS48" i="43"/>
  <c r="AD80" i="43"/>
  <c r="V48" i="43"/>
  <c r="AI83" i="44"/>
  <c r="Y50" i="44"/>
  <c r="G14" i="44"/>
  <c r="BA48" i="43"/>
  <c r="AI48" i="43"/>
  <c r="AX14" i="43"/>
  <c r="AQ83" i="44"/>
  <c r="E50" i="44"/>
  <c r="AV14" i="44"/>
  <c r="AJ80" i="43"/>
  <c r="AP80" i="43"/>
  <c r="AU80" i="43"/>
  <c r="BD50" i="44"/>
  <c r="AF80" i="43"/>
  <c r="AL14" i="44"/>
  <c r="AE83" i="44"/>
  <c r="Z83" i="44"/>
  <c r="BA50" i="44"/>
  <c r="AD50" i="44"/>
  <c r="AT14" i="44"/>
  <c r="AF50" i="44"/>
  <c r="AY14" i="44"/>
  <c r="AP48" i="43"/>
  <c r="AA80" i="43"/>
  <c r="X14" i="43"/>
  <c r="AT80" i="43"/>
  <c r="AY14" i="43"/>
  <c r="AM80" i="43"/>
  <c r="BA14" i="43"/>
  <c r="AA83" i="44"/>
  <c r="V83" i="44"/>
  <c r="AW50" i="44"/>
  <c r="Z50" i="44"/>
  <c r="AH14" i="44"/>
  <c r="AV83" i="44"/>
  <c r="AI14" i="44"/>
  <c r="BD80" i="43"/>
  <c r="AZ48" i="43"/>
  <c r="T14" i="43"/>
  <c r="AL80" i="43"/>
  <c r="AT14" i="43"/>
  <c r="AE80" i="43"/>
  <c r="AE14" i="43"/>
  <c r="W83" i="44"/>
  <c r="E83" i="44"/>
  <c r="AS50" i="44"/>
  <c r="V50" i="44"/>
  <c r="AK83" i="44"/>
  <c r="AS14" i="44"/>
  <c r="AG80" i="43"/>
  <c r="BD14" i="43"/>
  <c r="BC80" i="43"/>
  <c r="AA14" i="43"/>
  <c r="AD83" i="44"/>
  <c r="Z14" i="44"/>
  <c r="AE14" i="44"/>
  <c r="AN48" i="43"/>
  <c r="BC48" i="43"/>
  <c r="BB14" i="43"/>
  <c r="F83" i="44"/>
  <c r="BB14" i="44"/>
  <c r="W14" i="44"/>
  <c r="AQ80" i="43"/>
  <c r="W48" i="43"/>
  <c r="W14" i="43"/>
  <c r="AQ50" i="44"/>
  <c r="AX14" i="44"/>
  <c r="AU14" i="44"/>
  <c r="AI80" i="43"/>
  <c r="BB80" i="43"/>
  <c r="H14" i="43"/>
  <c r="AO14" i="43"/>
  <c r="X48" i="43"/>
  <c r="U48" i="43"/>
  <c r="AQ48" i="43"/>
  <c r="AU84" i="49" l="1"/>
  <c r="AV79" i="49"/>
  <c r="AV82" i="49" s="1"/>
  <c r="AS46" i="49"/>
  <c r="AS49" i="49" s="1"/>
  <c r="AK42" i="48"/>
  <c r="AJ49" i="48"/>
  <c r="AJ77" i="48"/>
  <c r="AJ79" i="48" s="1"/>
  <c r="U47" i="41"/>
  <c r="AP51" i="47"/>
  <c r="AQ44" i="47"/>
  <c r="AS79" i="47"/>
  <c r="AS82" i="47" s="1"/>
  <c r="AR84" i="47"/>
  <c r="AH81" i="46"/>
  <c r="AI75" i="46"/>
  <c r="AI49" i="46"/>
  <c r="AJ42" i="46"/>
  <c r="Z15" i="43"/>
  <c r="U49" i="43"/>
  <c r="AB15" i="43"/>
  <c r="X49" i="43"/>
  <c r="AF84" i="44"/>
  <c r="X51" i="44"/>
  <c r="AE51" i="44"/>
  <c r="W15" i="43"/>
  <c r="W49" i="43"/>
  <c r="AF15" i="43"/>
  <c r="AB49" i="43"/>
  <c r="W15" i="44"/>
  <c r="E51" i="44"/>
  <c r="F84" i="44"/>
  <c r="AD15" i="43"/>
  <c r="W81" i="43"/>
  <c r="AC81" i="43"/>
  <c r="AE15" i="44"/>
  <c r="AG15" i="44"/>
  <c r="Z15" i="44"/>
  <c r="Y51" i="44"/>
  <c r="H84" i="44"/>
  <c r="AD84" i="44"/>
  <c r="AI84" i="44"/>
  <c r="U15" i="43"/>
  <c r="AA15" i="43"/>
  <c r="V49" i="43"/>
  <c r="AD81" i="43"/>
  <c r="F15" i="43"/>
  <c r="F15" i="44"/>
  <c r="X15" i="44"/>
  <c r="AD15" i="44"/>
  <c r="AC51" i="44"/>
  <c r="G84" i="44"/>
  <c r="V51" i="44"/>
  <c r="F51" i="44"/>
  <c r="Y84" i="44"/>
  <c r="E84" i="44"/>
  <c r="AH84" i="44"/>
  <c r="W84" i="44"/>
  <c r="AE15" i="43"/>
  <c r="V15" i="43"/>
  <c r="AC15" i="43"/>
  <c r="AD49" i="43"/>
  <c r="Y49" i="43"/>
  <c r="AA49" i="43"/>
  <c r="T15" i="43"/>
  <c r="X81" i="43"/>
  <c r="AB15" i="44"/>
  <c r="Y15" i="44"/>
  <c r="E15" i="44"/>
  <c r="AB51" i="44"/>
  <c r="Z51" i="44"/>
  <c r="X84" i="44"/>
  <c r="W51" i="44"/>
  <c r="AC84" i="44"/>
  <c r="V84" i="44"/>
  <c r="AA84" i="44"/>
  <c r="AG15" i="43"/>
  <c r="AH15" i="43"/>
  <c r="Y15" i="43"/>
  <c r="AC49" i="43"/>
  <c r="AE49" i="43"/>
  <c r="Z81" i="43"/>
  <c r="X15" i="43"/>
  <c r="T49" i="43"/>
  <c r="AA81" i="43"/>
  <c r="AB81" i="43"/>
  <c r="Y81" i="43"/>
  <c r="AA15" i="44"/>
  <c r="AF15" i="44"/>
  <c r="AF51" i="44"/>
  <c r="AC15" i="44"/>
  <c r="V15" i="44"/>
  <c r="AD51" i="44"/>
  <c r="AA51" i="44"/>
  <c r="AB84" i="44"/>
  <c r="AG84" i="44"/>
  <c r="Z84" i="44"/>
  <c r="AE84" i="44"/>
  <c r="Z49" i="43"/>
  <c r="AJ28" i="42"/>
  <c r="AN28" i="42"/>
  <c r="AR28" i="42"/>
  <c r="AV28" i="42"/>
  <c r="AZ45" i="42"/>
  <c r="BD28" i="42"/>
  <c r="W47" i="41"/>
  <c r="C61" i="42"/>
  <c r="E76" i="41"/>
  <c r="AI28" i="42"/>
  <c r="AQ28" i="42"/>
  <c r="AU45" i="42"/>
  <c r="BC28" i="42"/>
  <c r="D64" i="42"/>
  <c r="E27" i="41"/>
  <c r="AI64" i="42"/>
  <c r="AQ64" i="42"/>
  <c r="BC64" i="42"/>
  <c r="AO3" i="44"/>
  <c r="H5" i="44"/>
  <c r="G15" i="44"/>
  <c r="BK76" i="44"/>
  <c r="BJ77" i="44"/>
  <c r="AG51" i="44"/>
  <c r="AH44" i="44"/>
  <c r="AH49" i="44" s="1"/>
  <c r="AJ84" i="44"/>
  <c r="AK79" i="44"/>
  <c r="AK82" i="44" s="1"/>
  <c r="G46" i="44"/>
  <c r="G49" i="44" s="1"/>
  <c r="AH15" i="44"/>
  <c r="AI5" i="44"/>
  <c r="AI13" i="44" s="1"/>
  <c r="BJ76" i="44"/>
  <c r="AF44" i="43"/>
  <c r="AF47" i="43" s="1"/>
  <c r="AE81" i="43"/>
  <c r="AF75" i="43"/>
  <c r="AP3" i="43"/>
  <c r="E77" i="43"/>
  <c r="AI15" i="43"/>
  <c r="AJ5" i="43"/>
  <c r="AJ13" i="43" s="1"/>
  <c r="G15" i="43"/>
  <c r="H5" i="43"/>
  <c r="D23" i="42"/>
  <c r="D27" i="42"/>
  <c r="C57" i="42"/>
  <c r="AM28" i="42"/>
  <c r="C21" i="42"/>
  <c r="D57" i="42"/>
  <c r="AY45" i="42"/>
  <c r="AM64" i="42"/>
  <c r="AF8" i="42"/>
  <c r="AQ11" i="42" s="1"/>
  <c r="C11" i="42" s="1"/>
  <c r="C20" i="42"/>
  <c r="C23" i="42"/>
  <c r="C25" i="42"/>
  <c r="C27" i="42"/>
  <c r="AU28" i="42"/>
  <c r="AY28" i="42"/>
  <c r="AK64" i="42"/>
  <c r="AO64" i="42"/>
  <c r="AV80" i="42"/>
  <c r="C59" i="42"/>
  <c r="F82" i="42"/>
  <c r="AI3" i="42"/>
  <c r="E13" i="42"/>
  <c r="AS80" i="42"/>
  <c r="AS64" i="42"/>
  <c r="AW80" i="42"/>
  <c r="AW64" i="42"/>
  <c r="BA80" i="42"/>
  <c r="BA64" i="42"/>
  <c r="C19" i="42"/>
  <c r="D28" i="42"/>
  <c r="AG79" i="42"/>
  <c r="AG82" i="42" s="1"/>
  <c r="C56" i="42"/>
  <c r="AG64" i="42"/>
  <c r="D56" i="42"/>
  <c r="AT45" i="42"/>
  <c r="AT28" i="42"/>
  <c r="AX45" i="42"/>
  <c r="BJ44" i="42" s="1"/>
  <c r="AX28" i="42"/>
  <c r="BB45" i="42"/>
  <c r="BB28" i="42"/>
  <c r="BK41" i="42"/>
  <c r="G79" i="42"/>
  <c r="G82" i="42" s="1"/>
  <c r="D19" i="42"/>
  <c r="D21" i="42"/>
  <c r="AG28" i="42"/>
  <c r="AS28" i="42"/>
  <c r="AW28" i="42"/>
  <c r="BA28" i="42"/>
  <c r="AU80" i="42"/>
  <c r="AU64" i="42"/>
  <c r="C60" i="42"/>
  <c r="D60" i="42"/>
  <c r="AK78" i="42"/>
  <c r="AV45" i="42"/>
  <c r="AH64" i="42"/>
  <c r="AZ28" i="42"/>
  <c r="AF44" i="42"/>
  <c r="C55" i="42"/>
  <c r="AL64" i="42"/>
  <c r="AT80" i="42"/>
  <c r="AT64" i="42"/>
  <c r="AX80" i="42"/>
  <c r="BB80" i="42"/>
  <c r="BB64" i="42"/>
  <c r="D63" i="42"/>
  <c r="C63" i="42"/>
  <c r="AX64" i="42"/>
  <c r="E49" i="42"/>
  <c r="D55" i="42"/>
  <c r="D59" i="42"/>
  <c r="AY80" i="42"/>
  <c r="AY64" i="42"/>
  <c r="AJ64" i="42"/>
  <c r="AN64" i="42"/>
  <c r="AR64" i="42"/>
  <c r="AV64" i="42"/>
  <c r="AZ64" i="42"/>
  <c r="BD64" i="42"/>
  <c r="C58" i="42"/>
  <c r="D61" i="42"/>
  <c r="C62" i="42"/>
  <c r="AG8" i="41"/>
  <c r="AR11" i="41" s="1"/>
  <c r="X42" i="41"/>
  <c r="X47" i="41" s="1"/>
  <c r="AD44" i="41"/>
  <c r="AD47" i="41" s="1"/>
  <c r="G5" i="41"/>
  <c r="AJ3" i="41"/>
  <c r="E60" i="41"/>
  <c r="AJ73" i="41"/>
  <c r="D24" i="41"/>
  <c r="Y77" i="41"/>
  <c r="Y79" i="41" s="1"/>
  <c r="E24" i="41"/>
  <c r="AG27" i="41"/>
  <c r="AT43" i="41"/>
  <c r="AC77" i="41"/>
  <c r="AC79" i="41" s="1"/>
  <c r="C54" i="22"/>
  <c r="C44" i="22"/>
  <c r="C43" i="22"/>
  <c r="C31" i="22"/>
  <c r="C6" i="22"/>
  <c r="C5" i="22"/>
  <c r="C9" i="22"/>
  <c r="C15" i="22"/>
  <c r="C12" i="22"/>
  <c r="C18" i="22"/>
  <c r="C4" i="22"/>
  <c r="C10" i="22"/>
  <c r="C8" i="22"/>
  <c r="C21" i="22"/>
  <c r="AP14" i="43"/>
  <c r="AO14" i="44"/>
  <c r="AT44" i="49" l="1"/>
  <c r="AS51" i="49"/>
  <c r="AV84" i="49"/>
  <c r="AW79" i="49"/>
  <c r="AW82" i="49" s="1"/>
  <c r="AK75" i="48"/>
  <c r="AJ81" i="48"/>
  <c r="AK44" i="48"/>
  <c r="AK47" i="48"/>
  <c r="C28" i="42"/>
  <c r="AQ46" i="47"/>
  <c r="AQ49" i="47"/>
  <c r="AS84" i="47"/>
  <c r="AT79" i="47"/>
  <c r="AT82" i="47" s="1"/>
  <c r="AJ44" i="46"/>
  <c r="AJ47" i="46" s="1"/>
  <c r="AI77" i="46"/>
  <c r="AI79" i="46" s="1"/>
  <c r="AP3" i="44"/>
  <c r="G51" i="44"/>
  <c r="H44" i="44"/>
  <c r="BK80" i="44"/>
  <c r="AH51" i="44"/>
  <c r="AI44" i="44"/>
  <c r="AI49" i="44" s="1"/>
  <c r="AI15" i="44"/>
  <c r="AJ5" i="44"/>
  <c r="AJ13" i="44" s="1"/>
  <c r="AL79" i="44"/>
  <c r="AL82" i="44" s="1"/>
  <c r="AK84" i="44"/>
  <c r="H8" i="44"/>
  <c r="D8" i="44" s="1"/>
  <c r="AF49" i="43"/>
  <c r="AG42" i="43"/>
  <c r="AJ15" i="43"/>
  <c r="AK5" i="43"/>
  <c r="AK13" i="43" s="1"/>
  <c r="AQ3" i="43"/>
  <c r="AF77" i="43"/>
  <c r="AF79" i="43" s="1"/>
  <c r="H8" i="43"/>
  <c r="H13" i="43" s="1"/>
  <c r="D20" i="42"/>
  <c r="D25" i="42"/>
  <c r="D58" i="42"/>
  <c r="D62" i="42"/>
  <c r="AF13" i="42"/>
  <c r="F44" i="42"/>
  <c r="AF46" i="42"/>
  <c r="D46" i="42" s="1"/>
  <c r="AH79" i="42"/>
  <c r="AH82" i="42" s="1"/>
  <c r="AJ3" i="42"/>
  <c r="F5" i="42"/>
  <c r="BK44" i="42"/>
  <c r="AL78" i="42"/>
  <c r="H79" i="42"/>
  <c r="H82" i="42" s="1"/>
  <c r="C64" i="42"/>
  <c r="AE42" i="41"/>
  <c r="AK73" i="41"/>
  <c r="AK3" i="41"/>
  <c r="Y42" i="41"/>
  <c r="Y47" i="41" s="1"/>
  <c r="G8" i="41"/>
  <c r="G13" i="41" s="1"/>
  <c r="AD75" i="41"/>
  <c r="AG13" i="41"/>
  <c r="AB79" i="40"/>
  <c r="AC75" i="40" s="1"/>
  <c r="AA79" i="40"/>
  <c r="Z79" i="40"/>
  <c r="X79" i="40"/>
  <c r="Y75" i="40" s="1"/>
  <c r="W79" i="40"/>
  <c r="D78" i="40"/>
  <c r="G77" i="40"/>
  <c r="V76" i="40"/>
  <c r="E76" i="40" s="1"/>
  <c r="I76" i="40"/>
  <c r="I77" i="40" s="1"/>
  <c r="F76" i="40"/>
  <c r="F77" i="40" s="1"/>
  <c r="BG74" i="40"/>
  <c r="AT73" i="40"/>
  <c r="AU73" i="40" s="1"/>
  <c r="AV73" i="40" s="1"/>
  <c r="AW73" i="40" s="1"/>
  <c r="AX73" i="40" s="1"/>
  <c r="AY73" i="40" s="1"/>
  <c r="AZ73" i="40" s="1"/>
  <c r="BA73" i="40" s="1"/>
  <c r="BB73" i="40" s="1"/>
  <c r="BC73" i="40" s="1"/>
  <c r="BD73" i="40" s="1"/>
  <c r="BE73" i="40" s="1"/>
  <c r="AI73" i="40"/>
  <c r="W73" i="40"/>
  <c r="X73" i="40" s="1"/>
  <c r="Y73" i="40" s="1"/>
  <c r="Z73" i="40" s="1"/>
  <c r="AA73" i="40" s="1"/>
  <c r="AB73" i="40" s="1"/>
  <c r="AC73" i="40" s="1"/>
  <c r="AD73" i="40" s="1"/>
  <c r="AE73" i="40" s="1"/>
  <c r="AF73" i="40" s="1"/>
  <c r="AG73" i="40" s="1"/>
  <c r="G73" i="40"/>
  <c r="H73" i="40" s="1"/>
  <c r="I73" i="40" s="1"/>
  <c r="AT63" i="40"/>
  <c r="AU63" i="40" s="1"/>
  <c r="AV63" i="40" s="1"/>
  <c r="AW63" i="40" s="1"/>
  <c r="AX63" i="40" s="1"/>
  <c r="AY63" i="40" s="1"/>
  <c r="AZ63" i="40" s="1"/>
  <c r="BA63" i="40" s="1"/>
  <c r="BB63" i="40" s="1"/>
  <c r="BC63" i="40" s="1"/>
  <c r="BD63" i="40" s="1"/>
  <c r="BE63" i="40" s="1"/>
  <c r="AI63" i="40"/>
  <c r="AJ63" i="40" s="1"/>
  <c r="AK63" i="40" s="1"/>
  <c r="AL63" i="40" s="1"/>
  <c r="AM63" i="40" s="1"/>
  <c r="AN63" i="40" s="1"/>
  <c r="AO63" i="40" s="1"/>
  <c r="AP63" i="40" s="1"/>
  <c r="AQ63" i="40" s="1"/>
  <c r="AR63" i="40" s="1"/>
  <c r="AS63" i="40" s="1"/>
  <c r="W63" i="40"/>
  <c r="X63" i="40" s="1"/>
  <c r="Y63" i="40" s="1"/>
  <c r="Z63" i="40" s="1"/>
  <c r="AA63" i="40" s="1"/>
  <c r="AB63" i="40" s="1"/>
  <c r="AC63" i="40" s="1"/>
  <c r="AD63" i="40" s="1"/>
  <c r="AE63" i="40" s="1"/>
  <c r="AF63" i="40" s="1"/>
  <c r="AG63" i="40" s="1"/>
  <c r="G63" i="40"/>
  <c r="H63" i="40" s="1"/>
  <c r="I63" i="40" s="1"/>
  <c r="E61" i="40"/>
  <c r="D61" i="40"/>
  <c r="AQ60" i="40"/>
  <c r="AP60" i="40"/>
  <c r="AO60" i="40"/>
  <c r="AN60" i="40"/>
  <c r="AM60" i="40"/>
  <c r="AL60" i="40"/>
  <c r="AK60" i="40"/>
  <c r="AJ60" i="40"/>
  <c r="AI60" i="40"/>
  <c r="AH60" i="40"/>
  <c r="AF60" i="40"/>
  <c r="AE60" i="40"/>
  <c r="AD60" i="40"/>
  <c r="AC60" i="40"/>
  <c r="AB60" i="40"/>
  <c r="AA60" i="40"/>
  <c r="Z60" i="40"/>
  <c r="Y60" i="40"/>
  <c r="X60" i="40"/>
  <c r="W60" i="40"/>
  <c r="V60" i="40"/>
  <c r="I60" i="40"/>
  <c r="H60" i="40"/>
  <c r="G60" i="40"/>
  <c r="E59" i="40"/>
  <c r="D59" i="40"/>
  <c r="BE58" i="40"/>
  <c r="BD58" i="40"/>
  <c r="BC58" i="40"/>
  <c r="BB58" i="40"/>
  <c r="BA58" i="40"/>
  <c r="AZ58" i="40"/>
  <c r="AY58" i="40"/>
  <c r="AX58" i="40"/>
  <c r="AW58" i="40"/>
  <c r="AV58" i="40"/>
  <c r="AU58" i="40"/>
  <c r="AT58" i="40"/>
  <c r="AS58" i="40"/>
  <c r="AR58" i="40"/>
  <c r="AG58" i="40"/>
  <c r="D58" i="40" s="1"/>
  <c r="E58" i="40"/>
  <c r="E57" i="40"/>
  <c r="D57" i="40"/>
  <c r="E56" i="40"/>
  <c r="D56" i="40"/>
  <c r="E55" i="40"/>
  <c r="BE54" i="40"/>
  <c r="AT54" i="40"/>
  <c r="AS54" i="40"/>
  <c r="E54" i="40"/>
  <c r="D54" i="40"/>
  <c r="BE53" i="40"/>
  <c r="AT53" i="40"/>
  <c r="AS53" i="40"/>
  <c r="E53" i="40"/>
  <c r="D53" i="40"/>
  <c r="BE52" i="40"/>
  <c r="AT52" i="40"/>
  <c r="AS52" i="40"/>
  <c r="E52" i="40"/>
  <c r="D52" i="40"/>
  <c r="AT51" i="40"/>
  <c r="AU51" i="40" s="1"/>
  <c r="AV51" i="40" s="1"/>
  <c r="AW51" i="40" s="1"/>
  <c r="AX51" i="40" s="1"/>
  <c r="AY51" i="40" s="1"/>
  <c r="AZ51" i="40" s="1"/>
  <c r="BA51" i="40" s="1"/>
  <c r="BB51" i="40" s="1"/>
  <c r="BC51" i="40" s="1"/>
  <c r="BD51" i="40" s="1"/>
  <c r="BE51" i="40" s="1"/>
  <c r="AI51" i="40"/>
  <c r="AJ51" i="40" s="1"/>
  <c r="AK51" i="40" s="1"/>
  <c r="AL51" i="40" s="1"/>
  <c r="AM51" i="40" s="1"/>
  <c r="AN51" i="40" s="1"/>
  <c r="AO51" i="40" s="1"/>
  <c r="AP51" i="40" s="1"/>
  <c r="AQ51" i="40" s="1"/>
  <c r="AR51" i="40" s="1"/>
  <c r="AS51" i="40" s="1"/>
  <c r="W51" i="40"/>
  <c r="X51" i="40" s="1"/>
  <c r="Y51" i="40" s="1"/>
  <c r="Z51" i="40" s="1"/>
  <c r="AA51" i="40" s="1"/>
  <c r="AB51" i="40" s="1"/>
  <c r="AC51" i="40" s="1"/>
  <c r="AD51" i="40" s="1"/>
  <c r="AE51" i="40" s="1"/>
  <c r="AF51" i="40" s="1"/>
  <c r="AG51" i="40" s="1"/>
  <c r="G51" i="40"/>
  <c r="H51" i="40" s="1"/>
  <c r="I51" i="40" s="1"/>
  <c r="BL47" i="40"/>
  <c r="BJ47" i="40"/>
  <c r="BI47" i="40"/>
  <c r="BH47" i="40"/>
  <c r="BG47" i="40"/>
  <c r="AC47" i="40"/>
  <c r="AB47" i="40"/>
  <c r="AA47" i="40"/>
  <c r="V47" i="40"/>
  <c r="W42" i="40" s="1"/>
  <c r="BJ46" i="40"/>
  <c r="BI46" i="40"/>
  <c r="BH46" i="40"/>
  <c r="U46" i="40"/>
  <c r="D46" i="40"/>
  <c r="D45" i="40"/>
  <c r="T44" i="40"/>
  <c r="T47" i="40" s="1"/>
  <c r="U42" i="40" s="1"/>
  <c r="AE43" i="40"/>
  <c r="AD43" i="40"/>
  <c r="X43" i="40"/>
  <c r="W43" i="40"/>
  <c r="I43" i="40"/>
  <c r="F43" i="40"/>
  <c r="E43" i="40"/>
  <c r="D43" i="40"/>
  <c r="AD42" i="40"/>
  <c r="BG41" i="40"/>
  <c r="AT40" i="40"/>
  <c r="AU40" i="40" s="1"/>
  <c r="AV40" i="40" s="1"/>
  <c r="AW40" i="40" s="1"/>
  <c r="AX40" i="40" s="1"/>
  <c r="AY40" i="40" s="1"/>
  <c r="AZ40" i="40" s="1"/>
  <c r="BA40" i="40" s="1"/>
  <c r="BB40" i="40" s="1"/>
  <c r="BC40" i="40" s="1"/>
  <c r="BD40" i="40" s="1"/>
  <c r="BE40" i="40" s="1"/>
  <c r="AI40" i="40"/>
  <c r="AJ40" i="40" s="1"/>
  <c r="AK40" i="40" s="1"/>
  <c r="AL40" i="40" s="1"/>
  <c r="AM40" i="40" s="1"/>
  <c r="AN40" i="40" s="1"/>
  <c r="AO40" i="40" s="1"/>
  <c r="AP40" i="40" s="1"/>
  <c r="AQ40" i="40" s="1"/>
  <c r="AR40" i="40" s="1"/>
  <c r="AS40" i="40" s="1"/>
  <c r="W40" i="40"/>
  <c r="X40" i="40" s="1"/>
  <c r="Y40" i="40" s="1"/>
  <c r="Z40" i="40" s="1"/>
  <c r="AA40" i="40" s="1"/>
  <c r="AB40" i="40" s="1"/>
  <c r="AC40" i="40" s="1"/>
  <c r="AD40" i="40" s="1"/>
  <c r="AE40" i="40" s="1"/>
  <c r="AF40" i="40" s="1"/>
  <c r="AG40" i="40" s="1"/>
  <c r="G40" i="40"/>
  <c r="H40" i="40" s="1"/>
  <c r="I40" i="40" s="1"/>
  <c r="AT30" i="40"/>
  <c r="AU30" i="40" s="1"/>
  <c r="AV30" i="40" s="1"/>
  <c r="AW30" i="40" s="1"/>
  <c r="AX30" i="40" s="1"/>
  <c r="AY30" i="40" s="1"/>
  <c r="AZ30" i="40" s="1"/>
  <c r="BA30" i="40" s="1"/>
  <c r="BB30" i="40" s="1"/>
  <c r="BC30" i="40" s="1"/>
  <c r="BD30" i="40" s="1"/>
  <c r="BE30" i="40" s="1"/>
  <c r="AI30" i="40"/>
  <c r="AJ30" i="40" s="1"/>
  <c r="AK30" i="40" s="1"/>
  <c r="AL30" i="40" s="1"/>
  <c r="AM30" i="40" s="1"/>
  <c r="AN30" i="40" s="1"/>
  <c r="AO30" i="40" s="1"/>
  <c r="AP30" i="40" s="1"/>
  <c r="AQ30" i="40" s="1"/>
  <c r="AR30" i="40" s="1"/>
  <c r="AS30" i="40" s="1"/>
  <c r="W30" i="40"/>
  <c r="X30" i="40" s="1"/>
  <c r="Y30" i="40" s="1"/>
  <c r="Z30" i="40" s="1"/>
  <c r="AA30" i="40" s="1"/>
  <c r="AB30" i="40" s="1"/>
  <c r="AC30" i="40" s="1"/>
  <c r="AD30" i="40" s="1"/>
  <c r="AE30" i="40" s="1"/>
  <c r="AF30" i="40" s="1"/>
  <c r="AG30" i="40" s="1"/>
  <c r="G30" i="40"/>
  <c r="H30" i="40" s="1"/>
  <c r="I30" i="40" s="1"/>
  <c r="E28" i="40"/>
  <c r="D28" i="40"/>
  <c r="AQ27" i="40"/>
  <c r="AP27" i="40"/>
  <c r="AO27" i="40"/>
  <c r="AN27" i="40"/>
  <c r="AF27" i="40"/>
  <c r="AE27" i="40"/>
  <c r="AD27" i="40"/>
  <c r="AC27" i="40"/>
  <c r="AA27" i="40"/>
  <c r="Z27" i="40"/>
  <c r="Y27" i="40"/>
  <c r="X27" i="40"/>
  <c r="W27" i="40"/>
  <c r="V27" i="40"/>
  <c r="I27" i="40"/>
  <c r="H27" i="40"/>
  <c r="F27" i="40"/>
  <c r="E26" i="40"/>
  <c r="D26" i="40"/>
  <c r="E25" i="40"/>
  <c r="D25" i="40"/>
  <c r="AY24" i="40"/>
  <c r="AX24" i="40"/>
  <c r="AW24" i="40"/>
  <c r="AV24" i="40"/>
  <c r="AU24" i="40"/>
  <c r="AT24" i="40"/>
  <c r="AM24" i="40"/>
  <c r="AM27" i="40" s="1"/>
  <c r="AL24" i="40"/>
  <c r="AL27" i="40" s="1"/>
  <c r="AK24" i="40"/>
  <c r="AK27" i="40" s="1"/>
  <c r="AJ24" i="40"/>
  <c r="AJ27" i="40" s="1"/>
  <c r="AI24" i="40"/>
  <c r="AI27" i="40" s="1"/>
  <c r="AH24" i="40"/>
  <c r="AH27" i="40" s="1"/>
  <c r="AG24" i="40"/>
  <c r="AB24" i="40"/>
  <c r="E23" i="40"/>
  <c r="D23" i="40"/>
  <c r="E22" i="40"/>
  <c r="D22" i="40"/>
  <c r="E21" i="40"/>
  <c r="D21" i="40"/>
  <c r="BE20" i="40"/>
  <c r="AT20" i="40"/>
  <c r="AS20" i="40"/>
  <c r="E20" i="40"/>
  <c r="BE19" i="40"/>
  <c r="BE27" i="40" s="1"/>
  <c r="AT19" i="40"/>
  <c r="AS19" i="40"/>
  <c r="AS27" i="40" s="1"/>
  <c r="E19" i="40"/>
  <c r="AT18" i="40"/>
  <c r="AU18" i="40" s="1"/>
  <c r="AV18" i="40" s="1"/>
  <c r="AW18" i="40" s="1"/>
  <c r="AX18" i="40" s="1"/>
  <c r="AY18" i="40" s="1"/>
  <c r="AZ18" i="40" s="1"/>
  <c r="BA18" i="40" s="1"/>
  <c r="BB18" i="40" s="1"/>
  <c r="BC18" i="40" s="1"/>
  <c r="BD18" i="40" s="1"/>
  <c r="BE18" i="40" s="1"/>
  <c r="AI18" i="40"/>
  <c r="AJ18" i="40" s="1"/>
  <c r="AK18" i="40" s="1"/>
  <c r="AL18" i="40" s="1"/>
  <c r="AM18" i="40" s="1"/>
  <c r="AN18" i="40" s="1"/>
  <c r="AO18" i="40" s="1"/>
  <c r="AP18" i="40" s="1"/>
  <c r="AQ18" i="40" s="1"/>
  <c r="AR18" i="40" s="1"/>
  <c r="AS18" i="40" s="1"/>
  <c r="W18" i="40"/>
  <c r="X18" i="40" s="1"/>
  <c r="Y18" i="40" s="1"/>
  <c r="Z18" i="40" s="1"/>
  <c r="AA18" i="40" s="1"/>
  <c r="AB18" i="40" s="1"/>
  <c r="AC18" i="40" s="1"/>
  <c r="AD18" i="40" s="1"/>
  <c r="AE18" i="40" s="1"/>
  <c r="AF18" i="40" s="1"/>
  <c r="AG18" i="40" s="1"/>
  <c r="G18" i="40"/>
  <c r="H18" i="40" s="1"/>
  <c r="I18" i="40" s="1"/>
  <c r="AF13" i="40"/>
  <c r="AE13" i="40"/>
  <c r="AD13" i="40"/>
  <c r="AC13" i="40"/>
  <c r="AB13" i="40"/>
  <c r="AA13" i="40"/>
  <c r="Z13" i="40"/>
  <c r="Y13" i="40"/>
  <c r="X13" i="40"/>
  <c r="W13" i="40"/>
  <c r="V13" i="40"/>
  <c r="T13" i="40"/>
  <c r="U5" i="40" s="1"/>
  <c r="U13" i="40" s="1"/>
  <c r="D12" i="40"/>
  <c r="BL10" i="40"/>
  <c r="BJ10" i="40"/>
  <c r="BI10" i="40"/>
  <c r="BH10" i="40"/>
  <c r="BG10" i="40"/>
  <c r="AR10" i="40"/>
  <c r="AR9" i="40"/>
  <c r="F8" i="40"/>
  <c r="F13" i="40" s="1"/>
  <c r="E7" i="40"/>
  <c r="E6" i="40"/>
  <c r="AG5" i="40"/>
  <c r="AU3" i="40"/>
  <c r="AV3" i="40" s="1"/>
  <c r="AW3" i="40" s="1"/>
  <c r="AX3" i="40" s="1"/>
  <c r="AY3" i="40" s="1"/>
  <c r="AZ3" i="40" s="1"/>
  <c r="BA3" i="40" s="1"/>
  <c r="BB3" i="40" s="1"/>
  <c r="BC3" i="40" s="1"/>
  <c r="BD3" i="40" s="1"/>
  <c r="BE3" i="40" s="1"/>
  <c r="AI3" i="40"/>
  <c r="W3" i="40"/>
  <c r="X3" i="40" s="1"/>
  <c r="Y3" i="40" s="1"/>
  <c r="Z3" i="40" s="1"/>
  <c r="AA3" i="40" s="1"/>
  <c r="AB3" i="40" s="1"/>
  <c r="AC3" i="40" s="1"/>
  <c r="AD3" i="40" s="1"/>
  <c r="AE3" i="40" s="1"/>
  <c r="AF3" i="40" s="1"/>
  <c r="AG3" i="40" s="1"/>
  <c r="G3" i="40"/>
  <c r="H3" i="40" s="1"/>
  <c r="I3" i="40" s="1"/>
  <c r="AE82" i="39"/>
  <c r="AD82" i="39"/>
  <c r="AC82" i="39"/>
  <c r="AB82" i="39"/>
  <c r="AA82" i="39"/>
  <c r="Z82" i="39"/>
  <c r="Y82" i="39"/>
  <c r="X82" i="39"/>
  <c r="W82" i="39"/>
  <c r="V82" i="39"/>
  <c r="AS81" i="39"/>
  <c r="C81" i="39"/>
  <c r="F80" i="39"/>
  <c r="E80" i="39"/>
  <c r="E82" i="39" s="1"/>
  <c r="D80" i="39"/>
  <c r="C80" i="39"/>
  <c r="C82" i="39" s="1"/>
  <c r="AF79" i="39"/>
  <c r="AF82" i="39" s="1"/>
  <c r="AS78" i="39"/>
  <c r="AT78" i="39" s="1"/>
  <c r="AU78" i="39" s="1"/>
  <c r="AV78" i="39" s="1"/>
  <c r="AW78" i="39" s="1"/>
  <c r="AX78" i="39" s="1"/>
  <c r="AY78" i="39" s="1"/>
  <c r="AZ78" i="39" s="1"/>
  <c r="BA78" i="39" s="1"/>
  <c r="BB78" i="39" s="1"/>
  <c r="BC78" i="39" s="1"/>
  <c r="BD78" i="39" s="1"/>
  <c r="AH78" i="39"/>
  <c r="V78" i="39"/>
  <c r="W78" i="39" s="1"/>
  <c r="X78" i="39" s="1"/>
  <c r="Y78" i="39" s="1"/>
  <c r="Z78" i="39" s="1"/>
  <c r="AA78" i="39" s="1"/>
  <c r="AB78" i="39" s="1"/>
  <c r="AC78" i="39" s="1"/>
  <c r="AD78" i="39" s="1"/>
  <c r="AE78" i="39" s="1"/>
  <c r="AF78" i="39" s="1"/>
  <c r="F78" i="39"/>
  <c r="G78" i="39" s="1"/>
  <c r="H78" i="39" s="1"/>
  <c r="BF75" i="39"/>
  <c r="AS67" i="39"/>
  <c r="AT67" i="39" s="1"/>
  <c r="AU67" i="39" s="1"/>
  <c r="AV67" i="39" s="1"/>
  <c r="AW67" i="39" s="1"/>
  <c r="AX67" i="39" s="1"/>
  <c r="AY67" i="39" s="1"/>
  <c r="AZ67" i="39" s="1"/>
  <c r="BA67" i="39" s="1"/>
  <c r="BB67" i="39" s="1"/>
  <c r="BC67" i="39" s="1"/>
  <c r="BD67" i="39" s="1"/>
  <c r="AH67" i="39"/>
  <c r="AI67" i="39" s="1"/>
  <c r="AJ67" i="39" s="1"/>
  <c r="AK67" i="39" s="1"/>
  <c r="AL67" i="39" s="1"/>
  <c r="AM67" i="39" s="1"/>
  <c r="AN67" i="39" s="1"/>
  <c r="AO67" i="39" s="1"/>
  <c r="AP67" i="39" s="1"/>
  <c r="AQ67" i="39" s="1"/>
  <c r="AR67" i="39" s="1"/>
  <c r="V67" i="39"/>
  <c r="W67" i="39" s="1"/>
  <c r="X67" i="39" s="1"/>
  <c r="Y67" i="39" s="1"/>
  <c r="Z67" i="39" s="1"/>
  <c r="AA67" i="39" s="1"/>
  <c r="AB67" i="39" s="1"/>
  <c r="AC67" i="39" s="1"/>
  <c r="AD67" i="39" s="1"/>
  <c r="AE67" i="39" s="1"/>
  <c r="AF67" i="39" s="1"/>
  <c r="F67" i="39"/>
  <c r="G67" i="39" s="1"/>
  <c r="H67" i="39" s="1"/>
  <c r="D65" i="39"/>
  <c r="C65" i="39"/>
  <c r="AF64" i="39"/>
  <c r="AE64" i="39"/>
  <c r="AD64" i="39"/>
  <c r="AC64" i="39"/>
  <c r="AB64" i="39"/>
  <c r="AA64" i="39"/>
  <c r="Z64" i="39"/>
  <c r="Y64" i="39"/>
  <c r="X64" i="39"/>
  <c r="W64" i="39"/>
  <c r="V64" i="39"/>
  <c r="H64" i="39"/>
  <c r="G64" i="39"/>
  <c r="F64" i="39"/>
  <c r="E64" i="39"/>
  <c r="BD63" i="39"/>
  <c r="BC63" i="39"/>
  <c r="BB63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AG63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BD61" i="39"/>
  <c r="BC61" i="39"/>
  <c r="BB61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AG61" i="39"/>
  <c r="BD60" i="39"/>
  <c r="BC60" i="39"/>
  <c r="BB60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AG60" i="39"/>
  <c r="BD59" i="39"/>
  <c r="BC59" i="39"/>
  <c r="BB59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BD58" i="39"/>
  <c r="BC58" i="39"/>
  <c r="BB58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BD55" i="39"/>
  <c r="BC55" i="39"/>
  <c r="BC64" i="39" s="1"/>
  <c r="BB55" i="39"/>
  <c r="BA55" i="39"/>
  <c r="AZ55" i="39"/>
  <c r="AY55" i="39"/>
  <c r="AX55" i="39"/>
  <c r="AW55" i="39"/>
  <c r="AW64" i="39" s="1"/>
  <c r="AV55" i="39"/>
  <c r="AU55" i="39"/>
  <c r="AT55" i="39"/>
  <c r="AS55" i="39"/>
  <c r="AS64" i="39" s="1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S54" i="39"/>
  <c r="AT54" i="39" s="1"/>
  <c r="AU54" i="39" s="1"/>
  <c r="AV54" i="39" s="1"/>
  <c r="AW54" i="39" s="1"/>
  <c r="AX54" i="39" s="1"/>
  <c r="AY54" i="39" s="1"/>
  <c r="AZ54" i="39" s="1"/>
  <c r="BA54" i="39" s="1"/>
  <c r="BB54" i="39" s="1"/>
  <c r="BC54" i="39" s="1"/>
  <c r="BD54" i="39" s="1"/>
  <c r="AH54" i="39"/>
  <c r="AI54" i="39" s="1"/>
  <c r="AJ54" i="39" s="1"/>
  <c r="AK54" i="39" s="1"/>
  <c r="AL54" i="39" s="1"/>
  <c r="AM54" i="39" s="1"/>
  <c r="AN54" i="39" s="1"/>
  <c r="AO54" i="39" s="1"/>
  <c r="AP54" i="39" s="1"/>
  <c r="AQ54" i="39" s="1"/>
  <c r="AR54" i="39" s="1"/>
  <c r="V54" i="39"/>
  <c r="W54" i="39" s="1"/>
  <c r="X54" i="39" s="1"/>
  <c r="Y54" i="39" s="1"/>
  <c r="Z54" i="39" s="1"/>
  <c r="AA54" i="39" s="1"/>
  <c r="AB54" i="39" s="1"/>
  <c r="AC54" i="39" s="1"/>
  <c r="AD54" i="39" s="1"/>
  <c r="AE54" i="39" s="1"/>
  <c r="AF54" i="39" s="1"/>
  <c r="F54" i="39"/>
  <c r="G54" i="39" s="1"/>
  <c r="H54" i="39" s="1"/>
  <c r="AE49" i="39"/>
  <c r="AF44" i="39" s="1"/>
  <c r="AD49" i="39"/>
  <c r="AC49" i="39"/>
  <c r="AB49" i="39"/>
  <c r="AA49" i="39"/>
  <c r="Z49" i="39"/>
  <c r="Y49" i="39"/>
  <c r="X49" i="39"/>
  <c r="W49" i="39"/>
  <c r="V49" i="39"/>
  <c r="C48" i="39"/>
  <c r="C47" i="39"/>
  <c r="BK46" i="39"/>
  <c r="BJ46" i="39"/>
  <c r="BI46" i="39"/>
  <c r="BH46" i="39"/>
  <c r="BG46" i="39"/>
  <c r="BF46" i="39"/>
  <c r="BI45" i="39"/>
  <c r="BH45" i="39"/>
  <c r="BG45" i="39"/>
  <c r="BD45" i="39"/>
  <c r="AR45" i="39"/>
  <c r="F45" i="39"/>
  <c r="E45" i="39"/>
  <c r="D45" i="39"/>
  <c r="C45" i="39"/>
  <c r="AS42" i="39"/>
  <c r="AT42" i="39" s="1"/>
  <c r="AU42" i="39" s="1"/>
  <c r="AV42" i="39" s="1"/>
  <c r="AW42" i="39" s="1"/>
  <c r="AX42" i="39" s="1"/>
  <c r="AY42" i="39" s="1"/>
  <c r="AZ42" i="39" s="1"/>
  <c r="BA42" i="39" s="1"/>
  <c r="BB42" i="39" s="1"/>
  <c r="BC42" i="39" s="1"/>
  <c r="BD42" i="39" s="1"/>
  <c r="AH42" i="39"/>
  <c r="AI42" i="39" s="1"/>
  <c r="AJ42" i="39" s="1"/>
  <c r="AK42" i="39" s="1"/>
  <c r="AL42" i="39" s="1"/>
  <c r="AM42" i="39" s="1"/>
  <c r="AN42" i="39" s="1"/>
  <c r="AO42" i="39" s="1"/>
  <c r="AP42" i="39" s="1"/>
  <c r="AQ42" i="39" s="1"/>
  <c r="AR42" i="39" s="1"/>
  <c r="V42" i="39"/>
  <c r="W42" i="39" s="1"/>
  <c r="F42" i="39"/>
  <c r="G42" i="39" s="1"/>
  <c r="H42" i="39" s="1"/>
  <c r="BF40" i="39"/>
  <c r="AS31" i="39"/>
  <c r="AT31" i="39" s="1"/>
  <c r="AU31" i="39" s="1"/>
  <c r="AV31" i="39" s="1"/>
  <c r="AW31" i="39" s="1"/>
  <c r="AX31" i="39" s="1"/>
  <c r="AY31" i="39" s="1"/>
  <c r="AZ31" i="39" s="1"/>
  <c r="BA31" i="39" s="1"/>
  <c r="BB31" i="39" s="1"/>
  <c r="BC31" i="39" s="1"/>
  <c r="BD31" i="39" s="1"/>
  <c r="AH31" i="39"/>
  <c r="AI31" i="39" s="1"/>
  <c r="AJ31" i="39" s="1"/>
  <c r="AK31" i="39" s="1"/>
  <c r="AL31" i="39" s="1"/>
  <c r="AM31" i="39" s="1"/>
  <c r="AN31" i="39" s="1"/>
  <c r="AO31" i="39" s="1"/>
  <c r="AP31" i="39" s="1"/>
  <c r="AQ31" i="39" s="1"/>
  <c r="AR31" i="39" s="1"/>
  <c r="V31" i="39"/>
  <c r="W31" i="39" s="1"/>
  <c r="X31" i="39" s="1"/>
  <c r="Y31" i="39" s="1"/>
  <c r="Z31" i="39" s="1"/>
  <c r="AA31" i="39" s="1"/>
  <c r="AB31" i="39" s="1"/>
  <c r="AC31" i="39" s="1"/>
  <c r="AD31" i="39" s="1"/>
  <c r="AE31" i="39" s="1"/>
  <c r="AF31" i="39" s="1"/>
  <c r="F31" i="39"/>
  <c r="G31" i="39" s="1"/>
  <c r="H31" i="39" s="1"/>
  <c r="D29" i="39"/>
  <c r="C29" i="39"/>
  <c r="AF28" i="39"/>
  <c r="AE28" i="39"/>
  <c r="AD28" i="39"/>
  <c r="AC28" i="39"/>
  <c r="AB28" i="39"/>
  <c r="AA28" i="39"/>
  <c r="Z28" i="39"/>
  <c r="Y28" i="39"/>
  <c r="X28" i="39"/>
  <c r="W28" i="39"/>
  <c r="V28" i="39"/>
  <c r="H28" i="39"/>
  <c r="G28" i="39"/>
  <c r="F28" i="39"/>
  <c r="E28" i="39"/>
  <c r="BD27" i="39"/>
  <c r="BC27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D26" i="39"/>
  <c r="C26" i="39"/>
  <c r="BD25" i="39"/>
  <c r="BC25" i="39"/>
  <c r="BB25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D24" i="39"/>
  <c r="C24" i="39"/>
  <c r="BD23" i="39"/>
  <c r="BC23" i="39"/>
  <c r="BB23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AG23" i="39"/>
  <c r="BD21" i="39"/>
  <c r="BC21" i="39"/>
  <c r="BB21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AG21" i="39"/>
  <c r="BD20" i="39"/>
  <c r="BC20" i="39"/>
  <c r="BB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BD19" i="39"/>
  <c r="BC19" i="39"/>
  <c r="BB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AG19" i="39"/>
  <c r="AS18" i="39"/>
  <c r="AT18" i="39" s="1"/>
  <c r="AU18" i="39" s="1"/>
  <c r="AV18" i="39" s="1"/>
  <c r="AW18" i="39" s="1"/>
  <c r="AX18" i="39" s="1"/>
  <c r="AY18" i="39" s="1"/>
  <c r="AZ18" i="39" s="1"/>
  <c r="BA18" i="39" s="1"/>
  <c r="BB18" i="39" s="1"/>
  <c r="BC18" i="39" s="1"/>
  <c r="BD18" i="39" s="1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AE13" i="39"/>
  <c r="AD13" i="39"/>
  <c r="AC13" i="39"/>
  <c r="AB13" i="39"/>
  <c r="AA13" i="39"/>
  <c r="Z13" i="39"/>
  <c r="Y13" i="39"/>
  <c r="X13" i="39"/>
  <c r="W13" i="39"/>
  <c r="V13" i="39"/>
  <c r="AF12" i="39"/>
  <c r="AQ10" i="39" s="1"/>
  <c r="C10" i="39" s="1"/>
  <c r="C12" i="39"/>
  <c r="BK10" i="39"/>
  <c r="BI10" i="39"/>
  <c r="BH10" i="39"/>
  <c r="BG10" i="39"/>
  <c r="BF10" i="39"/>
  <c r="AQ9" i="39"/>
  <c r="C9" i="39"/>
  <c r="E8" i="39"/>
  <c r="E13" i="39" s="1"/>
  <c r="D7" i="39"/>
  <c r="D6" i="39"/>
  <c r="AT3" i="39"/>
  <c r="AU3" i="39" s="1"/>
  <c r="AV3" i="39" s="1"/>
  <c r="AW3" i="39" s="1"/>
  <c r="AX3" i="39" s="1"/>
  <c r="AY3" i="39" s="1"/>
  <c r="AZ3" i="39" s="1"/>
  <c r="BA3" i="39" s="1"/>
  <c r="BB3" i="39" s="1"/>
  <c r="BC3" i="39" s="1"/>
  <c r="BD3" i="39" s="1"/>
  <c r="AH3" i="39"/>
  <c r="V3" i="39"/>
  <c r="W3" i="39" s="1"/>
  <c r="X3" i="39" s="1"/>
  <c r="Y3" i="39" s="1"/>
  <c r="Z3" i="39" s="1"/>
  <c r="AA3" i="39" s="1"/>
  <c r="AB3" i="39" s="1"/>
  <c r="AC3" i="39" s="1"/>
  <c r="AD3" i="39" s="1"/>
  <c r="AE3" i="39" s="1"/>
  <c r="AF3" i="39" s="1"/>
  <c r="F3" i="39"/>
  <c r="G3" i="39" s="1"/>
  <c r="H3" i="39" s="1"/>
  <c r="AQ14" i="43"/>
  <c r="AP14" i="44"/>
  <c r="AW84" i="49" l="1"/>
  <c r="AX79" i="49"/>
  <c r="AX82" i="49" s="1"/>
  <c r="AT46" i="49"/>
  <c r="AT49" i="49" s="1"/>
  <c r="AL42" i="48"/>
  <c r="AK49" i="48"/>
  <c r="AK77" i="48"/>
  <c r="AK79" i="48" s="1"/>
  <c r="D76" i="40"/>
  <c r="AT84" i="47"/>
  <c r="AU79" i="47"/>
  <c r="AU82" i="47" s="1"/>
  <c r="AQ51" i="47"/>
  <c r="AR44" i="47"/>
  <c r="AI81" i="46"/>
  <c r="AJ75" i="46"/>
  <c r="AJ49" i="46"/>
  <c r="AK42" i="46"/>
  <c r="E24" i="40"/>
  <c r="D64" i="39"/>
  <c r="U47" i="40"/>
  <c r="W47" i="40"/>
  <c r="AJ28" i="39"/>
  <c r="AN28" i="39"/>
  <c r="AR28" i="39"/>
  <c r="AV28" i="39"/>
  <c r="BD28" i="39"/>
  <c r="AT43" i="40"/>
  <c r="D24" i="40"/>
  <c r="E27" i="40"/>
  <c r="AZ45" i="39"/>
  <c r="AQ3" i="44"/>
  <c r="AK5" i="44"/>
  <c r="AK13" i="44" s="1"/>
  <c r="AJ15" i="44"/>
  <c r="H13" i="44"/>
  <c r="H15" i="44" s="1"/>
  <c r="H46" i="44"/>
  <c r="H49" i="44" s="1"/>
  <c r="H51" i="44" s="1"/>
  <c r="AM79" i="44"/>
  <c r="AM82" i="44" s="1"/>
  <c r="AL84" i="44"/>
  <c r="AI51" i="44"/>
  <c r="AJ44" i="44"/>
  <c r="AJ49" i="44" s="1"/>
  <c r="H15" i="43"/>
  <c r="I5" i="43"/>
  <c r="AG75" i="43"/>
  <c r="AF81" i="43"/>
  <c r="AL5" i="43"/>
  <c r="AL13" i="43" s="1"/>
  <c r="AK15" i="43"/>
  <c r="AG44" i="43"/>
  <c r="AG47" i="43" s="1"/>
  <c r="AR3" i="43"/>
  <c r="AG5" i="42"/>
  <c r="AG13" i="42" s="1"/>
  <c r="AI79" i="42"/>
  <c r="AI82" i="42" s="1"/>
  <c r="AM78" i="42"/>
  <c r="AF49" i="42"/>
  <c r="F46" i="42"/>
  <c r="F49" i="42" s="1"/>
  <c r="AK3" i="42"/>
  <c r="F8" i="42"/>
  <c r="F13" i="42" s="1"/>
  <c r="H5" i="41"/>
  <c r="AD77" i="41"/>
  <c r="AD79" i="41" s="1"/>
  <c r="AL73" i="41"/>
  <c r="Z42" i="41"/>
  <c r="Z47" i="41" s="1"/>
  <c r="AH5" i="41"/>
  <c r="AH13" i="41" s="1"/>
  <c r="AL3" i="41"/>
  <c r="AE44" i="41"/>
  <c r="AE47" i="41" s="1"/>
  <c r="D20" i="39"/>
  <c r="C23" i="39"/>
  <c r="C25" i="39"/>
  <c r="D56" i="39"/>
  <c r="D59" i="39"/>
  <c r="D61" i="39"/>
  <c r="D62" i="39"/>
  <c r="AL28" i="39"/>
  <c r="AI28" i="39"/>
  <c r="C20" i="39"/>
  <c r="AQ28" i="39"/>
  <c r="AV45" i="39"/>
  <c r="AY28" i="39"/>
  <c r="AH28" i="39"/>
  <c r="AP28" i="39"/>
  <c r="AX28" i="39"/>
  <c r="D23" i="39"/>
  <c r="AM28" i="39"/>
  <c r="AU28" i="39"/>
  <c r="BC28" i="39"/>
  <c r="D25" i="39"/>
  <c r="D27" i="39"/>
  <c r="E46" i="39"/>
  <c r="E49" i="39" s="1"/>
  <c r="AK64" i="39"/>
  <c r="AO64" i="39"/>
  <c r="AS80" i="39"/>
  <c r="AW80" i="39"/>
  <c r="BA64" i="39"/>
  <c r="AH64" i="39"/>
  <c r="AM64" i="39"/>
  <c r="AQ64" i="39"/>
  <c r="AT80" i="39"/>
  <c r="C59" i="39"/>
  <c r="D60" i="39"/>
  <c r="AG8" i="40"/>
  <c r="AR11" i="40" s="1"/>
  <c r="G5" i="40"/>
  <c r="AJ73" i="40"/>
  <c r="AG27" i="40"/>
  <c r="AJ3" i="40"/>
  <c r="AD44" i="40"/>
  <c r="AD47" i="40" s="1"/>
  <c r="AT27" i="40"/>
  <c r="X42" i="40"/>
  <c r="X47" i="40" s="1"/>
  <c r="Y77" i="40"/>
  <c r="Y79" i="40" s="1"/>
  <c r="E60" i="40"/>
  <c r="AC77" i="40"/>
  <c r="AC79" i="40" s="1"/>
  <c r="F5" i="39"/>
  <c r="AF5" i="39"/>
  <c r="AL64" i="39"/>
  <c r="AG28" i="39"/>
  <c r="D19" i="39"/>
  <c r="C19" i="39"/>
  <c r="AK28" i="39"/>
  <c r="AO28" i="39"/>
  <c r="AS45" i="39"/>
  <c r="AS28" i="39"/>
  <c r="AW28" i="39"/>
  <c r="AW45" i="39"/>
  <c r="BA45" i="39"/>
  <c r="BA28" i="39"/>
  <c r="D28" i="39"/>
  <c r="D21" i="39"/>
  <c r="C21" i="39"/>
  <c r="D63" i="39"/>
  <c r="C63" i="39"/>
  <c r="AI3" i="39"/>
  <c r="D57" i="39"/>
  <c r="C57" i="39"/>
  <c r="AT45" i="39"/>
  <c r="AX45" i="39"/>
  <c r="BB45" i="39"/>
  <c r="AT28" i="39"/>
  <c r="BB28" i="39"/>
  <c r="X42" i="39"/>
  <c r="AV80" i="39"/>
  <c r="AZ80" i="39"/>
  <c r="AU45" i="39"/>
  <c r="AY45" i="39"/>
  <c r="AZ28" i="39"/>
  <c r="D55" i="39"/>
  <c r="C55" i="39"/>
  <c r="AP64" i="39"/>
  <c r="AT64" i="39"/>
  <c r="AX80" i="39"/>
  <c r="BB80" i="39"/>
  <c r="C56" i="39"/>
  <c r="AX64" i="39"/>
  <c r="F79" i="39"/>
  <c r="F82" i="39" s="1"/>
  <c r="AI78" i="39"/>
  <c r="AF46" i="39"/>
  <c r="D46" i="39" s="1"/>
  <c r="AI64" i="39"/>
  <c r="C58" i="39"/>
  <c r="D58" i="39"/>
  <c r="C61" i="39"/>
  <c r="AG64" i="39"/>
  <c r="BB64" i="39"/>
  <c r="AG79" i="39"/>
  <c r="AG82" i="39" s="1"/>
  <c r="BA80" i="39"/>
  <c r="AU80" i="39"/>
  <c r="AY80" i="39"/>
  <c r="C62" i="39"/>
  <c r="AY64" i="39"/>
  <c r="AJ64" i="39"/>
  <c r="AN64" i="39"/>
  <c r="AR64" i="39"/>
  <c r="AV64" i="39"/>
  <c r="AZ64" i="39"/>
  <c r="BD64" i="39"/>
  <c r="C60" i="39"/>
  <c r="AU64" i="39"/>
  <c r="C54" i="23"/>
  <c r="AQ14" i="44"/>
  <c r="AR14" i="43"/>
  <c r="AY79" i="49" l="1"/>
  <c r="AY82" i="49" s="1"/>
  <c r="AX84" i="49"/>
  <c r="AT51" i="49"/>
  <c r="AU44" i="49"/>
  <c r="AL75" i="48"/>
  <c r="AK81" i="48"/>
  <c r="AL44" i="48"/>
  <c r="AL47" i="48" s="1"/>
  <c r="AR46" i="47"/>
  <c r="C46" i="47" s="1"/>
  <c r="C49" i="47" s="1"/>
  <c r="AV79" i="47"/>
  <c r="AV82" i="47" s="1"/>
  <c r="AU84" i="47"/>
  <c r="AK44" i="46"/>
  <c r="AK47" i="46" s="1"/>
  <c r="AJ77" i="46"/>
  <c r="AJ79" i="46" s="1"/>
  <c r="AR3" i="44"/>
  <c r="AM84" i="44"/>
  <c r="AN79" i="44"/>
  <c r="AN82" i="44" s="1"/>
  <c r="AJ51" i="44"/>
  <c r="AK44" i="44"/>
  <c r="AK49" i="44" s="1"/>
  <c r="AK15" i="44"/>
  <c r="AL5" i="44"/>
  <c r="AL13" i="44" s="1"/>
  <c r="AG49" i="43"/>
  <c r="AH42" i="43"/>
  <c r="AS3" i="43"/>
  <c r="AG77" i="43"/>
  <c r="D77" i="43" s="1"/>
  <c r="I8" i="43"/>
  <c r="E8" i="43" s="1"/>
  <c r="AL15" i="43"/>
  <c r="AM5" i="43"/>
  <c r="AM13" i="43" s="1"/>
  <c r="C27" i="39"/>
  <c r="AH5" i="42"/>
  <c r="AH13" i="42" s="1"/>
  <c r="G44" i="42"/>
  <c r="AG44" i="42"/>
  <c r="AG49" i="42" s="1"/>
  <c r="AJ79" i="42"/>
  <c r="AJ82" i="42" s="1"/>
  <c r="G5" i="42"/>
  <c r="AN78" i="42"/>
  <c r="AL3" i="42"/>
  <c r="AI5" i="41"/>
  <c r="AI13" i="41" s="1"/>
  <c r="AE75" i="41"/>
  <c r="AM3" i="41"/>
  <c r="H8" i="41"/>
  <c r="AF42" i="41"/>
  <c r="AM73" i="41"/>
  <c r="F44" i="39"/>
  <c r="F46" i="39" s="1"/>
  <c r="F49" i="39" s="1"/>
  <c r="G44" i="39" s="1"/>
  <c r="C64" i="39"/>
  <c r="C28" i="39"/>
  <c r="AG13" i="40"/>
  <c r="AE42" i="40"/>
  <c r="AD75" i="40"/>
  <c r="AK3" i="40"/>
  <c r="Y42" i="40"/>
  <c r="Y47" i="40" s="1"/>
  <c r="AK73" i="40"/>
  <c r="G8" i="40"/>
  <c r="AJ78" i="39"/>
  <c r="AF8" i="39"/>
  <c r="AQ11" i="39" s="1"/>
  <c r="C11" i="39" s="1"/>
  <c r="Y42" i="39"/>
  <c r="AF49" i="39"/>
  <c r="F8" i="39"/>
  <c r="AJ3" i="39"/>
  <c r="AH79" i="39"/>
  <c r="AH82" i="39" s="1"/>
  <c r="G79" i="39"/>
  <c r="G82" i="39" s="1"/>
  <c r="C9" i="23"/>
  <c r="C33" i="23" s="1"/>
  <c r="C15" i="23"/>
  <c r="C12" i="23"/>
  <c r="C18" i="23"/>
  <c r="C21" i="23"/>
  <c r="C6" i="23"/>
  <c r="AR14" i="44"/>
  <c r="AS14" i="43"/>
  <c r="AU46" i="49" l="1"/>
  <c r="AU49" i="49"/>
  <c r="AY84" i="49"/>
  <c r="AZ79" i="49"/>
  <c r="AZ82" i="49" s="1"/>
  <c r="AL49" i="48"/>
  <c r="AM42" i="48"/>
  <c r="AL77" i="48"/>
  <c r="AL79" i="48" s="1"/>
  <c r="AW79" i="47"/>
  <c r="AW82" i="47" s="1"/>
  <c r="AV84" i="47"/>
  <c r="AR49" i="47"/>
  <c r="AK75" i="46"/>
  <c r="AJ81" i="46"/>
  <c r="AL42" i="46"/>
  <c r="AK49" i="46"/>
  <c r="I13" i="43"/>
  <c r="I15" i="43" s="1"/>
  <c r="AL15" i="44"/>
  <c r="AM5" i="44"/>
  <c r="AM13" i="44" s="1"/>
  <c r="AN84" i="44"/>
  <c r="AO79" i="44"/>
  <c r="AO82" i="44" s="1"/>
  <c r="AK51" i="44"/>
  <c r="AL44" i="44"/>
  <c r="AL49" i="44" s="1"/>
  <c r="AN5" i="43"/>
  <c r="AN13" i="43" s="1"/>
  <c r="AM15" i="43"/>
  <c r="AG79" i="43"/>
  <c r="AH44" i="43"/>
  <c r="AH47" i="43" s="1"/>
  <c r="AI5" i="42"/>
  <c r="AI13" i="42" s="1"/>
  <c r="AO78" i="42"/>
  <c r="AM3" i="42"/>
  <c r="G8" i="42"/>
  <c r="G13" i="42" s="1"/>
  <c r="AH44" i="42"/>
  <c r="AH49" i="42" s="1"/>
  <c r="G46" i="42"/>
  <c r="G49" i="42" s="1"/>
  <c r="AK79" i="42"/>
  <c r="AK82" i="42" s="1"/>
  <c r="AN73" i="41"/>
  <c r="H13" i="41"/>
  <c r="AJ5" i="41"/>
  <c r="AJ13" i="41" s="1"/>
  <c r="AF44" i="41"/>
  <c r="AN3" i="41"/>
  <c r="AE77" i="41"/>
  <c r="AE79" i="41" s="1"/>
  <c r="AH5" i="40"/>
  <c r="AH13" i="40" s="1"/>
  <c r="AL3" i="40"/>
  <c r="Z42" i="40"/>
  <c r="Z47" i="40" s="1"/>
  <c r="AL73" i="40"/>
  <c r="G13" i="40"/>
  <c r="AE44" i="40"/>
  <c r="AE47" i="40" s="1"/>
  <c r="AD77" i="40"/>
  <c r="AG44" i="39"/>
  <c r="AG49" i="39" s="1"/>
  <c r="AF13" i="39"/>
  <c r="AI79" i="39"/>
  <c r="AI82" i="39" s="1"/>
  <c r="H79" i="39"/>
  <c r="H82" i="39" s="1"/>
  <c r="AK3" i="39"/>
  <c r="G46" i="39"/>
  <c r="G49" i="39" s="1"/>
  <c r="AK78" i="39"/>
  <c r="F13" i="39"/>
  <c r="Z42" i="39"/>
  <c r="C41" i="23"/>
  <c r="C39" i="23"/>
  <c r="C53" i="23"/>
  <c r="C44" i="23"/>
  <c r="AU51" i="49" l="1"/>
  <c r="AV44" i="49"/>
  <c r="AZ84" i="49"/>
  <c r="BA79" i="49"/>
  <c r="BA82" i="49" s="1"/>
  <c r="AM44" i="48"/>
  <c r="AM47" i="48" s="1"/>
  <c r="AL81" i="48"/>
  <c r="AM75" i="48"/>
  <c r="AS44" i="47"/>
  <c r="AR51" i="47"/>
  <c r="AW84" i="47"/>
  <c r="AX79" i="47"/>
  <c r="AX82" i="47" s="1"/>
  <c r="AL44" i="46"/>
  <c r="AL47" i="46" s="1"/>
  <c r="AK77" i="46"/>
  <c r="AK79" i="46" s="1"/>
  <c r="C43" i="23"/>
  <c r="AL51" i="44"/>
  <c r="AM44" i="44"/>
  <c r="AM49" i="44" s="1"/>
  <c r="AM15" i="44"/>
  <c r="AN5" i="44"/>
  <c r="AN13" i="44" s="1"/>
  <c r="AP79" i="44"/>
  <c r="AP82" i="44" s="1"/>
  <c r="AO84" i="44"/>
  <c r="AN15" i="43"/>
  <c r="AO5" i="43"/>
  <c r="AO13" i="43" s="1"/>
  <c r="AH49" i="43"/>
  <c r="AI42" i="43"/>
  <c r="AH75" i="43"/>
  <c r="AG81" i="43"/>
  <c r="AJ5" i="42"/>
  <c r="AJ13" i="42" s="1"/>
  <c r="H44" i="42"/>
  <c r="AN3" i="42"/>
  <c r="H5" i="42"/>
  <c r="AL79" i="42"/>
  <c r="AL82" i="42" s="1"/>
  <c r="AI44" i="42"/>
  <c r="AI49" i="42" s="1"/>
  <c r="AP78" i="42"/>
  <c r="AF75" i="41"/>
  <c r="AK5" i="41"/>
  <c r="AK13" i="41" s="1"/>
  <c r="E77" i="41"/>
  <c r="AO3" i="41"/>
  <c r="AF47" i="41"/>
  <c r="AO73" i="41"/>
  <c r="I5" i="41"/>
  <c r="AI5" i="40"/>
  <c r="AI13" i="40" s="1"/>
  <c r="H5" i="40"/>
  <c r="AF42" i="40"/>
  <c r="AD79" i="40"/>
  <c r="AM73" i="40"/>
  <c r="AM3" i="40"/>
  <c r="G5" i="39"/>
  <c r="AL78" i="39"/>
  <c r="AH44" i="39"/>
  <c r="AH49" i="39" s="1"/>
  <c r="AL3" i="39"/>
  <c r="AJ79" i="39"/>
  <c r="AJ82" i="39" s="1"/>
  <c r="H44" i="39"/>
  <c r="AA42" i="39"/>
  <c r="AG5" i="39"/>
  <c r="AG13" i="39" s="1"/>
  <c r="AB79" i="38"/>
  <c r="AA79" i="38"/>
  <c r="Z79" i="38"/>
  <c r="X79" i="38"/>
  <c r="Y75" i="38" s="1"/>
  <c r="Y77" i="38" s="1"/>
  <c r="W79" i="38"/>
  <c r="D78" i="38"/>
  <c r="G77" i="38"/>
  <c r="V76" i="38"/>
  <c r="E76" i="38" s="1"/>
  <c r="I76" i="38"/>
  <c r="I77" i="38" s="1"/>
  <c r="F76" i="38"/>
  <c r="F77" i="38" s="1"/>
  <c r="AC75" i="38"/>
  <c r="BG74" i="38"/>
  <c r="AT73" i="38"/>
  <c r="AU73" i="38" s="1"/>
  <c r="AV73" i="38" s="1"/>
  <c r="AW73" i="38" s="1"/>
  <c r="AX73" i="38" s="1"/>
  <c r="AY73" i="38" s="1"/>
  <c r="AZ73" i="38" s="1"/>
  <c r="BA73" i="38" s="1"/>
  <c r="BB73" i="38" s="1"/>
  <c r="BC73" i="38" s="1"/>
  <c r="BD73" i="38" s="1"/>
  <c r="BE73" i="38" s="1"/>
  <c r="AI73" i="38"/>
  <c r="AJ73" i="38" s="1"/>
  <c r="AK73" i="38" s="1"/>
  <c r="AL73" i="38" s="1"/>
  <c r="AM73" i="38" s="1"/>
  <c r="AN73" i="38" s="1"/>
  <c r="AO73" i="38" s="1"/>
  <c r="AP73" i="38" s="1"/>
  <c r="AQ73" i="38" s="1"/>
  <c r="AR73" i="38" s="1"/>
  <c r="AS73" i="38" s="1"/>
  <c r="W73" i="38"/>
  <c r="X73" i="38" s="1"/>
  <c r="Y73" i="38" s="1"/>
  <c r="Z73" i="38" s="1"/>
  <c r="AA73" i="38" s="1"/>
  <c r="AB73" i="38" s="1"/>
  <c r="AC73" i="38" s="1"/>
  <c r="AD73" i="38" s="1"/>
  <c r="AE73" i="38" s="1"/>
  <c r="AF73" i="38" s="1"/>
  <c r="AG73" i="38" s="1"/>
  <c r="G73" i="38"/>
  <c r="H73" i="38" s="1"/>
  <c r="I73" i="38" s="1"/>
  <c r="AT63" i="38"/>
  <c r="AU63" i="38" s="1"/>
  <c r="AV63" i="38" s="1"/>
  <c r="AW63" i="38" s="1"/>
  <c r="AX63" i="38" s="1"/>
  <c r="AY63" i="38" s="1"/>
  <c r="AZ63" i="38" s="1"/>
  <c r="BA63" i="38" s="1"/>
  <c r="BB63" i="38" s="1"/>
  <c r="BC63" i="38" s="1"/>
  <c r="BD63" i="38" s="1"/>
  <c r="BE63" i="38" s="1"/>
  <c r="AI63" i="38"/>
  <c r="AJ63" i="38" s="1"/>
  <c r="AK63" i="38" s="1"/>
  <c r="AL63" i="38" s="1"/>
  <c r="AM63" i="38" s="1"/>
  <c r="AN63" i="38" s="1"/>
  <c r="AO63" i="38" s="1"/>
  <c r="AP63" i="38" s="1"/>
  <c r="AQ63" i="38" s="1"/>
  <c r="AR63" i="38" s="1"/>
  <c r="AS63" i="38" s="1"/>
  <c r="W63" i="38"/>
  <c r="X63" i="38" s="1"/>
  <c r="Y63" i="38" s="1"/>
  <c r="Z63" i="38" s="1"/>
  <c r="AA63" i="38" s="1"/>
  <c r="AB63" i="38" s="1"/>
  <c r="AC63" i="38" s="1"/>
  <c r="AD63" i="38" s="1"/>
  <c r="AE63" i="38" s="1"/>
  <c r="AF63" i="38" s="1"/>
  <c r="AG63" i="38" s="1"/>
  <c r="G63" i="38"/>
  <c r="H63" i="38" s="1"/>
  <c r="I63" i="38" s="1"/>
  <c r="E61" i="38"/>
  <c r="D61" i="38"/>
  <c r="AQ60" i="38"/>
  <c r="AP60" i="38"/>
  <c r="AO60" i="38"/>
  <c r="AN60" i="38"/>
  <c r="AM60" i="38"/>
  <c r="AL60" i="38"/>
  <c r="AK60" i="38"/>
  <c r="AJ60" i="38"/>
  <c r="AI60" i="38"/>
  <c r="AH60" i="38"/>
  <c r="AF60" i="38"/>
  <c r="AE60" i="38"/>
  <c r="AD60" i="38"/>
  <c r="AC60" i="38"/>
  <c r="AB60" i="38"/>
  <c r="AA60" i="38"/>
  <c r="Z60" i="38"/>
  <c r="Y60" i="38"/>
  <c r="X60" i="38"/>
  <c r="W60" i="38"/>
  <c r="V60" i="38"/>
  <c r="I60" i="38"/>
  <c r="H60" i="38"/>
  <c r="G60" i="38"/>
  <c r="E59" i="38"/>
  <c r="D59" i="38"/>
  <c r="BE58" i="38"/>
  <c r="BD58" i="38"/>
  <c r="BC58" i="38"/>
  <c r="BB58" i="38"/>
  <c r="BA58" i="38"/>
  <c r="AZ58" i="38"/>
  <c r="AY58" i="38"/>
  <c r="AX58" i="38"/>
  <c r="AW58" i="38"/>
  <c r="AV58" i="38"/>
  <c r="AU58" i="38"/>
  <c r="AT58" i="38"/>
  <c r="AS58" i="38"/>
  <c r="AR58" i="38"/>
  <c r="AG58" i="38"/>
  <c r="D58" i="38" s="1"/>
  <c r="E58" i="38"/>
  <c r="E57" i="38"/>
  <c r="D57" i="38"/>
  <c r="E56" i="38"/>
  <c r="D56" i="38"/>
  <c r="E55" i="38"/>
  <c r="BE54" i="38"/>
  <c r="AT54" i="38"/>
  <c r="AS54" i="38"/>
  <c r="E54" i="38"/>
  <c r="D54" i="38"/>
  <c r="BE53" i="38"/>
  <c r="AT53" i="38"/>
  <c r="AS53" i="38"/>
  <c r="E53" i="38"/>
  <c r="D53" i="38"/>
  <c r="BE52" i="38"/>
  <c r="AT52" i="38"/>
  <c r="AS52" i="38"/>
  <c r="E52" i="38"/>
  <c r="D52" i="38"/>
  <c r="AT51" i="38"/>
  <c r="AU51" i="38" s="1"/>
  <c r="AV51" i="38" s="1"/>
  <c r="AW51" i="38" s="1"/>
  <c r="AX51" i="38" s="1"/>
  <c r="AY51" i="38" s="1"/>
  <c r="AZ51" i="38" s="1"/>
  <c r="BA51" i="38" s="1"/>
  <c r="BB51" i="38" s="1"/>
  <c r="BC51" i="38" s="1"/>
  <c r="BD51" i="38" s="1"/>
  <c r="BE51" i="38" s="1"/>
  <c r="AI51" i="38"/>
  <c r="AJ51" i="38" s="1"/>
  <c r="AK51" i="38" s="1"/>
  <c r="AL51" i="38" s="1"/>
  <c r="AM51" i="38" s="1"/>
  <c r="AN51" i="38" s="1"/>
  <c r="AO51" i="38" s="1"/>
  <c r="AP51" i="38" s="1"/>
  <c r="AQ51" i="38" s="1"/>
  <c r="AR51" i="38" s="1"/>
  <c r="AS51" i="38" s="1"/>
  <c r="W51" i="38"/>
  <c r="X51" i="38" s="1"/>
  <c r="Y51" i="38" s="1"/>
  <c r="Z51" i="38" s="1"/>
  <c r="AA51" i="38" s="1"/>
  <c r="AB51" i="38" s="1"/>
  <c r="AC51" i="38" s="1"/>
  <c r="AD51" i="38" s="1"/>
  <c r="AE51" i="38" s="1"/>
  <c r="AF51" i="38" s="1"/>
  <c r="AG51" i="38" s="1"/>
  <c r="G51" i="38"/>
  <c r="H51" i="38" s="1"/>
  <c r="I51" i="38" s="1"/>
  <c r="BL47" i="38"/>
  <c r="BJ47" i="38"/>
  <c r="BI47" i="38"/>
  <c r="BH47" i="38"/>
  <c r="BG47" i="38"/>
  <c r="AC47" i="38"/>
  <c r="AD42" i="38" s="1"/>
  <c r="AB47" i="38"/>
  <c r="AA47" i="38"/>
  <c r="V47" i="38"/>
  <c r="BJ46" i="38"/>
  <c r="BI46" i="38"/>
  <c r="BH46" i="38"/>
  <c r="U46" i="38"/>
  <c r="D46" i="38"/>
  <c r="D45" i="38"/>
  <c r="T44" i="38"/>
  <c r="T47" i="38" s="1"/>
  <c r="AE43" i="38"/>
  <c r="AD43" i="38"/>
  <c r="X43" i="38"/>
  <c r="W43" i="38"/>
  <c r="I43" i="38"/>
  <c r="F43" i="38"/>
  <c r="E43" i="38"/>
  <c r="D43" i="38"/>
  <c r="BG41" i="38"/>
  <c r="AT40" i="38"/>
  <c r="AU40" i="38" s="1"/>
  <c r="AV40" i="38" s="1"/>
  <c r="AW40" i="38" s="1"/>
  <c r="AX40" i="38" s="1"/>
  <c r="AY40" i="38" s="1"/>
  <c r="AZ40" i="38" s="1"/>
  <c r="BA40" i="38" s="1"/>
  <c r="BB40" i="38" s="1"/>
  <c r="BC40" i="38" s="1"/>
  <c r="BD40" i="38" s="1"/>
  <c r="BE40" i="38" s="1"/>
  <c r="AI40" i="38"/>
  <c r="W40" i="38"/>
  <c r="X40" i="38" s="1"/>
  <c r="Y40" i="38" s="1"/>
  <c r="Z40" i="38" s="1"/>
  <c r="AA40" i="38" s="1"/>
  <c r="AB40" i="38" s="1"/>
  <c r="AC40" i="38" s="1"/>
  <c r="AD40" i="38" s="1"/>
  <c r="AE40" i="38" s="1"/>
  <c r="AF40" i="38" s="1"/>
  <c r="AG40" i="38" s="1"/>
  <c r="G40" i="38"/>
  <c r="H40" i="38" s="1"/>
  <c r="I40" i="38" s="1"/>
  <c r="AT30" i="38"/>
  <c r="AU30" i="38" s="1"/>
  <c r="AV30" i="38" s="1"/>
  <c r="AW30" i="38" s="1"/>
  <c r="AX30" i="38" s="1"/>
  <c r="AY30" i="38" s="1"/>
  <c r="AZ30" i="38" s="1"/>
  <c r="BA30" i="38" s="1"/>
  <c r="BB30" i="38" s="1"/>
  <c r="BC30" i="38" s="1"/>
  <c r="BD30" i="38" s="1"/>
  <c r="BE30" i="38" s="1"/>
  <c r="AI30" i="38"/>
  <c r="AJ30" i="38" s="1"/>
  <c r="AK30" i="38" s="1"/>
  <c r="AL30" i="38" s="1"/>
  <c r="AM30" i="38" s="1"/>
  <c r="AN30" i="38" s="1"/>
  <c r="AO30" i="38" s="1"/>
  <c r="AP30" i="38" s="1"/>
  <c r="AQ30" i="38" s="1"/>
  <c r="AR30" i="38" s="1"/>
  <c r="AS30" i="38" s="1"/>
  <c r="W30" i="38"/>
  <c r="X30" i="38" s="1"/>
  <c r="Y30" i="38" s="1"/>
  <c r="Z30" i="38" s="1"/>
  <c r="AA30" i="38" s="1"/>
  <c r="AB30" i="38" s="1"/>
  <c r="AC30" i="38" s="1"/>
  <c r="AD30" i="38" s="1"/>
  <c r="AE30" i="38" s="1"/>
  <c r="AF30" i="38" s="1"/>
  <c r="AG30" i="38" s="1"/>
  <c r="G30" i="38"/>
  <c r="H30" i="38" s="1"/>
  <c r="I30" i="38" s="1"/>
  <c r="E28" i="38"/>
  <c r="D28" i="38"/>
  <c r="AQ27" i="38"/>
  <c r="AP27" i="38"/>
  <c r="AO27" i="38"/>
  <c r="AN27" i="38"/>
  <c r="AF27" i="38"/>
  <c r="AE27" i="38"/>
  <c r="AD27" i="38"/>
  <c r="AC27" i="38"/>
  <c r="AA27" i="38"/>
  <c r="Z27" i="38"/>
  <c r="Y27" i="38"/>
  <c r="X27" i="38"/>
  <c r="W27" i="38"/>
  <c r="V27" i="38"/>
  <c r="I27" i="38"/>
  <c r="H27" i="38"/>
  <c r="F27" i="38"/>
  <c r="E26" i="38"/>
  <c r="D26" i="38"/>
  <c r="E25" i="38"/>
  <c r="D25" i="38"/>
  <c r="AY24" i="38"/>
  <c r="AX24" i="38"/>
  <c r="AW24" i="38"/>
  <c r="AV24" i="38"/>
  <c r="AU24" i="38"/>
  <c r="AT24" i="38"/>
  <c r="AM24" i="38"/>
  <c r="AM27" i="38" s="1"/>
  <c r="AL24" i="38"/>
  <c r="AL27" i="38" s="1"/>
  <c r="AK24" i="38"/>
  <c r="AK27" i="38" s="1"/>
  <c r="AJ24" i="38"/>
  <c r="AJ27" i="38" s="1"/>
  <c r="AI24" i="38"/>
  <c r="AI27" i="38" s="1"/>
  <c r="AH24" i="38"/>
  <c r="AH27" i="38" s="1"/>
  <c r="AG24" i="38"/>
  <c r="AB24" i="38"/>
  <c r="E23" i="38"/>
  <c r="D23" i="38"/>
  <c r="E22" i="38"/>
  <c r="D22" i="38"/>
  <c r="E21" i="38"/>
  <c r="D21" i="38"/>
  <c r="BE20" i="38"/>
  <c r="AT20" i="38"/>
  <c r="AS20" i="38"/>
  <c r="E20" i="38"/>
  <c r="BE19" i="38"/>
  <c r="BE27" i="38" s="1"/>
  <c r="AT19" i="38"/>
  <c r="AS19" i="38"/>
  <c r="AS27" i="38" s="1"/>
  <c r="E19" i="38"/>
  <c r="AT18" i="38"/>
  <c r="AU18" i="38" s="1"/>
  <c r="AV18" i="38" s="1"/>
  <c r="AW18" i="38" s="1"/>
  <c r="AX18" i="38" s="1"/>
  <c r="AY18" i="38" s="1"/>
  <c r="AZ18" i="38" s="1"/>
  <c r="BA18" i="38" s="1"/>
  <c r="BB18" i="38" s="1"/>
  <c r="BC18" i="38" s="1"/>
  <c r="BD18" i="38" s="1"/>
  <c r="BE18" i="38" s="1"/>
  <c r="AI18" i="38"/>
  <c r="AJ18" i="38" s="1"/>
  <c r="AK18" i="38" s="1"/>
  <c r="AL18" i="38" s="1"/>
  <c r="AM18" i="38" s="1"/>
  <c r="AN18" i="38" s="1"/>
  <c r="AO18" i="38" s="1"/>
  <c r="AP18" i="38" s="1"/>
  <c r="AQ18" i="38" s="1"/>
  <c r="AR18" i="38" s="1"/>
  <c r="AS18" i="38" s="1"/>
  <c r="W18" i="38"/>
  <c r="X18" i="38" s="1"/>
  <c r="Y18" i="38" s="1"/>
  <c r="Z18" i="38" s="1"/>
  <c r="AA18" i="38" s="1"/>
  <c r="AB18" i="38" s="1"/>
  <c r="AC18" i="38" s="1"/>
  <c r="AD18" i="38" s="1"/>
  <c r="AE18" i="38" s="1"/>
  <c r="AF18" i="38" s="1"/>
  <c r="AG18" i="38" s="1"/>
  <c r="G18" i="38"/>
  <c r="H18" i="38" s="1"/>
  <c r="I18" i="38" s="1"/>
  <c r="AF13" i="38"/>
  <c r="AG5" i="38" s="1"/>
  <c r="AG8" i="38" s="1"/>
  <c r="AR11" i="38" s="1"/>
  <c r="AE13" i="38"/>
  <c r="AD13" i="38"/>
  <c r="AC13" i="38"/>
  <c r="AB13" i="38"/>
  <c r="AA13" i="38"/>
  <c r="Z13" i="38"/>
  <c r="Y13" i="38"/>
  <c r="X13" i="38"/>
  <c r="W13" i="38"/>
  <c r="V13" i="38"/>
  <c r="T13" i="38"/>
  <c r="U5" i="38" s="1"/>
  <c r="U13" i="38" s="1"/>
  <c r="D12" i="38"/>
  <c r="BL10" i="38"/>
  <c r="BJ10" i="38"/>
  <c r="BI10" i="38"/>
  <c r="BH10" i="38"/>
  <c r="BG10" i="38"/>
  <c r="AR10" i="38"/>
  <c r="AR9" i="38"/>
  <c r="F8" i="38"/>
  <c r="F13" i="38" s="1"/>
  <c r="G5" i="38" s="1"/>
  <c r="G8" i="38" s="1"/>
  <c r="E7" i="38"/>
  <c r="E6" i="38"/>
  <c r="AU3" i="38"/>
  <c r="AV3" i="38" s="1"/>
  <c r="AW3" i="38" s="1"/>
  <c r="AX3" i="38" s="1"/>
  <c r="AY3" i="38" s="1"/>
  <c r="AZ3" i="38" s="1"/>
  <c r="BA3" i="38" s="1"/>
  <c r="BB3" i="38" s="1"/>
  <c r="BC3" i="38" s="1"/>
  <c r="BD3" i="38" s="1"/>
  <c r="BE3" i="38" s="1"/>
  <c r="AI3" i="38"/>
  <c r="AJ3" i="38" s="1"/>
  <c r="W3" i="38"/>
  <c r="X3" i="38" s="1"/>
  <c r="Y3" i="38" s="1"/>
  <c r="Z3" i="38" s="1"/>
  <c r="AA3" i="38" s="1"/>
  <c r="AB3" i="38" s="1"/>
  <c r="AC3" i="38" s="1"/>
  <c r="AD3" i="38" s="1"/>
  <c r="AE3" i="38" s="1"/>
  <c r="AF3" i="38" s="1"/>
  <c r="AG3" i="38" s="1"/>
  <c r="G3" i="38"/>
  <c r="H3" i="38" s="1"/>
  <c r="I3" i="38" s="1"/>
  <c r="AE82" i="37"/>
  <c r="AD82" i="37"/>
  <c r="AC82" i="37"/>
  <c r="AB82" i="37"/>
  <c r="AA82" i="37"/>
  <c r="Z82" i="37"/>
  <c r="Y82" i="37"/>
  <c r="X82" i="37"/>
  <c r="W82" i="37"/>
  <c r="V82" i="37"/>
  <c r="AS81" i="37"/>
  <c r="C81" i="37"/>
  <c r="F80" i="37"/>
  <c r="E80" i="37"/>
  <c r="E82" i="37" s="1"/>
  <c r="F79" i="37" s="1"/>
  <c r="D80" i="37"/>
  <c r="C80" i="37"/>
  <c r="C82" i="37" s="1"/>
  <c r="AF79" i="37"/>
  <c r="AF82" i="37" s="1"/>
  <c r="AG79" i="37" s="1"/>
  <c r="AG82" i="37" s="1"/>
  <c r="AS78" i="37"/>
  <c r="AT78" i="37" s="1"/>
  <c r="AU78" i="37" s="1"/>
  <c r="AV78" i="37" s="1"/>
  <c r="AW78" i="37" s="1"/>
  <c r="AX78" i="37" s="1"/>
  <c r="AY78" i="37" s="1"/>
  <c r="AZ78" i="37" s="1"/>
  <c r="BA78" i="37" s="1"/>
  <c r="BB78" i="37" s="1"/>
  <c r="BC78" i="37" s="1"/>
  <c r="BD78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BF75" i="37"/>
  <c r="AS67" i="37"/>
  <c r="AT67" i="37" s="1"/>
  <c r="AU67" i="37" s="1"/>
  <c r="AV67" i="37" s="1"/>
  <c r="AW67" i="37" s="1"/>
  <c r="AX67" i="37" s="1"/>
  <c r="AY67" i="37" s="1"/>
  <c r="AZ67" i="37" s="1"/>
  <c r="BA67" i="37" s="1"/>
  <c r="BB67" i="37" s="1"/>
  <c r="BC67" i="37" s="1"/>
  <c r="BD67" i="37" s="1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F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BD63" i="37"/>
  <c r="BC63" i="37"/>
  <c r="BB63" i="37"/>
  <c r="BA63" i="37"/>
  <c r="AZ63" i="37"/>
  <c r="AY63" i="37"/>
  <c r="AX63" i="37"/>
  <c r="AW63" i="37"/>
  <c r="AV63" i="37"/>
  <c r="AU63" i="37"/>
  <c r="AT63" i="37"/>
  <c r="AS63" i="37"/>
  <c r="AR63" i="37"/>
  <c r="AQ63" i="37"/>
  <c r="AP63" i="37"/>
  <c r="AO63" i="37"/>
  <c r="AN63" i="37"/>
  <c r="AM63" i="37"/>
  <c r="AL63" i="37"/>
  <c r="AK63" i="37"/>
  <c r="AJ63" i="37"/>
  <c r="AI63" i="37"/>
  <c r="AH63" i="37"/>
  <c r="AG63" i="37"/>
  <c r="BD62" i="37"/>
  <c r="BC62" i="37"/>
  <c r="BB62" i="37"/>
  <c r="BA62" i="37"/>
  <c r="AZ62" i="37"/>
  <c r="AY62" i="37"/>
  <c r="AX62" i="37"/>
  <c r="AW62" i="37"/>
  <c r="AV62" i="37"/>
  <c r="AU62" i="37"/>
  <c r="AT62" i="37"/>
  <c r="AS62" i="37"/>
  <c r="AR62" i="37"/>
  <c r="AQ62" i="37"/>
  <c r="AP62" i="37"/>
  <c r="AO62" i="37"/>
  <c r="AN62" i="37"/>
  <c r="AM62" i="37"/>
  <c r="AL62" i="37"/>
  <c r="AK62" i="37"/>
  <c r="AJ62" i="37"/>
  <c r="AI62" i="37"/>
  <c r="AH62" i="37"/>
  <c r="AG62" i="37"/>
  <c r="BD61" i="37"/>
  <c r="BC61" i="37"/>
  <c r="BB61" i="37"/>
  <c r="BA61" i="37"/>
  <c r="AZ61" i="37"/>
  <c r="AY61" i="37"/>
  <c r="AX61" i="37"/>
  <c r="AW61" i="37"/>
  <c r="AV61" i="37"/>
  <c r="AU61" i="37"/>
  <c r="AT61" i="37"/>
  <c r="AS61" i="37"/>
  <c r="AR61" i="37"/>
  <c r="AQ61" i="37"/>
  <c r="AP61" i="37"/>
  <c r="AO61" i="37"/>
  <c r="AN61" i="37"/>
  <c r="AM61" i="37"/>
  <c r="AL61" i="37"/>
  <c r="AK61" i="37"/>
  <c r="AJ61" i="37"/>
  <c r="AI61" i="37"/>
  <c r="AH61" i="37"/>
  <c r="AG61" i="37"/>
  <c r="BD60" i="37"/>
  <c r="BC60" i="37"/>
  <c r="BB60" i="37"/>
  <c r="BA60" i="37"/>
  <c r="AZ60" i="37"/>
  <c r="AY60" i="37"/>
  <c r="AX60" i="37"/>
  <c r="AW60" i="37"/>
  <c r="AV60" i="37"/>
  <c r="AU60" i="37"/>
  <c r="AT60" i="37"/>
  <c r="AS60" i="37"/>
  <c r="AR60" i="37"/>
  <c r="AQ60" i="37"/>
  <c r="AP60" i="37"/>
  <c r="AO60" i="37"/>
  <c r="AN60" i="37"/>
  <c r="AM60" i="37"/>
  <c r="AL60" i="37"/>
  <c r="AK60" i="37"/>
  <c r="AJ60" i="37"/>
  <c r="AI60" i="37"/>
  <c r="AH60" i="37"/>
  <c r="AG60" i="37"/>
  <c r="BD59" i="37"/>
  <c r="BC59" i="37"/>
  <c r="BB59" i="37"/>
  <c r="BA59" i="37"/>
  <c r="AZ59" i="37"/>
  <c r="AY59" i="37"/>
  <c r="AX59" i="37"/>
  <c r="AW59" i="37"/>
  <c r="AV59" i="37"/>
  <c r="AU59" i="37"/>
  <c r="AT59" i="37"/>
  <c r="AS59" i="37"/>
  <c r="AR59" i="37"/>
  <c r="AQ59" i="37"/>
  <c r="AP59" i="37"/>
  <c r="AO59" i="37"/>
  <c r="AN59" i="37"/>
  <c r="AM59" i="37"/>
  <c r="AL59" i="37"/>
  <c r="AK59" i="37"/>
  <c r="AJ59" i="37"/>
  <c r="AI59" i="37"/>
  <c r="AH59" i="37"/>
  <c r="AG59" i="37"/>
  <c r="BD58" i="37"/>
  <c r="BC58" i="37"/>
  <c r="BB58" i="37"/>
  <c r="BA58" i="37"/>
  <c r="AZ58" i="37"/>
  <c r="AY58" i="37"/>
  <c r="AX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G58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BD56" i="37"/>
  <c r="BC56" i="37"/>
  <c r="BB56" i="37"/>
  <c r="BA56" i="37"/>
  <c r="AZ56" i="37"/>
  <c r="AY56" i="37"/>
  <c r="AX56" i="37"/>
  <c r="AW56" i="37"/>
  <c r="AV56" i="37"/>
  <c r="AU56" i="37"/>
  <c r="AT56" i="37"/>
  <c r="AS56" i="37"/>
  <c r="AR56" i="37"/>
  <c r="AQ56" i="37"/>
  <c r="AP56" i="37"/>
  <c r="AO56" i="37"/>
  <c r="AN56" i="37"/>
  <c r="AM56" i="37"/>
  <c r="AL56" i="37"/>
  <c r="AK56" i="37"/>
  <c r="AJ56" i="37"/>
  <c r="AI56" i="37"/>
  <c r="AH56" i="37"/>
  <c r="AG56" i="37"/>
  <c r="BD55" i="37"/>
  <c r="BD64" i="37" s="1"/>
  <c r="BC55" i="37"/>
  <c r="BB55" i="37"/>
  <c r="BA55" i="37"/>
  <c r="AZ55" i="37"/>
  <c r="AY55" i="37"/>
  <c r="AY64" i="37" s="1"/>
  <c r="AX55" i="37"/>
  <c r="AW55" i="37"/>
  <c r="AV55" i="37"/>
  <c r="AU55" i="37"/>
  <c r="AU80" i="37" s="1"/>
  <c r="AT55" i="37"/>
  <c r="AS55" i="37"/>
  <c r="AR55" i="37"/>
  <c r="AR64" i="37" s="1"/>
  <c r="AQ55" i="37"/>
  <c r="AP55" i="37"/>
  <c r="AO55" i="37"/>
  <c r="AN55" i="37"/>
  <c r="AN64" i="37" s="1"/>
  <c r="AM55" i="37"/>
  <c r="AL55" i="37"/>
  <c r="AK55" i="37"/>
  <c r="AJ55" i="37"/>
  <c r="AJ64" i="37" s="1"/>
  <c r="AI55" i="37"/>
  <c r="AH55" i="37"/>
  <c r="AG55" i="37"/>
  <c r="AS54" i="37"/>
  <c r="AT54" i="37" s="1"/>
  <c r="AU54" i="37" s="1"/>
  <c r="AV54" i="37" s="1"/>
  <c r="AW54" i="37" s="1"/>
  <c r="AX54" i="37" s="1"/>
  <c r="AY54" i="37" s="1"/>
  <c r="AZ54" i="37" s="1"/>
  <c r="BA54" i="37" s="1"/>
  <c r="BB54" i="37" s="1"/>
  <c r="BC54" i="37" s="1"/>
  <c r="BD54" i="37" s="1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F44" i="37" s="1"/>
  <c r="AD49" i="37"/>
  <c r="AC49" i="37"/>
  <c r="AB49" i="37"/>
  <c r="AA49" i="37"/>
  <c r="Z49" i="37"/>
  <c r="Y49" i="37"/>
  <c r="X49" i="37"/>
  <c r="W49" i="37"/>
  <c r="V49" i="37"/>
  <c r="C48" i="37"/>
  <c r="C47" i="37"/>
  <c r="BK46" i="37"/>
  <c r="BJ46" i="37"/>
  <c r="BI46" i="37"/>
  <c r="BH46" i="37"/>
  <c r="BG46" i="37"/>
  <c r="BF46" i="37"/>
  <c r="BI45" i="37"/>
  <c r="BH45" i="37"/>
  <c r="BG45" i="37"/>
  <c r="BD45" i="37"/>
  <c r="AR45" i="37"/>
  <c r="F45" i="37"/>
  <c r="E45" i="37"/>
  <c r="E46" i="37" s="1"/>
  <c r="E49" i="37" s="1"/>
  <c r="D45" i="37"/>
  <c r="C45" i="37"/>
  <c r="AS42" i="37"/>
  <c r="AT42" i="37" s="1"/>
  <c r="AU42" i="37" s="1"/>
  <c r="AV42" i="37" s="1"/>
  <c r="AW42" i="37" s="1"/>
  <c r="AX42" i="37" s="1"/>
  <c r="AY42" i="37" s="1"/>
  <c r="AZ42" i="37" s="1"/>
  <c r="BA42" i="37" s="1"/>
  <c r="BB42" i="37" s="1"/>
  <c r="BC42" i="37" s="1"/>
  <c r="BD42" i="37" s="1"/>
  <c r="AH42" i="37"/>
  <c r="AI42" i="37" s="1"/>
  <c r="AJ42" i="37" s="1"/>
  <c r="AK42" i="37" s="1"/>
  <c r="AL42" i="37" s="1"/>
  <c r="AM42" i="37" s="1"/>
  <c r="AN42" i="37" s="1"/>
  <c r="AO42" i="37" s="1"/>
  <c r="AP42" i="37" s="1"/>
  <c r="AQ42" i="37" s="1"/>
  <c r="AR42" i="37" s="1"/>
  <c r="V42" i="37"/>
  <c r="W42" i="37" s="1"/>
  <c r="F42" i="37"/>
  <c r="G42" i="37" s="1"/>
  <c r="H42" i="37" s="1"/>
  <c r="BF40" i="37"/>
  <c r="AS31" i="37"/>
  <c r="AT31" i="37" s="1"/>
  <c r="AU31" i="37" s="1"/>
  <c r="AV31" i="37" s="1"/>
  <c r="AW31" i="37" s="1"/>
  <c r="AX31" i="37" s="1"/>
  <c r="AY31" i="37" s="1"/>
  <c r="AZ31" i="37" s="1"/>
  <c r="BA31" i="37" s="1"/>
  <c r="BB31" i="37" s="1"/>
  <c r="BC31" i="37" s="1"/>
  <c r="BD31" i="37" s="1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F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BD27" i="37"/>
  <c r="BC27" i="37"/>
  <c r="BB27" i="37"/>
  <c r="BA27" i="37"/>
  <c r="AZ27" i="37"/>
  <c r="AY27" i="37"/>
  <c r="AX27" i="37"/>
  <c r="AW27" i="37"/>
  <c r="AV27" i="37"/>
  <c r="AU27" i="37"/>
  <c r="AT27" i="37"/>
  <c r="AS27" i="37"/>
  <c r="AR27" i="37"/>
  <c r="AQ27" i="37"/>
  <c r="AP27" i="37"/>
  <c r="AO27" i="37"/>
  <c r="AN27" i="37"/>
  <c r="AM27" i="37"/>
  <c r="AL27" i="37"/>
  <c r="AK27" i="37"/>
  <c r="AJ27" i="37"/>
  <c r="AI27" i="37"/>
  <c r="AH27" i="37"/>
  <c r="AG27" i="37"/>
  <c r="D26" i="37"/>
  <c r="C26" i="37"/>
  <c r="BD25" i="37"/>
  <c r="BC25" i="37"/>
  <c r="BB25" i="37"/>
  <c r="BA25" i="37"/>
  <c r="AZ25" i="37"/>
  <c r="AY25" i="37"/>
  <c r="AX25" i="37"/>
  <c r="AW25" i="37"/>
  <c r="AV25" i="37"/>
  <c r="AU25" i="37"/>
  <c r="AT25" i="37"/>
  <c r="AS25" i="37"/>
  <c r="AR25" i="37"/>
  <c r="AQ25" i="37"/>
  <c r="AP25" i="37"/>
  <c r="AO25" i="37"/>
  <c r="AN25" i="37"/>
  <c r="AM25" i="37"/>
  <c r="AL25" i="37"/>
  <c r="AK25" i="37"/>
  <c r="AJ25" i="37"/>
  <c r="AI25" i="37"/>
  <c r="AH25" i="37"/>
  <c r="AG25" i="37"/>
  <c r="D24" i="37"/>
  <c r="C24" i="37"/>
  <c r="BD23" i="37"/>
  <c r="BC23" i="37"/>
  <c r="BB23" i="37"/>
  <c r="BA23" i="37"/>
  <c r="AZ23" i="37"/>
  <c r="AY23" i="37"/>
  <c r="AX23" i="37"/>
  <c r="AW23" i="37"/>
  <c r="AV23" i="37"/>
  <c r="AU23" i="37"/>
  <c r="AT23" i="37"/>
  <c r="AS23" i="37"/>
  <c r="AR23" i="37"/>
  <c r="AQ23" i="37"/>
  <c r="AP23" i="37"/>
  <c r="AO23" i="37"/>
  <c r="AN23" i="37"/>
  <c r="AM23" i="37"/>
  <c r="AL23" i="37"/>
  <c r="AK23" i="37"/>
  <c r="AJ23" i="37"/>
  <c r="AI23" i="37"/>
  <c r="AH23" i="37"/>
  <c r="AG23" i="37"/>
  <c r="BD21" i="37"/>
  <c r="BC21" i="37"/>
  <c r="BB21" i="37"/>
  <c r="BA21" i="37"/>
  <c r="AZ21" i="37"/>
  <c r="AY21" i="37"/>
  <c r="AX21" i="37"/>
  <c r="AW21" i="37"/>
  <c r="AV21" i="37"/>
  <c r="AU21" i="37"/>
  <c r="AT21" i="37"/>
  <c r="AS21" i="37"/>
  <c r="AR21" i="37"/>
  <c r="AQ21" i="37"/>
  <c r="AP21" i="37"/>
  <c r="AO21" i="37"/>
  <c r="AN21" i="37"/>
  <c r="AM21" i="37"/>
  <c r="AL21" i="37"/>
  <c r="AK21" i="37"/>
  <c r="AJ21" i="37"/>
  <c r="AI21" i="37"/>
  <c r="AH21" i="37"/>
  <c r="AG21" i="37"/>
  <c r="BD20" i="37"/>
  <c r="BC20" i="37"/>
  <c r="BB20" i="37"/>
  <c r="BA20" i="37"/>
  <c r="AZ20" i="37"/>
  <c r="AY20" i="37"/>
  <c r="AX20" i="37"/>
  <c r="AW20" i="37"/>
  <c r="AV20" i="37"/>
  <c r="AU20" i="37"/>
  <c r="AT20" i="37"/>
  <c r="AS20" i="37"/>
  <c r="AR20" i="37"/>
  <c r="AQ20" i="37"/>
  <c r="AP20" i="37"/>
  <c r="AO20" i="37"/>
  <c r="AN20" i="37"/>
  <c r="AM20" i="37"/>
  <c r="AL20" i="37"/>
  <c r="AK20" i="37"/>
  <c r="AJ20" i="37"/>
  <c r="AI20" i="37"/>
  <c r="AH20" i="37"/>
  <c r="AG20" i="37"/>
  <c r="BD19" i="37"/>
  <c r="BC19" i="37"/>
  <c r="BB19" i="37"/>
  <c r="BA19" i="37"/>
  <c r="AZ19" i="37"/>
  <c r="AY19" i="37"/>
  <c r="AX19" i="37"/>
  <c r="AW19" i="37"/>
  <c r="AV19" i="37"/>
  <c r="AU19" i="37"/>
  <c r="AT19" i="37"/>
  <c r="AS19" i="37"/>
  <c r="AR19" i="37"/>
  <c r="AQ19" i="37"/>
  <c r="AP19" i="37"/>
  <c r="AO19" i="37"/>
  <c r="AN19" i="37"/>
  <c r="AM19" i="37"/>
  <c r="AL19" i="37"/>
  <c r="AK19" i="37"/>
  <c r="AJ19" i="37"/>
  <c r="AI19" i="37"/>
  <c r="AH19" i="37"/>
  <c r="AG19" i="37"/>
  <c r="AS18" i="37"/>
  <c r="AT18" i="37" s="1"/>
  <c r="AU18" i="37" s="1"/>
  <c r="AV18" i="37" s="1"/>
  <c r="AW18" i="37" s="1"/>
  <c r="AX18" i="37" s="1"/>
  <c r="AY18" i="37" s="1"/>
  <c r="AZ18" i="37" s="1"/>
  <c r="BA18" i="37" s="1"/>
  <c r="BB18" i="37" s="1"/>
  <c r="BC18" i="37" s="1"/>
  <c r="BD18" i="37" s="1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F8" i="37" s="1"/>
  <c r="AQ11" i="37" s="1"/>
  <c r="C11" i="37" s="1"/>
  <c r="AD13" i="37"/>
  <c r="AC13" i="37"/>
  <c r="AB13" i="37"/>
  <c r="AA13" i="37"/>
  <c r="Z13" i="37"/>
  <c r="Y13" i="37"/>
  <c r="X13" i="37"/>
  <c r="W13" i="37"/>
  <c r="V13" i="37"/>
  <c r="AF12" i="37"/>
  <c r="AQ10" i="37" s="1"/>
  <c r="C10" i="37" s="1"/>
  <c r="C12" i="37"/>
  <c r="BK10" i="37"/>
  <c r="BI10" i="37"/>
  <c r="BH10" i="37"/>
  <c r="BG10" i="37"/>
  <c r="BF10" i="37"/>
  <c r="AQ9" i="37"/>
  <c r="C9" i="37" s="1"/>
  <c r="E8" i="37"/>
  <c r="E13" i="37" s="1"/>
  <c r="F5" i="37" s="1"/>
  <c r="D7" i="37"/>
  <c r="D6" i="37"/>
  <c r="AT3" i="37"/>
  <c r="AU3" i="37" s="1"/>
  <c r="AV3" i="37" s="1"/>
  <c r="AW3" i="37" s="1"/>
  <c r="AX3" i="37" s="1"/>
  <c r="AY3" i="37" s="1"/>
  <c r="AZ3" i="37" s="1"/>
  <c r="BA3" i="37" s="1"/>
  <c r="BB3" i="37" s="1"/>
  <c r="BC3" i="37" s="1"/>
  <c r="BD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V3" i="37"/>
  <c r="W3" i="37" s="1"/>
  <c r="X3" i="37" s="1"/>
  <c r="Y3" i="37" s="1"/>
  <c r="Z3" i="37" s="1"/>
  <c r="AA3" i="37" s="1"/>
  <c r="AB3" i="37" s="1"/>
  <c r="AC3" i="37" s="1"/>
  <c r="AD3" i="37" s="1"/>
  <c r="AE3" i="37" s="1"/>
  <c r="AF3" i="37" s="1"/>
  <c r="F3" i="37"/>
  <c r="G3" i="37" s="1"/>
  <c r="H3" i="37" s="1"/>
  <c r="BB79" i="49" l="1"/>
  <c r="BB82" i="49" s="1"/>
  <c r="BA84" i="49"/>
  <c r="AV46" i="49"/>
  <c r="AV49" i="49"/>
  <c r="AM49" i="48"/>
  <c r="AN42" i="48"/>
  <c r="AM77" i="48"/>
  <c r="AM79" i="48" s="1"/>
  <c r="AS46" i="47"/>
  <c r="AS49" i="47"/>
  <c r="AX84" i="47"/>
  <c r="AY79" i="47"/>
  <c r="AY82" i="47" s="1"/>
  <c r="AL75" i="46"/>
  <c r="AK81" i="46"/>
  <c r="AM42" i="46"/>
  <c r="AL49" i="46"/>
  <c r="D76" i="38"/>
  <c r="AO28" i="37"/>
  <c r="AS28" i="37"/>
  <c r="BA45" i="37"/>
  <c r="E27" i="38"/>
  <c r="AO5" i="44"/>
  <c r="AO13" i="44" s="1"/>
  <c r="AN15" i="44"/>
  <c r="AM51" i="44"/>
  <c r="AN44" i="44"/>
  <c r="AN49" i="44" s="1"/>
  <c r="AQ79" i="44"/>
  <c r="AQ82" i="44" s="1"/>
  <c r="AP84" i="44"/>
  <c r="AO15" i="43"/>
  <c r="AP5" i="43"/>
  <c r="AP13" i="43" s="1"/>
  <c r="AH77" i="43"/>
  <c r="AH79" i="43" s="1"/>
  <c r="AI44" i="43"/>
  <c r="AQ28" i="37"/>
  <c r="BC28" i="37"/>
  <c r="AJ28" i="37"/>
  <c r="AN28" i="37"/>
  <c r="AR28" i="37"/>
  <c r="AV45" i="37"/>
  <c r="AZ45" i="37"/>
  <c r="BD28" i="37"/>
  <c r="F82" i="37"/>
  <c r="G79" i="37" s="1"/>
  <c r="G82" i="37" s="1"/>
  <c r="D27" i="37"/>
  <c r="D63" i="37"/>
  <c r="AM28" i="37"/>
  <c r="AK5" i="42"/>
  <c r="AK13" i="42" s="1"/>
  <c r="AO3" i="42"/>
  <c r="AQ78" i="42"/>
  <c r="AM79" i="42"/>
  <c r="AM82" i="42" s="1"/>
  <c r="H46" i="42"/>
  <c r="H49" i="42" s="1"/>
  <c r="AJ44" i="42"/>
  <c r="AJ49" i="42" s="1"/>
  <c r="H8" i="42"/>
  <c r="D8" i="42" s="1"/>
  <c r="AP73" i="41"/>
  <c r="AF77" i="41"/>
  <c r="AF79" i="41" s="1"/>
  <c r="I8" i="41"/>
  <c r="E8" i="41" s="1"/>
  <c r="I13" i="41"/>
  <c r="AL5" i="41"/>
  <c r="AL13" i="41" s="1"/>
  <c r="AG42" i="41"/>
  <c r="AP3" i="41"/>
  <c r="C62" i="37"/>
  <c r="AL64" i="37"/>
  <c r="AJ5" i="40"/>
  <c r="AJ13" i="40" s="1"/>
  <c r="AE75" i="40"/>
  <c r="AN3" i="40"/>
  <c r="AF44" i="40"/>
  <c r="AN73" i="40"/>
  <c r="H8" i="40"/>
  <c r="H13" i="40" s="1"/>
  <c r="AH5" i="39"/>
  <c r="AH13" i="39" s="1"/>
  <c r="AI44" i="39"/>
  <c r="AI49" i="39" s="1"/>
  <c r="G8" i="39"/>
  <c r="G13" i="39" s="1"/>
  <c r="AB42" i="39"/>
  <c r="H46" i="39"/>
  <c r="H49" i="39" s="1"/>
  <c r="AK79" i="39"/>
  <c r="AK82" i="39" s="1"/>
  <c r="AM3" i="39"/>
  <c r="AM78" i="39"/>
  <c r="AS45" i="37"/>
  <c r="D21" i="37"/>
  <c r="C21" i="37"/>
  <c r="AV28" i="37"/>
  <c r="C23" i="37"/>
  <c r="AP28" i="37"/>
  <c r="AT28" i="37"/>
  <c r="C27" i="37"/>
  <c r="D28" i="37"/>
  <c r="AZ28" i="37"/>
  <c r="BA28" i="37"/>
  <c r="D55" i="37"/>
  <c r="AM64" i="37"/>
  <c r="AQ64" i="37"/>
  <c r="AY80" i="37"/>
  <c r="BC64" i="37"/>
  <c r="AH64" i="37"/>
  <c r="AT80" i="37"/>
  <c r="AX64" i="37"/>
  <c r="BB64" i="37"/>
  <c r="C59" i="37"/>
  <c r="AG13" i="38"/>
  <c r="AH5" i="38" s="1"/>
  <c r="AH13" i="38" s="1"/>
  <c r="AT27" i="38"/>
  <c r="AD44" i="38"/>
  <c r="AD47" i="38" s="1"/>
  <c r="C57" i="37"/>
  <c r="AK28" i="37"/>
  <c r="D59" i="37"/>
  <c r="C25" i="37"/>
  <c r="U42" i="38"/>
  <c r="U47" i="38" s="1"/>
  <c r="AJ40" i="38"/>
  <c r="AK3" i="38"/>
  <c r="G13" i="38"/>
  <c r="AG27" i="38"/>
  <c r="E24" i="38"/>
  <c r="W42" i="38"/>
  <c r="W47" i="38" s="1"/>
  <c r="BK78" i="38"/>
  <c r="BL78" i="38"/>
  <c r="AC77" i="38"/>
  <c r="D24" i="38"/>
  <c r="E60" i="38"/>
  <c r="Y79" i="38"/>
  <c r="AT43" i="38"/>
  <c r="F8" i="37"/>
  <c r="F13" i="37" s="1"/>
  <c r="AI28" i="37"/>
  <c r="D19" i="37"/>
  <c r="AU45" i="37"/>
  <c r="AU28" i="37"/>
  <c r="AY45" i="37"/>
  <c r="AY28" i="37"/>
  <c r="D58" i="37"/>
  <c r="C58" i="37"/>
  <c r="AH79" i="37"/>
  <c r="AH82" i="37" s="1"/>
  <c r="C19" i="37"/>
  <c r="F44" i="37"/>
  <c r="D61" i="37"/>
  <c r="C61" i="37"/>
  <c r="D20" i="37"/>
  <c r="C20" i="37"/>
  <c r="AG28" i="37"/>
  <c r="AW28" i="37"/>
  <c r="AW45" i="37"/>
  <c r="X42" i="37"/>
  <c r="AI64" i="37"/>
  <c r="C56" i="37"/>
  <c r="AH28" i="37"/>
  <c r="AL28" i="37"/>
  <c r="AT45" i="37"/>
  <c r="AX28" i="37"/>
  <c r="AX45" i="37"/>
  <c r="BB28" i="37"/>
  <c r="BB45" i="37"/>
  <c r="AV80" i="37"/>
  <c r="AV64" i="37"/>
  <c r="AZ80" i="37"/>
  <c r="AZ64" i="37"/>
  <c r="AG64" i="37"/>
  <c r="C55" i="37"/>
  <c r="AK64" i="37"/>
  <c r="AO64" i="37"/>
  <c r="AS64" i="37"/>
  <c r="AW64" i="37"/>
  <c r="AW80" i="37"/>
  <c r="BA64" i="37"/>
  <c r="AT64" i="37"/>
  <c r="AX80" i="37"/>
  <c r="D25" i="37"/>
  <c r="AF46" i="37"/>
  <c r="D46" i="37" s="1"/>
  <c r="D56" i="37"/>
  <c r="D60" i="37"/>
  <c r="C60" i="37"/>
  <c r="C63" i="37"/>
  <c r="AS80" i="37"/>
  <c r="AF13" i="37"/>
  <c r="D23" i="37"/>
  <c r="AU64" i="37"/>
  <c r="AP64" i="37"/>
  <c r="BB80" i="37"/>
  <c r="D57" i="37"/>
  <c r="D64" i="37"/>
  <c r="BA80" i="37"/>
  <c r="D62" i="37"/>
  <c r="C53" i="20"/>
  <c r="C6" i="20"/>
  <c r="C19" i="20"/>
  <c r="C5" i="20"/>
  <c r="C9" i="20"/>
  <c r="C15" i="20"/>
  <c r="C12" i="20"/>
  <c r="C18" i="20"/>
  <c r="C21" i="20"/>
  <c r="C4" i="20"/>
  <c r="C10" i="20"/>
  <c r="AW44" i="49" l="1"/>
  <c r="AV51" i="49"/>
  <c r="BC79" i="49"/>
  <c r="BC82" i="49" s="1"/>
  <c r="BB84" i="49"/>
  <c r="AN75" i="48"/>
  <c r="AM81" i="48"/>
  <c r="AN44" i="48"/>
  <c r="AN47" i="48" s="1"/>
  <c r="AZ79" i="47"/>
  <c r="AZ82" i="47" s="1"/>
  <c r="AY84" i="47"/>
  <c r="AS51" i="47"/>
  <c r="AT44" i="47"/>
  <c r="AM44" i="46"/>
  <c r="AM47" i="46" s="1"/>
  <c r="AL77" i="46"/>
  <c r="AL79" i="46" s="1"/>
  <c r="BJ76" i="37"/>
  <c r="BK77" i="37"/>
  <c r="BJ77" i="37"/>
  <c r="AN51" i="44"/>
  <c r="AO44" i="44"/>
  <c r="AO49" i="44" s="1"/>
  <c r="AQ84" i="44"/>
  <c r="AR79" i="44"/>
  <c r="AR82" i="44" s="1"/>
  <c r="AO15" i="44"/>
  <c r="AP5" i="44"/>
  <c r="AP13" i="44" s="1"/>
  <c r="AH81" i="43"/>
  <c r="AI75" i="43"/>
  <c r="AP15" i="43"/>
  <c r="AQ5" i="43"/>
  <c r="AQ13" i="43" s="1"/>
  <c r="AI47" i="43"/>
  <c r="AL5" i="42"/>
  <c r="AL13" i="42" s="1"/>
  <c r="AP3" i="42"/>
  <c r="H13" i="42"/>
  <c r="AK44" i="42"/>
  <c r="AK49" i="42" s="1"/>
  <c r="AN79" i="42"/>
  <c r="AN82" i="42" s="1"/>
  <c r="AR78" i="42"/>
  <c r="BJ77" i="42" s="1"/>
  <c r="AG75" i="41"/>
  <c r="AQ3" i="41"/>
  <c r="AG44" i="41"/>
  <c r="AM5" i="41"/>
  <c r="AM13" i="41" s="1"/>
  <c r="AQ73" i="41"/>
  <c r="AK5" i="40"/>
  <c r="AK13" i="40" s="1"/>
  <c r="AO3" i="40"/>
  <c r="I5" i="40"/>
  <c r="AE77" i="40"/>
  <c r="AO73" i="40"/>
  <c r="AF47" i="40"/>
  <c r="H5" i="39"/>
  <c r="AN3" i="39"/>
  <c r="AI5" i="39"/>
  <c r="AI13" i="39" s="1"/>
  <c r="AJ44" i="39"/>
  <c r="AJ49" i="39" s="1"/>
  <c r="AN78" i="39"/>
  <c r="AL79" i="39"/>
  <c r="AL82" i="39" s="1"/>
  <c r="AC42" i="39"/>
  <c r="AE42" i="38"/>
  <c r="AE44" i="38" s="1"/>
  <c r="AE47" i="38" s="1"/>
  <c r="C64" i="37"/>
  <c r="AK40" i="38"/>
  <c r="AC79" i="38"/>
  <c r="X42" i="38"/>
  <c r="X47" i="38" s="1"/>
  <c r="AL3" i="38"/>
  <c r="AI5" i="38"/>
  <c r="AI13" i="38" s="1"/>
  <c r="H5" i="38"/>
  <c r="G5" i="37"/>
  <c r="H79" i="37"/>
  <c r="H82" i="37" s="1"/>
  <c r="C28" i="37"/>
  <c r="AF49" i="37"/>
  <c r="AG5" i="37"/>
  <c r="AG13" i="37" s="1"/>
  <c r="Y42" i="37"/>
  <c r="BK76" i="37"/>
  <c r="F46" i="37"/>
  <c r="F49" i="37" s="1"/>
  <c r="AI79" i="37"/>
  <c r="AI82" i="37" s="1"/>
  <c r="C33" i="20"/>
  <c r="C52" i="20" s="1"/>
  <c r="C44" i="20"/>
  <c r="AW46" i="49" l="1"/>
  <c r="AW49" i="49" s="1"/>
  <c r="BC84" i="49"/>
  <c r="BD79" i="49"/>
  <c r="BD82" i="49" s="1"/>
  <c r="BD84" i="49" s="1"/>
  <c r="AN49" i="48"/>
  <c r="AO42" i="48"/>
  <c r="AN77" i="48"/>
  <c r="AN79" i="48" s="1"/>
  <c r="AT46" i="47"/>
  <c r="AT49" i="47" s="1"/>
  <c r="BA79" i="47"/>
  <c r="BA82" i="47" s="1"/>
  <c r="AZ84" i="47"/>
  <c r="AM49" i="46"/>
  <c r="AN42" i="46"/>
  <c r="AL81" i="46"/>
  <c r="AM75" i="46"/>
  <c r="BK80" i="37"/>
  <c r="AR84" i="44"/>
  <c r="AS79" i="44"/>
  <c r="AS82" i="44" s="1"/>
  <c r="AP15" i="44"/>
  <c r="AQ5" i="44"/>
  <c r="AO51" i="44"/>
  <c r="AP44" i="44"/>
  <c r="AP49" i="44" s="1"/>
  <c r="AI49" i="43"/>
  <c r="AJ42" i="43"/>
  <c r="AI77" i="43"/>
  <c r="AI79" i="43" s="1"/>
  <c r="AR5" i="43"/>
  <c r="AQ15" i="43"/>
  <c r="AM5" i="42"/>
  <c r="AM13" i="42" s="1"/>
  <c r="AO79" i="42"/>
  <c r="AO82" i="42" s="1"/>
  <c r="AL44" i="42"/>
  <c r="AL49" i="42" s="1"/>
  <c r="BJ76" i="42"/>
  <c r="BK77" i="42"/>
  <c r="BK76" i="42"/>
  <c r="AQ3" i="42"/>
  <c r="AR73" i="41"/>
  <c r="AG47" i="41"/>
  <c r="AG77" i="41"/>
  <c r="D77" i="41" s="1"/>
  <c r="AR3" i="41"/>
  <c r="AN5" i="41"/>
  <c r="AN13" i="41" s="1"/>
  <c r="AL5" i="40"/>
  <c r="AL13" i="40" s="1"/>
  <c r="AP73" i="40"/>
  <c r="E77" i="40"/>
  <c r="AE79" i="40"/>
  <c r="I8" i="40"/>
  <c r="E8" i="40" s="1"/>
  <c r="AP3" i="40"/>
  <c r="AG42" i="40"/>
  <c r="AM79" i="39"/>
  <c r="AM82" i="39" s="1"/>
  <c r="AJ5" i="39"/>
  <c r="AJ13" i="39" s="1"/>
  <c r="AO3" i="39"/>
  <c r="AO78" i="39"/>
  <c r="AD42" i="39"/>
  <c r="AK44" i="39"/>
  <c r="AK49" i="39" s="1"/>
  <c r="H8" i="39"/>
  <c r="D8" i="39" s="1"/>
  <c r="Y42" i="38"/>
  <c r="Y47" i="38" s="1"/>
  <c r="H8" i="38"/>
  <c r="AL40" i="38"/>
  <c r="AD75" i="38"/>
  <c r="AJ5" i="38"/>
  <c r="AJ13" i="38" s="1"/>
  <c r="AM3" i="38"/>
  <c r="AF42" i="38"/>
  <c r="AH5" i="37"/>
  <c r="AH13" i="37" s="1"/>
  <c r="G8" i="37"/>
  <c r="G13" i="37" s="1"/>
  <c r="G44" i="37"/>
  <c r="AJ79" i="37"/>
  <c r="AJ82" i="37" s="1"/>
  <c r="Z42" i="37"/>
  <c r="AG44" i="37"/>
  <c r="AG49" i="37" s="1"/>
  <c r="AE82" i="36"/>
  <c r="AD82" i="36"/>
  <c r="AC82" i="36"/>
  <c r="AB82" i="36"/>
  <c r="AA82" i="36"/>
  <c r="Z82" i="36"/>
  <c r="Y82" i="36"/>
  <c r="X82" i="36"/>
  <c r="W82" i="36"/>
  <c r="V82" i="36"/>
  <c r="AS81" i="36"/>
  <c r="C81" i="36"/>
  <c r="F80" i="36"/>
  <c r="E80" i="36"/>
  <c r="E82" i="36" s="1"/>
  <c r="F79" i="36" s="1"/>
  <c r="D80" i="36"/>
  <c r="C80" i="36"/>
  <c r="C82" i="36" s="1"/>
  <c r="AF79" i="36"/>
  <c r="AF82" i="36" s="1"/>
  <c r="AS78" i="36"/>
  <c r="AT78" i="36" s="1"/>
  <c r="AU78" i="36" s="1"/>
  <c r="AV78" i="36" s="1"/>
  <c r="AW78" i="36" s="1"/>
  <c r="AX78" i="36" s="1"/>
  <c r="AY78" i="36" s="1"/>
  <c r="AZ78" i="36" s="1"/>
  <c r="BA78" i="36" s="1"/>
  <c r="BB78" i="36" s="1"/>
  <c r="BC78" i="36" s="1"/>
  <c r="BD78" i="36" s="1"/>
  <c r="AH78" i="36"/>
  <c r="AI78" i="36" s="1"/>
  <c r="AJ78" i="36" s="1"/>
  <c r="AK78" i="36" s="1"/>
  <c r="AL78" i="36" s="1"/>
  <c r="AM78" i="36" s="1"/>
  <c r="AN78" i="36" s="1"/>
  <c r="AO78" i="36" s="1"/>
  <c r="AP78" i="36" s="1"/>
  <c r="AQ78" i="36" s="1"/>
  <c r="AR78" i="36" s="1"/>
  <c r="V78" i="36"/>
  <c r="W78" i="36" s="1"/>
  <c r="X78" i="36" s="1"/>
  <c r="Y78" i="36" s="1"/>
  <c r="Z78" i="36" s="1"/>
  <c r="AA78" i="36" s="1"/>
  <c r="AB78" i="36" s="1"/>
  <c r="AC78" i="36" s="1"/>
  <c r="AD78" i="36" s="1"/>
  <c r="AE78" i="36" s="1"/>
  <c r="AF78" i="36" s="1"/>
  <c r="F78" i="36"/>
  <c r="G78" i="36" s="1"/>
  <c r="H78" i="36" s="1"/>
  <c r="BF75" i="36"/>
  <c r="AS67" i="36"/>
  <c r="AT67" i="36" s="1"/>
  <c r="AU67" i="36" s="1"/>
  <c r="AV67" i="36" s="1"/>
  <c r="AW67" i="36" s="1"/>
  <c r="AX67" i="36" s="1"/>
  <c r="AY67" i="36" s="1"/>
  <c r="AZ67" i="36" s="1"/>
  <c r="BA67" i="36" s="1"/>
  <c r="BB67" i="36" s="1"/>
  <c r="BC67" i="36" s="1"/>
  <c r="BD67" i="36" s="1"/>
  <c r="AH67" i="36"/>
  <c r="AI67" i="36" s="1"/>
  <c r="AJ67" i="36" s="1"/>
  <c r="AK67" i="36" s="1"/>
  <c r="AL67" i="36" s="1"/>
  <c r="AM67" i="36" s="1"/>
  <c r="AN67" i="36" s="1"/>
  <c r="AO67" i="36" s="1"/>
  <c r="AP67" i="36" s="1"/>
  <c r="AQ67" i="36" s="1"/>
  <c r="AR67" i="36" s="1"/>
  <c r="V67" i="36"/>
  <c r="W67" i="36" s="1"/>
  <c r="X67" i="36" s="1"/>
  <c r="Y67" i="36" s="1"/>
  <c r="Z67" i="36" s="1"/>
  <c r="AA67" i="36" s="1"/>
  <c r="AB67" i="36" s="1"/>
  <c r="AC67" i="36" s="1"/>
  <c r="AD67" i="36" s="1"/>
  <c r="AE67" i="36" s="1"/>
  <c r="AF67" i="36" s="1"/>
  <c r="F67" i="36"/>
  <c r="G67" i="36" s="1"/>
  <c r="H67" i="36" s="1"/>
  <c r="D65" i="36"/>
  <c r="C65" i="36"/>
  <c r="AF64" i="36"/>
  <c r="AE64" i="36"/>
  <c r="AD64" i="36"/>
  <c r="AC64" i="36"/>
  <c r="AB64" i="36"/>
  <c r="AA64" i="36"/>
  <c r="Z64" i="36"/>
  <c r="Y64" i="36"/>
  <c r="X64" i="36"/>
  <c r="W64" i="36"/>
  <c r="V64" i="36"/>
  <c r="H64" i="36"/>
  <c r="G64" i="36"/>
  <c r="F64" i="36"/>
  <c r="E64" i="36"/>
  <c r="BD63" i="36"/>
  <c r="BC63" i="36"/>
  <c r="BB63" i="36"/>
  <c r="BA63" i="36"/>
  <c r="AZ63" i="36"/>
  <c r="AY63" i="36"/>
  <c r="AX63" i="36"/>
  <c r="AW63" i="36"/>
  <c r="AV63" i="36"/>
  <c r="AU63" i="36"/>
  <c r="AT63" i="36"/>
  <c r="AS63" i="36"/>
  <c r="AR63" i="36"/>
  <c r="AQ63" i="36"/>
  <c r="AP63" i="36"/>
  <c r="AO63" i="36"/>
  <c r="AN63" i="36"/>
  <c r="AM63" i="36"/>
  <c r="AL63" i="36"/>
  <c r="AK63" i="36"/>
  <c r="AJ63" i="36"/>
  <c r="AI63" i="36"/>
  <c r="AH63" i="36"/>
  <c r="AG63" i="36"/>
  <c r="BD62" i="36"/>
  <c r="BC62" i="36"/>
  <c r="BB62" i="36"/>
  <c r="BA62" i="36"/>
  <c r="AZ62" i="36"/>
  <c r="AY62" i="36"/>
  <c r="AX62" i="36"/>
  <c r="AW62" i="36"/>
  <c r="AV62" i="36"/>
  <c r="AU62" i="36"/>
  <c r="AT62" i="36"/>
  <c r="AS62" i="36"/>
  <c r="AR62" i="36"/>
  <c r="AQ62" i="36"/>
  <c r="AP62" i="36"/>
  <c r="AO62" i="36"/>
  <c r="AN62" i="36"/>
  <c r="AM62" i="36"/>
  <c r="AL62" i="36"/>
  <c r="AK62" i="36"/>
  <c r="AJ62" i="36"/>
  <c r="AI62" i="36"/>
  <c r="AH62" i="36"/>
  <c r="AG62" i="36"/>
  <c r="BD61" i="36"/>
  <c r="BC61" i="36"/>
  <c r="BB61" i="36"/>
  <c r="BA61" i="36"/>
  <c r="AZ61" i="36"/>
  <c r="AY61" i="36"/>
  <c r="AX61" i="36"/>
  <c r="AW61" i="36"/>
  <c r="AV61" i="36"/>
  <c r="AU61" i="36"/>
  <c r="AT61" i="36"/>
  <c r="AS61" i="36"/>
  <c r="AR61" i="36"/>
  <c r="AQ61" i="36"/>
  <c r="AP61" i="36"/>
  <c r="AO61" i="36"/>
  <c r="AN61" i="36"/>
  <c r="AM61" i="36"/>
  <c r="AL61" i="36"/>
  <c r="AK61" i="36"/>
  <c r="AJ61" i="36"/>
  <c r="AI61" i="36"/>
  <c r="AH61" i="36"/>
  <c r="AG61" i="36"/>
  <c r="BD60" i="36"/>
  <c r="BC60" i="36"/>
  <c r="BB60" i="36"/>
  <c r="BA60" i="36"/>
  <c r="AZ60" i="36"/>
  <c r="AY60" i="36"/>
  <c r="AX60" i="36"/>
  <c r="AW60" i="36"/>
  <c r="AV60" i="36"/>
  <c r="AU60" i="36"/>
  <c r="AT60" i="36"/>
  <c r="AS60" i="36"/>
  <c r="AR60" i="36"/>
  <c r="AQ60" i="36"/>
  <c r="AP60" i="36"/>
  <c r="AO60" i="36"/>
  <c r="AN60" i="36"/>
  <c r="AM60" i="36"/>
  <c r="AL60" i="36"/>
  <c r="AK60" i="36"/>
  <c r="AJ60" i="36"/>
  <c r="AI60" i="36"/>
  <c r="AH60" i="36"/>
  <c r="AG60" i="36"/>
  <c r="BD59" i="36"/>
  <c r="BC59" i="36"/>
  <c r="BB59" i="36"/>
  <c r="BA59" i="36"/>
  <c r="AZ59" i="36"/>
  <c r="AY59" i="36"/>
  <c r="AX59" i="36"/>
  <c r="AW59" i="36"/>
  <c r="AV59" i="36"/>
  <c r="AU59" i="36"/>
  <c r="AT59" i="36"/>
  <c r="AS59" i="36"/>
  <c r="AR59" i="36"/>
  <c r="AQ59" i="36"/>
  <c r="AP59" i="36"/>
  <c r="AO59" i="36"/>
  <c r="AN59" i="36"/>
  <c r="AM59" i="36"/>
  <c r="AL59" i="36"/>
  <c r="AK59" i="36"/>
  <c r="AJ59" i="36"/>
  <c r="AI59" i="36"/>
  <c r="AH59" i="36"/>
  <c r="AG59" i="36"/>
  <c r="BD58" i="36"/>
  <c r="BC58" i="36"/>
  <c r="BB58" i="36"/>
  <c r="BA58" i="36"/>
  <c r="AZ58" i="36"/>
  <c r="AY58" i="36"/>
  <c r="AX58" i="36"/>
  <c r="AW58" i="36"/>
  <c r="AV58" i="36"/>
  <c r="AU58" i="36"/>
  <c r="AT58" i="36"/>
  <c r="AS58" i="36"/>
  <c r="AR58" i="36"/>
  <c r="AQ58" i="36"/>
  <c r="AP58" i="36"/>
  <c r="AO58" i="36"/>
  <c r="AN58" i="36"/>
  <c r="AM58" i="36"/>
  <c r="AL58" i="36"/>
  <c r="AK58" i="36"/>
  <c r="AJ58" i="36"/>
  <c r="AI58" i="36"/>
  <c r="AH58" i="36"/>
  <c r="AG58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BD56" i="36"/>
  <c r="BC56" i="36"/>
  <c r="BB56" i="36"/>
  <c r="BA56" i="36"/>
  <c r="AZ56" i="36"/>
  <c r="AY56" i="36"/>
  <c r="AX56" i="36"/>
  <c r="AW56" i="36"/>
  <c r="AV56" i="36"/>
  <c r="AU56" i="36"/>
  <c r="AT56" i="36"/>
  <c r="AS56" i="36"/>
  <c r="AR56" i="36"/>
  <c r="AQ56" i="36"/>
  <c r="AP56" i="36"/>
  <c r="AO56" i="36"/>
  <c r="AN56" i="36"/>
  <c r="AM56" i="36"/>
  <c r="AL56" i="36"/>
  <c r="AK56" i="36"/>
  <c r="AJ56" i="36"/>
  <c r="AI56" i="36"/>
  <c r="AH56" i="36"/>
  <c r="AG56" i="36"/>
  <c r="BD55" i="36"/>
  <c r="BC55" i="36"/>
  <c r="BC64" i="36" s="1"/>
  <c r="BB55" i="36"/>
  <c r="BA55" i="36"/>
  <c r="AZ55" i="36"/>
  <c r="AZ80" i="36" s="1"/>
  <c r="AY55" i="36"/>
  <c r="AX55" i="36"/>
  <c r="AW55" i="36"/>
  <c r="AV55" i="36"/>
  <c r="AU55" i="36"/>
  <c r="AT55" i="36"/>
  <c r="AS55" i="36"/>
  <c r="AS80" i="36" s="1"/>
  <c r="AR55" i="36"/>
  <c r="AQ55" i="36"/>
  <c r="AQ64" i="36" s="1"/>
  <c r="AP55" i="36"/>
  <c r="AP64" i="36" s="1"/>
  <c r="AO55" i="36"/>
  <c r="AN55" i="36"/>
  <c r="AM55" i="36"/>
  <c r="AL55" i="36"/>
  <c r="AK55" i="36"/>
  <c r="AJ55" i="36"/>
  <c r="AI55" i="36"/>
  <c r="AH55" i="36"/>
  <c r="AG55" i="36"/>
  <c r="AS54" i="36"/>
  <c r="AT54" i="36" s="1"/>
  <c r="AU54" i="36" s="1"/>
  <c r="AV54" i="36" s="1"/>
  <c r="AW54" i="36" s="1"/>
  <c r="AX54" i="36" s="1"/>
  <c r="AY54" i="36" s="1"/>
  <c r="AZ54" i="36" s="1"/>
  <c r="BA54" i="36" s="1"/>
  <c r="BB54" i="36" s="1"/>
  <c r="BC54" i="36" s="1"/>
  <c r="BD54" i="36" s="1"/>
  <c r="AH54" i="36"/>
  <c r="AI54" i="36" s="1"/>
  <c r="AJ54" i="36" s="1"/>
  <c r="AK54" i="36" s="1"/>
  <c r="AL54" i="36" s="1"/>
  <c r="AM54" i="36" s="1"/>
  <c r="AN54" i="36" s="1"/>
  <c r="AO54" i="36" s="1"/>
  <c r="AP54" i="36" s="1"/>
  <c r="AQ54" i="36" s="1"/>
  <c r="AR54" i="36" s="1"/>
  <c r="V54" i="36"/>
  <c r="W54" i="36" s="1"/>
  <c r="X54" i="36" s="1"/>
  <c r="Y54" i="36" s="1"/>
  <c r="Z54" i="36" s="1"/>
  <c r="AA54" i="36" s="1"/>
  <c r="AB54" i="36" s="1"/>
  <c r="AC54" i="36" s="1"/>
  <c r="AD54" i="36" s="1"/>
  <c r="AE54" i="36" s="1"/>
  <c r="AF54" i="36" s="1"/>
  <c r="F54" i="36"/>
  <c r="G54" i="36" s="1"/>
  <c r="H54" i="36" s="1"/>
  <c r="AE49" i="36"/>
  <c r="AF44" i="36" s="1"/>
  <c r="AF46" i="36" s="1"/>
  <c r="D46" i="36" s="1"/>
  <c r="AD49" i="36"/>
  <c r="AC49" i="36"/>
  <c r="AB49" i="36"/>
  <c r="AA49" i="36"/>
  <c r="Z49" i="36"/>
  <c r="Y49" i="36"/>
  <c r="X49" i="36"/>
  <c r="W49" i="36"/>
  <c r="V49" i="36"/>
  <c r="C48" i="36"/>
  <c r="C47" i="36"/>
  <c r="BK46" i="36"/>
  <c r="BJ46" i="36"/>
  <c r="BI46" i="36"/>
  <c r="BH46" i="36"/>
  <c r="BG46" i="36"/>
  <c r="BF46" i="36"/>
  <c r="BI45" i="36"/>
  <c r="BH45" i="36"/>
  <c r="BG45" i="36"/>
  <c r="BD45" i="36"/>
  <c r="AR45" i="36"/>
  <c r="F45" i="36"/>
  <c r="E45" i="36"/>
  <c r="D45" i="36"/>
  <c r="C45" i="36"/>
  <c r="AS42" i="36"/>
  <c r="AT42" i="36" s="1"/>
  <c r="AU42" i="36" s="1"/>
  <c r="AV42" i="36" s="1"/>
  <c r="AW42" i="36" s="1"/>
  <c r="AX42" i="36" s="1"/>
  <c r="AY42" i="36" s="1"/>
  <c r="AZ42" i="36" s="1"/>
  <c r="BA42" i="36" s="1"/>
  <c r="BB42" i="36" s="1"/>
  <c r="BC42" i="36" s="1"/>
  <c r="BD42" i="36" s="1"/>
  <c r="AH42" i="36"/>
  <c r="AI42" i="36" s="1"/>
  <c r="AJ42" i="36" s="1"/>
  <c r="AK42" i="36" s="1"/>
  <c r="AL42" i="36" s="1"/>
  <c r="AM42" i="36" s="1"/>
  <c r="AN42" i="36" s="1"/>
  <c r="AO42" i="36" s="1"/>
  <c r="AP42" i="36" s="1"/>
  <c r="AQ42" i="36" s="1"/>
  <c r="AR42" i="36" s="1"/>
  <c r="V42" i="36"/>
  <c r="F42" i="36"/>
  <c r="G42" i="36" s="1"/>
  <c r="H42" i="36" s="1"/>
  <c r="BF40" i="36"/>
  <c r="AS31" i="36"/>
  <c r="AT31" i="36" s="1"/>
  <c r="AU31" i="36" s="1"/>
  <c r="AV31" i="36" s="1"/>
  <c r="AW31" i="36" s="1"/>
  <c r="AX31" i="36" s="1"/>
  <c r="AY31" i="36" s="1"/>
  <c r="AZ31" i="36" s="1"/>
  <c r="BA31" i="36" s="1"/>
  <c r="BB31" i="36" s="1"/>
  <c r="BC31" i="36" s="1"/>
  <c r="BD31" i="36" s="1"/>
  <c r="AH31" i="36"/>
  <c r="AI31" i="36" s="1"/>
  <c r="AJ31" i="36" s="1"/>
  <c r="AK31" i="36" s="1"/>
  <c r="AL31" i="36" s="1"/>
  <c r="AM31" i="36" s="1"/>
  <c r="AN31" i="36" s="1"/>
  <c r="AO31" i="36" s="1"/>
  <c r="AP31" i="36" s="1"/>
  <c r="AQ31" i="36" s="1"/>
  <c r="AR31" i="36" s="1"/>
  <c r="V31" i="36"/>
  <c r="W31" i="36" s="1"/>
  <c r="X31" i="36" s="1"/>
  <c r="Y31" i="36" s="1"/>
  <c r="Z31" i="36" s="1"/>
  <c r="AA31" i="36" s="1"/>
  <c r="AB31" i="36" s="1"/>
  <c r="AC31" i="36" s="1"/>
  <c r="AD31" i="36" s="1"/>
  <c r="AE31" i="36" s="1"/>
  <c r="AF31" i="36" s="1"/>
  <c r="F31" i="36"/>
  <c r="G31" i="36" s="1"/>
  <c r="H31" i="36" s="1"/>
  <c r="D29" i="36"/>
  <c r="C29" i="36"/>
  <c r="AF28" i="36"/>
  <c r="AE28" i="36"/>
  <c r="AD28" i="36"/>
  <c r="AC28" i="36"/>
  <c r="AB28" i="36"/>
  <c r="AA28" i="36"/>
  <c r="Z28" i="36"/>
  <c r="Y28" i="36"/>
  <c r="X28" i="36"/>
  <c r="W28" i="36"/>
  <c r="V28" i="36"/>
  <c r="H28" i="36"/>
  <c r="G28" i="36"/>
  <c r="F28" i="36"/>
  <c r="E28" i="36"/>
  <c r="BD27" i="36"/>
  <c r="BC27" i="36"/>
  <c r="BB27" i="36"/>
  <c r="BA27" i="36"/>
  <c r="AZ27" i="36"/>
  <c r="AY27" i="36"/>
  <c r="AX27" i="36"/>
  <c r="AW27" i="36"/>
  <c r="AV27" i="36"/>
  <c r="AU27" i="36"/>
  <c r="AT27" i="36"/>
  <c r="AS27" i="36"/>
  <c r="AR27" i="36"/>
  <c r="AQ27" i="36"/>
  <c r="AP27" i="36"/>
  <c r="AO27" i="36"/>
  <c r="AN27" i="36"/>
  <c r="AM27" i="36"/>
  <c r="AL27" i="36"/>
  <c r="AK27" i="36"/>
  <c r="AJ27" i="36"/>
  <c r="AI27" i="36"/>
  <c r="AH27" i="36"/>
  <c r="AG27" i="36"/>
  <c r="D26" i="36"/>
  <c r="C26" i="36"/>
  <c r="BD25" i="36"/>
  <c r="BC25" i="36"/>
  <c r="BB25" i="36"/>
  <c r="BA25" i="36"/>
  <c r="AZ25" i="36"/>
  <c r="AY25" i="36"/>
  <c r="AX25" i="36"/>
  <c r="AW25" i="36"/>
  <c r="AV25" i="36"/>
  <c r="AU25" i="36"/>
  <c r="AT25" i="36"/>
  <c r="AS25" i="36"/>
  <c r="AR25" i="36"/>
  <c r="AQ25" i="36"/>
  <c r="AP25" i="36"/>
  <c r="AO25" i="36"/>
  <c r="AN25" i="36"/>
  <c r="AM25" i="36"/>
  <c r="AL25" i="36"/>
  <c r="AK25" i="36"/>
  <c r="AJ25" i="36"/>
  <c r="AI25" i="36"/>
  <c r="AH25" i="36"/>
  <c r="AG25" i="36"/>
  <c r="D24" i="36"/>
  <c r="C24" i="36"/>
  <c r="BD23" i="36"/>
  <c r="BC23" i="36"/>
  <c r="BB23" i="36"/>
  <c r="BA23" i="36"/>
  <c r="AZ23" i="36"/>
  <c r="AY23" i="36"/>
  <c r="AX23" i="36"/>
  <c r="AW23" i="36"/>
  <c r="AV23" i="36"/>
  <c r="AU23" i="36"/>
  <c r="AT23" i="36"/>
  <c r="AS23" i="36"/>
  <c r="AR23" i="36"/>
  <c r="AQ23" i="36"/>
  <c r="AP23" i="36"/>
  <c r="AO23" i="36"/>
  <c r="AN23" i="36"/>
  <c r="AM23" i="36"/>
  <c r="AL23" i="36"/>
  <c r="AK23" i="36"/>
  <c r="AJ23" i="36"/>
  <c r="AI23" i="36"/>
  <c r="AH23" i="36"/>
  <c r="AG23" i="36"/>
  <c r="BD21" i="36"/>
  <c r="BC21" i="36"/>
  <c r="BB21" i="36"/>
  <c r="BA21" i="36"/>
  <c r="AZ21" i="36"/>
  <c r="AY21" i="36"/>
  <c r="AX21" i="36"/>
  <c r="AW21" i="36"/>
  <c r="AV21" i="36"/>
  <c r="AU21" i="36"/>
  <c r="AT21" i="36"/>
  <c r="AS21" i="36"/>
  <c r="AR21" i="36"/>
  <c r="AQ21" i="36"/>
  <c r="AP21" i="36"/>
  <c r="AO21" i="36"/>
  <c r="AN21" i="36"/>
  <c r="AM21" i="36"/>
  <c r="AL21" i="36"/>
  <c r="AK21" i="36"/>
  <c r="AJ21" i="36"/>
  <c r="AI21" i="36"/>
  <c r="AH21" i="36"/>
  <c r="AG21" i="36"/>
  <c r="BD20" i="36"/>
  <c r="BC20" i="36"/>
  <c r="BB20" i="36"/>
  <c r="BA20" i="36"/>
  <c r="AZ20" i="36"/>
  <c r="AY20" i="36"/>
  <c r="AX20" i="36"/>
  <c r="AW20" i="36"/>
  <c r="AV20" i="36"/>
  <c r="AU20" i="36"/>
  <c r="AT20" i="36"/>
  <c r="AS20" i="36"/>
  <c r="AR20" i="36"/>
  <c r="AQ20" i="36"/>
  <c r="AP20" i="36"/>
  <c r="AO20" i="36"/>
  <c r="AN20" i="36"/>
  <c r="AM20" i="36"/>
  <c r="AL20" i="36"/>
  <c r="AK20" i="36"/>
  <c r="AJ20" i="36"/>
  <c r="AI20" i="36"/>
  <c r="AH20" i="36"/>
  <c r="AG20" i="36"/>
  <c r="BD19" i="36"/>
  <c r="BC19" i="36"/>
  <c r="BB19" i="36"/>
  <c r="BA19" i="36"/>
  <c r="AZ19" i="36"/>
  <c r="AY19" i="36"/>
  <c r="AX19" i="36"/>
  <c r="AW19" i="36"/>
  <c r="AV19" i="36"/>
  <c r="AU19" i="36"/>
  <c r="AT19" i="36"/>
  <c r="AS19" i="36"/>
  <c r="AR19" i="36"/>
  <c r="AQ19" i="36"/>
  <c r="AP19" i="36"/>
  <c r="AO19" i="36"/>
  <c r="AN19" i="36"/>
  <c r="AM19" i="36"/>
  <c r="AL19" i="36"/>
  <c r="AK19" i="36"/>
  <c r="AJ19" i="36"/>
  <c r="AI19" i="36"/>
  <c r="AH19" i="36"/>
  <c r="AG19" i="36"/>
  <c r="AS18" i="36"/>
  <c r="AT18" i="36" s="1"/>
  <c r="AU18" i="36" s="1"/>
  <c r="AV18" i="36" s="1"/>
  <c r="AW18" i="36" s="1"/>
  <c r="AX18" i="36" s="1"/>
  <c r="AY18" i="36" s="1"/>
  <c r="AZ18" i="36" s="1"/>
  <c r="BA18" i="36" s="1"/>
  <c r="BB18" i="36" s="1"/>
  <c r="BC18" i="36" s="1"/>
  <c r="BD18" i="36" s="1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AF12" i="36"/>
  <c r="AQ10" i="36" s="1"/>
  <c r="C10" i="36" s="1"/>
  <c r="C12" i="36"/>
  <c r="BK10" i="36"/>
  <c r="BI10" i="36"/>
  <c r="BH10" i="36"/>
  <c r="BG10" i="36"/>
  <c r="BF10" i="36"/>
  <c r="AQ9" i="36"/>
  <c r="C9" i="36" s="1"/>
  <c r="E8" i="36"/>
  <c r="E13" i="36" s="1"/>
  <c r="F5" i="36" s="1"/>
  <c r="D7" i="36"/>
  <c r="D6" i="36"/>
  <c r="AT3" i="36"/>
  <c r="AU3" i="36" s="1"/>
  <c r="AV3" i="36" s="1"/>
  <c r="AW3" i="36" s="1"/>
  <c r="AX3" i="36" s="1"/>
  <c r="AY3" i="36" s="1"/>
  <c r="AZ3" i="36" s="1"/>
  <c r="BA3" i="36" s="1"/>
  <c r="BB3" i="36" s="1"/>
  <c r="BC3" i="36" s="1"/>
  <c r="BD3" i="36" s="1"/>
  <c r="AH3" i="36"/>
  <c r="AI3" i="36" s="1"/>
  <c r="AJ3" i="36" s="1"/>
  <c r="V3" i="36"/>
  <c r="W3" i="36" s="1"/>
  <c r="X3" i="36" s="1"/>
  <c r="Y3" i="36" s="1"/>
  <c r="Z3" i="36" s="1"/>
  <c r="AA3" i="36" s="1"/>
  <c r="AB3" i="36" s="1"/>
  <c r="AC3" i="36" s="1"/>
  <c r="AD3" i="36" s="1"/>
  <c r="AE3" i="36" s="1"/>
  <c r="AF3" i="36" s="1"/>
  <c r="F3" i="36"/>
  <c r="G3" i="36" s="1"/>
  <c r="H3" i="36" s="1"/>
  <c r="AB79" i="35"/>
  <c r="AC75" i="35" s="1"/>
  <c r="AC77" i="35" s="1"/>
  <c r="AC79" i="35" s="1"/>
  <c r="AA79" i="35"/>
  <c r="Z79" i="35"/>
  <c r="X79" i="35"/>
  <c r="Y75" i="35" s="1"/>
  <c r="Y77" i="35" s="1"/>
  <c r="W79" i="35"/>
  <c r="D78" i="35"/>
  <c r="G77" i="35"/>
  <c r="V76" i="35"/>
  <c r="E76" i="35" s="1"/>
  <c r="I76" i="35"/>
  <c r="I77" i="35" s="1"/>
  <c r="F76" i="35"/>
  <c r="F77" i="35" s="1"/>
  <c r="BG74" i="35"/>
  <c r="AT73" i="35"/>
  <c r="AU73" i="35" s="1"/>
  <c r="AV73" i="35" s="1"/>
  <c r="AW73" i="35" s="1"/>
  <c r="AX73" i="35" s="1"/>
  <c r="AY73" i="35" s="1"/>
  <c r="AZ73" i="35" s="1"/>
  <c r="BA73" i="35" s="1"/>
  <c r="BB73" i="35" s="1"/>
  <c r="BC73" i="35" s="1"/>
  <c r="BD73" i="35" s="1"/>
  <c r="BE73" i="35" s="1"/>
  <c r="AI73" i="35"/>
  <c r="AJ73" i="35" s="1"/>
  <c r="AK73" i="35" s="1"/>
  <c r="AL73" i="35" s="1"/>
  <c r="AM73" i="35" s="1"/>
  <c r="AN73" i="35" s="1"/>
  <c r="AO73" i="35" s="1"/>
  <c r="AP73" i="35" s="1"/>
  <c r="AQ73" i="35" s="1"/>
  <c r="AR73" i="35" s="1"/>
  <c r="AS73" i="35" s="1"/>
  <c r="W73" i="35"/>
  <c r="X73" i="35" s="1"/>
  <c r="Y73" i="35" s="1"/>
  <c r="Z73" i="35" s="1"/>
  <c r="AA73" i="35" s="1"/>
  <c r="AB73" i="35" s="1"/>
  <c r="AC73" i="35" s="1"/>
  <c r="AD73" i="35" s="1"/>
  <c r="AE73" i="35" s="1"/>
  <c r="AF73" i="35" s="1"/>
  <c r="AG73" i="35" s="1"/>
  <c r="G73" i="35"/>
  <c r="H73" i="35" s="1"/>
  <c r="I73" i="35" s="1"/>
  <c r="AT63" i="35"/>
  <c r="AU63" i="35" s="1"/>
  <c r="AV63" i="35" s="1"/>
  <c r="AW63" i="35" s="1"/>
  <c r="AX63" i="35" s="1"/>
  <c r="AY63" i="35" s="1"/>
  <c r="AZ63" i="35" s="1"/>
  <c r="BA63" i="35" s="1"/>
  <c r="BB63" i="35" s="1"/>
  <c r="BC63" i="35" s="1"/>
  <c r="BD63" i="35" s="1"/>
  <c r="BE63" i="35" s="1"/>
  <c r="AI63" i="35"/>
  <c r="AJ63" i="35" s="1"/>
  <c r="AK63" i="35" s="1"/>
  <c r="AL63" i="35" s="1"/>
  <c r="AM63" i="35" s="1"/>
  <c r="AN63" i="35" s="1"/>
  <c r="AO63" i="35" s="1"/>
  <c r="AP63" i="35" s="1"/>
  <c r="AQ63" i="35" s="1"/>
  <c r="AR63" i="35" s="1"/>
  <c r="AS63" i="35" s="1"/>
  <c r="W63" i="35"/>
  <c r="X63" i="35" s="1"/>
  <c r="Y63" i="35" s="1"/>
  <c r="Z63" i="35" s="1"/>
  <c r="AA63" i="35" s="1"/>
  <c r="AB63" i="35" s="1"/>
  <c r="AC63" i="35" s="1"/>
  <c r="AD63" i="35" s="1"/>
  <c r="AE63" i="35" s="1"/>
  <c r="AF63" i="35" s="1"/>
  <c r="AG63" i="35" s="1"/>
  <c r="G63" i="35"/>
  <c r="H63" i="35" s="1"/>
  <c r="I63" i="35" s="1"/>
  <c r="E61" i="35"/>
  <c r="D61" i="35"/>
  <c r="AQ60" i="35"/>
  <c r="AP60" i="35"/>
  <c r="AO60" i="35"/>
  <c r="AN60" i="35"/>
  <c r="AM60" i="35"/>
  <c r="AL60" i="35"/>
  <c r="AK60" i="35"/>
  <c r="AJ60" i="35"/>
  <c r="AI60" i="35"/>
  <c r="AH60" i="35"/>
  <c r="AF60" i="35"/>
  <c r="AE60" i="35"/>
  <c r="AD60" i="35"/>
  <c r="AC60" i="35"/>
  <c r="AB60" i="35"/>
  <c r="AA60" i="35"/>
  <c r="Z60" i="35"/>
  <c r="Y60" i="35"/>
  <c r="X60" i="35"/>
  <c r="W60" i="35"/>
  <c r="V60" i="35"/>
  <c r="I60" i="35"/>
  <c r="H60" i="35"/>
  <c r="G60" i="35"/>
  <c r="E59" i="35"/>
  <c r="D59" i="35"/>
  <c r="BE58" i="35"/>
  <c r="BD58" i="35"/>
  <c r="BC58" i="35"/>
  <c r="BB58" i="35"/>
  <c r="BA58" i="35"/>
  <c r="AZ58" i="35"/>
  <c r="AY58" i="35"/>
  <c r="AX58" i="35"/>
  <c r="AW58" i="35"/>
  <c r="AV58" i="35"/>
  <c r="AU58" i="35"/>
  <c r="AT58" i="35"/>
  <c r="AS58" i="35"/>
  <c r="AR58" i="35"/>
  <c r="AG58" i="35"/>
  <c r="D58" i="35" s="1"/>
  <c r="E58" i="35"/>
  <c r="E57" i="35"/>
  <c r="D57" i="35"/>
  <c r="E56" i="35"/>
  <c r="D56" i="35"/>
  <c r="E55" i="35"/>
  <c r="BE54" i="35"/>
  <c r="AT54" i="35"/>
  <c r="AS54" i="35"/>
  <c r="E54" i="35"/>
  <c r="D54" i="35"/>
  <c r="BE53" i="35"/>
  <c r="AT53" i="35"/>
  <c r="AS53" i="35"/>
  <c r="E53" i="35"/>
  <c r="D53" i="35"/>
  <c r="BE52" i="35"/>
  <c r="AT52" i="35"/>
  <c r="AS52" i="35"/>
  <c r="E52" i="35"/>
  <c r="D52" i="35"/>
  <c r="AT51" i="35"/>
  <c r="AU51" i="35" s="1"/>
  <c r="AV51" i="35" s="1"/>
  <c r="AW51" i="35" s="1"/>
  <c r="AX51" i="35" s="1"/>
  <c r="AY51" i="35" s="1"/>
  <c r="AZ51" i="35" s="1"/>
  <c r="BA51" i="35" s="1"/>
  <c r="BB51" i="35" s="1"/>
  <c r="BC51" i="35" s="1"/>
  <c r="BD51" i="35" s="1"/>
  <c r="BE51" i="35" s="1"/>
  <c r="AI51" i="35"/>
  <c r="AJ51" i="35" s="1"/>
  <c r="AK51" i="35" s="1"/>
  <c r="AL51" i="35" s="1"/>
  <c r="AM51" i="35" s="1"/>
  <c r="AN51" i="35" s="1"/>
  <c r="AO51" i="35" s="1"/>
  <c r="AP51" i="35" s="1"/>
  <c r="AQ51" i="35" s="1"/>
  <c r="AR51" i="35" s="1"/>
  <c r="AS51" i="35" s="1"/>
  <c r="W51" i="35"/>
  <c r="X51" i="35" s="1"/>
  <c r="Y51" i="35" s="1"/>
  <c r="Z51" i="35" s="1"/>
  <c r="AA51" i="35" s="1"/>
  <c r="AB51" i="35" s="1"/>
  <c r="AC51" i="35" s="1"/>
  <c r="AD51" i="35" s="1"/>
  <c r="AE51" i="35" s="1"/>
  <c r="AF51" i="35" s="1"/>
  <c r="AG51" i="35" s="1"/>
  <c r="G51" i="35"/>
  <c r="H51" i="35" s="1"/>
  <c r="I51" i="35" s="1"/>
  <c r="BL47" i="35"/>
  <c r="BJ47" i="35"/>
  <c r="BI47" i="35"/>
  <c r="BH47" i="35"/>
  <c r="BG47" i="35"/>
  <c r="AC47" i="35"/>
  <c r="AD42" i="35" s="1"/>
  <c r="AB47" i="35"/>
  <c r="AA47" i="35"/>
  <c r="V47" i="35"/>
  <c r="BJ46" i="35"/>
  <c r="BI46" i="35"/>
  <c r="BH46" i="35"/>
  <c r="U46" i="35"/>
  <c r="D46" i="35"/>
  <c r="D45" i="35"/>
  <c r="T44" i="35"/>
  <c r="T47" i="35" s="1"/>
  <c r="U42" i="35" s="1"/>
  <c r="AE43" i="35"/>
  <c r="AD43" i="35"/>
  <c r="X43" i="35"/>
  <c r="W43" i="35"/>
  <c r="I43" i="35"/>
  <c r="F43" i="35"/>
  <c r="E43" i="35"/>
  <c r="D43" i="35"/>
  <c r="BG41" i="35"/>
  <c r="AT40" i="35"/>
  <c r="AU40" i="35" s="1"/>
  <c r="AV40" i="35" s="1"/>
  <c r="AW40" i="35" s="1"/>
  <c r="AX40" i="35" s="1"/>
  <c r="AY40" i="35" s="1"/>
  <c r="AZ40" i="35" s="1"/>
  <c r="BA40" i="35" s="1"/>
  <c r="BB40" i="35" s="1"/>
  <c r="BC40" i="35" s="1"/>
  <c r="BD40" i="35" s="1"/>
  <c r="BE40" i="35" s="1"/>
  <c r="AI40" i="35"/>
  <c r="AJ40" i="35" s="1"/>
  <c r="AK40" i="35" s="1"/>
  <c r="AL40" i="35" s="1"/>
  <c r="AM40" i="35" s="1"/>
  <c r="AN40" i="35" s="1"/>
  <c r="AO40" i="35" s="1"/>
  <c r="AP40" i="35" s="1"/>
  <c r="AQ40" i="35" s="1"/>
  <c r="AR40" i="35" s="1"/>
  <c r="AS40" i="35" s="1"/>
  <c r="W40" i="35"/>
  <c r="X40" i="35" s="1"/>
  <c r="Y40" i="35" s="1"/>
  <c r="Z40" i="35" s="1"/>
  <c r="AA40" i="35" s="1"/>
  <c r="AB40" i="35" s="1"/>
  <c r="AC40" i="35" s="1"/>
  <c r="AD40" i="35" s="1"/>
  <c r="AE40" i="35" s="1"/>
  <c r="AF40" i="35" s="1"/>
  <c r="AG40" i="35" s="1"/>
  <c r="G40" i="35"/>
  <c r="H40" i="35" s="1"/>
  <c r="I40" i="35" s="1"/>
  <c r="AT30" i="35"/>
  <c r="AU30" i="35" s="1"/>
  <c r="AV30" i="35" s="1"/>
  <c r="AW30" i="35" s="1"/>
  <c r="AX30" i="35" s="1"/>
  <c r="AY30" i="35" s="1"/>
  <c r="AZ30" i="35" s="1"/>
  <c r="BA30" i="35" s="1"/>
  <c r="BB30" i="35" s="1"/>
  <c r="BC30" i="35" s="1"/>
  <c r="BD30" i="35" s="1"/>
  <c r="BE30" i="35" s="1"/>
  <c r="AI30" i="35"/>
  <c r="AJ30" i="35" s="1"/>
  <c r="AK30" i="35" s="1"/>
  <c r="AL30" i="35" s="1"/>
  <c r="AM30" i="35" s="1"/>
  <c r="AN30" i="35" s="1"/>
  <c r="AO30" i="35" s="1"/>
  <c r="AP30" i="35" s="1"/>
  <c r="AQ30" i="35" s="1"/>
  <c r="AR30" i="35" s="1"/>
  <c r="AS30" i="35" s="1"/>
  <c r="W30" i="35"/>
  <c r="X30" i="35" s="1"/>
  <c r="Y30" i="35" s="1"/>
  <c r="Z30" i="35" s="1"/>
  <c r="AA30" i="35" s="1"/>
  <c r="AB30" i="35" s="1"/>
  <c r="AC30" i="35" s="1"/>
  <c r="AD30" i="35" s="1"/>
  <c r="AE30" i="35" s="1"/>
  <c r="AF30" i="35" s="1"/>
  <c r="AG30" i="35" s="1"/>
  <c r="G30" i="35"/>
  <c r="H30" i="35" s="1"/>
  <c r="I30" i="35" s="1"/>
  <c r="E28" i="35"/>
  <c r="D28" i="35"/>
  <c r="AQ27" i="35"/>
  <c r="AP27" i="35"/>
  <c r="AO27" i="35"/>
  <c r="AN27" i="35"/>
  <c r="AF27" i="35"/>
  <c r="AE27" i="35"/>
  <c r="AD27" i="35"/>
  <c r="AC27" i="35"/>
  <c r="AA27" i="35"/>
  <c r="Z27" i="35"/>
  <c r="Y27" i="35"/>
  <c r="X27" i="35"/>
  <c r="W27" i="35"/>
  <c r="V27" i="35"/>
  <c r="I27" i="35"/>
  <c r="H27" i="35"/>
  <c r="F27" i="35"/>
  <c r="E26" i="35"/>
  <c r="D26" i="35"/>
  <c r="E25" i="35"/>
  <c r="D25" i="35"/>
  <c r="AY24" i="35"/>
  <c r="AX24" i="35"/>
  <c r="AW24" i="35"/>
  <c r="AV24" i="35"/>
  <c r="AU24" i="35"/>
  <c r="AT24" i="35"/>
  <c r="AM24" i="35"/>
  <c r="AM27" i="35" s="1"/>
  <c r="AL24" i="35"/>
  <c r="AL27" i="35" s="1"/>
  <c r="AK24" i="35"/>
  <c r="AK27" i="35" s="1"/>
  <c r="AJ24" i="35"/>
  <c r="AJ27" i="35" s="1"/>
  <c r="AI24" i="35"/>
  <c r="AI27" i="35" s="1"/>
  <c r="AH24" i="35"/>
  <c r="AH27" i="35" s="1"/>
  <c r="AG24" i="35"/>
  <c r="AG27" i="35" s="1"/>
  <c r="AB24" i="35"/>
  <c r="E23" i="35"/>
  <c r="D23" i="35"/>
  <c r="E22" i="35"/>
  <c r="D22" i="35"/>
  <c r="E21" i="35"/>
  <c r="D21" i="35"/>
  <c r="BE20" i="35"/>
  <c r="AT20" i="35"/>
  <c r="AS20" i="35"/>
  <c r="E20" i="35"/>
  <c r="BE19" i="35"/>
  <c r="BE27" i="35" s="1"/>
  <c r="AT19" i="35"/>
  <c r="AT27" i="35" s="1"/>
  <c r="AS19" i="35"/>
  <c r="AS27" i="35" s="1"/>
  <c r="E19" i="35"/>
  <c r="AT18" i="35"/>
  <c r="AU18" i="35" s="1"/>
  <c r="AV18" i="35" s="1"/>
  <c r="AW18" i="35" s="1"/>
  <c r="AX18" i="35" s="1"/>
  <c r="AY18" i="35" s="1"/>
  <c r="AZ18" i="35" s="1"/>
  <c r="BA18" i="35" s="1"/>
  <c r="BB18" i="35" s="1"/>
  <c r="BC18" i="35" s="1"/>
  <c r="BD18" i="35" s="1"/>
  <c r="BE18" i="35" s="1"/>
  <c r="AI18" i="35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W18" i="35"/>
  <c r="X18" i="35" s="1"/>
  <c r="Y18" i="35" s="1"/>
  <c r="Z18" i="35" s="1"/>
  <c r="AA18" i="35" s="1"/>
  <c r="AB18" i="35" s="1"/>
  <c r="AC18" i="35" s="1"/>
  <c r="AD18" i="35" s="1"/>
  <c r="AE18" i="35" s="1"/>
  <c r="AF18" i="35" s="1"/>
  <c r="AG18" i="35" s="1"/>
  <c r="G18" i="35"/>
  <c r="H18" i="35" s="1"/>
  <c r="I18" i="35" s="1"/>
  <c r="AF13" i="35"/>
  <c r="AG5" i="35" s="1"/>
  <c r="AG8" i="35" s="1"/>
  <c r="AR11" i="35" s="1"/>
  <c r="AE13" i="35"/>
  <c r="AD13" i="35"/>
  <c r="AC13" i="35"/>
  <c r="AB13" i="35"/>
  <c r="AA13" i="35"/>
  <c r="Z13" i="35"/>
  <c r="Y13" i="35"/>
  <c r="X13" i="35"/>
  <c r="W13" i="35"/>
  <c r="V13" i="35"/>
  <c r="T13" i="35"/>
  <c r="D12" i="35"/>
  <c r="BL10" i="35"/>
  <c r="BJ10" i="35"/>
  <c r="BI10" i="35"/>
  <c r="BH10" i="35"/>
  <c r="BG10" i="35"/>
  <c r="AR10" i="35"/>
  <c r="AR9" i="35"/>
  <c r="F8" i="35"/>
  <c r="E7" i="35"/>
  <c r="E6" i="35"/>
  <c r="U5" i="35"/>
  <c r="U13" i="35" s="1"/>
  <c r="AU3" i="35"/>
  <c r="AV3" i="35" s="1"/>
  <c r="AW3" i="35" s="1"/>
  <c r="AX3" i="35" s="1"/>
  <c r="AY3" i="35" s="1"/>
  <c r="AZ3" i="35" s="1"/>
  <c r="BA3" i="35" s="1"/>
  <c r="BB3" i="35" s="1"/>
  <c r="BC3" i="35" s="1"/>
  <c r="BD3" i="35" s="1"/>
  <c r="BE3" i="35" s="1"/>
  <c r="AI3" i="35"/>
  <c r="AJ3" i="35" s="1"/>
  <c r="AK3" i="35" s="1"/>
  <c r="AL3" i="35" s="1"/>
  <c r="W3" i="35"/>
  <c r="X3" i="35" s="1"/>
  <c r="Y3" i="35" s="1"/>
  <c r="Z3" i="35" s="1"/>
  <c r="AA3" i="35" s="1"/>
  <c r="AB3" i="35" s="1"/>
  <c r="AC3" i="35" s="1"/>
  <c r="AD3" i="35" s="1"/>
  <c r="AE3" i="35" s="1"/>
  <c r="AF3" i="35" s="1"/>
  <c r="AG3" i="35" s="1"/>
  <c r="G3" i="35"/>
  <c r="H3" i="35" s="1"/>
  <c r="I3" i="35" s="1"/>
  <c r="AW51" i="49" l="1"/>
  <c r="AX44" i="49"/>
  <c r="AO75" i="48"/>
  <c r="AN81" i="48"/>
  <c r="AO44" i="48"/>
  <c r="AO47" i="48"/>
  <c r="F82" i="36"/>
  <c r="AO28" i="36"/>
  <c r="AS45" i="36"/>
  <c r="BA45" i="36"/>
  <c r="D28" i="36"/>
  <c r="AT51" i="47"/>
  <c r="AU44" i="47"/>
  <c r="BA84" i="47"/>
  <c r="BB79" i="47"/>
  <c r="BB82" i="47" s="1"/>
  <c r="AM77" i="46"/>
  <c r="AM79" i="46" s="1"/>
  <c r="AN44" i="46"/>
  <c r="AN47" i="46" s="1"/>
  <c r="U47" i="35"/>
  <c r="AJ28" i="36"/>
  <c r="AN28" i="36"/>
  <c r="AR28" i="36"/>
  <c r="AV28" i="36"/>
  <c r="BD28" i="36"/>
  <c r="AP51" i="44"/>
  <c r="AQ44" i="44"/>
  <c r="AT79" i="44"/>
  <c r="AT82" i="44" s="1"/>
  <c r="AS84" i="44"/>
  <c r="AJ75" i="43"/>
  <c r="AI81" i="43"/>
  <c r="AJ44" i="43"/>
  <c r="D76" i="35"/>
  <c r="D64" i="36"/>
  <c r="D58" i="36"/>
  <c r="D61" i="36"/>
  <c r="AM64" i="36"/>
  <c r="AN5" i="42"/>
  <c r="AN13" i="42" s="1"/>
  <c r="AM44" i="42"/>
  <c r="AM49" i="42" s="1"/>
  <c r="AR3" i="42"/>
  <c r="AP79" i="42"/>
  <c r="AP82" i="42" s="1"/>
  <c r="BK80" i="42"/>
  <c r="AS3" i="41"/>
  <c r="AO5" i="41"/>
  <c r="AO13" i="41" s="1"/>
  <c r="AH42" i="41"/>
  <c r="AG79" i="41"/>
  <c r="AS73" i="41"/>
  <c r="AL64" i="36"/>
  <c r="H13" i="39"/>
  <c r="AM5" i="40"/>
  <c r="AM13" i="40" s="1"/>
  <c r="AG44" i="40"/>
  <c r="AQ3" i="40"/>
  <c r="I13" i="40"/>
  <c r="AF75" i="40"/>
  <c r="AQ73" i="40"/>
  <c r="AE42" i="39"/>
  <c r="AL44" i="39"/>
  <c r="AL49" i="39" s="1"/>
  <c r="AP78" i="39"/>
  <c r="AP3" i="39"/>
  <c r="AN79" i="39"/>
  <c r="AN82" i="39" s="1"/>
  <c r="AK5" i="39"/>
  <c r="AK13" i="39" s="1"/>
  <c r="D19" i="36"/>
  <c r="C61" i="36"/>
  <c r="D62" i="36"/>
  <c r="D24" i="35"/>
  <c r="AK28" i="36"/>
  <c r="AW45" i="36"/>
  <c r="AN3" i="38"/>
  <c r="Z42" i="38"/>
  <c r="Z47" i="38" s="1"/>
  <c r="AF44" i="38"/>
  <c r="AM40" i="38"/>
  <c r="H13" i="38"/>
  <c r="AD77" i="38"/>
  <c r="AD79" i="38" s="1"/>
  <c r="AK5" i="38"/>
  <c r="AK13" i="38" s="1"/>
  <c r="AK79" i="37"/>
  <c r="AK82" i="37" s="1"/>
  <c r="H5" i="37"/>
  <c r="AI5" i="37"/>
  <c r="AI13" i="37" s="1"/>
  <c r="AH44" i="37"/>
  <c r="AH49" i="37" s="1"/>
  <c r="AA42" i="37"/>
  <c r="G46" i="37"/>
  <c r="G49" i="37" s="1"/>
  <c r="D23" i="36"/>
  <c r="C21" i="36"/>
  <c r="AT43" i="35"/>
  <c r="E27" i="35"/>
  <c r="AD44" i="35"/>
  <c r="AD47" i="35" s="1"/>
  <c r="E60" i="35"/>
  <c r="AH28" i="36"/>
  <c r="C20" i="36"/>
  <c r="AP28" i="36"/>
  <c r="AU45" i="36"/>
  <c r="AX28" i="36"/>
  <c r="C23" i="36"/>
  <c r="AL28" i="36"/>
  <c r="AT28" i="36"/>
  <c r="BB28" i="36"/>
  <c r="C25" i="36"/>
  <c r="C27" i="36"/>
  <c r="AS28" i="36"/>
  <c r="BA28" i="36"/>
  <c r="E46" i="36"/>
  <c r="E49" i="36" s="1"/>
  <c r="C59" i="36"/>
  <c r="AX64" i="36"/>
  <c r="BA80" i="36"/>
  <c r="AS64" i="36"/>
  <c r="AG79" i="36"/>
  <c r="AG82" i="36" s="1"/>
  <c r="AK3" i="36"/>
  <c r="F8" i="36"/>
  <c r="AZ45" i="36"/>
  <c r="AZ28" i="36"/>
  <c r="AF49" i="36"/>
  <c r="AI64" i="36"/>
  <c r="C55" i="36"/>
  <c r="AU80" i="36"/>
  <c r="BK76" i="36" s="1"/>
  <c r="AU64" i="36"/>
  <c r="G79" i="36"/>
  <c r="G82" i="36" s="1"/>
  <c r="C19" i="36"/>
  <c r="AF8" i="36"/>
  <c r="AQ11" i="36" s="1"/>
  <c r="C11" i="36" s="1"/>
  <c r="D20" i="36"/>
  <c r="D21" i="36"/>
  <c r="D27" i="36"/>
  <c r="AG28" i="36"/>
  <c r="AW28" i="36"/>
  <c r="AK64" i="36"/>
  <c r="BA64" i="36"/>
  <c r="D57" i="36"/>
  <c r="C57" i="36"/>
  <c r="C63" i="36"/>
  <c r="AV45" i="36"/>
  <c r="AY80" i="36"/>
  <c r="AY64" i="36"/>
  <c r="AI28" i="36"/>
  <c r="AM28" i="36"/>
  <c r="AQ28" i="36"/>
  <c r="AU28" i="36"/>
  <c r="BC28" i="36"/>
  <c r="D25" i="36"/>
  <c r="W42" i="36"/>
  <c r="C60" i="36"/>
  <c r="D60" i="36"/>
  <c r="AY45" i="36"/>
  <c r="AG64" i="36"/>
  <c r="AO64" i="36"/>
  <c r="AW80" i="36"/>
  <c r="C56" i="36"/>
  <c r="D56" i="36"/>
  <c r="AT45" i="36"/>
  <c r="AX45" i="36"/>
  <c r="BB45" i="36"/>
  <c r="AY28" i="36"/>
  <c r="AJ64" i="36"/>
  <c r="AN64" i="36"/>
  <c r="AR64" i="36"/>
  <c r="AV64" i="36"/>
  <c r="AZ64" i="36"/>
  <c r="BD64" i="36"/>
  <c r="AV80" i="36"/>
  <c r="AH64" i="36"/>
  <c r="AT80" i="36"/>
  <c r="AX80" i="36"/>
  <c r="BB80" i="36"/>
  <c r="D59" i="36"/>
  <c r="D63" i="36"/>
  <c r="AW64" i="36"/>
  <c r="D55" i="36"/>
  <c r="C58" i="36"/>
  <c r="C62" i="36"/>
  <c r="AT64" i="36"/>
  <c r="BB64" i="36"/>
  <c r="BJ77" i="36"/>
  <c r="AM3" i="35"/>
  <c r="AD75" i="35"/>
  <c r="AG13" i="35"/>
  <c r="F13" i="35"/>
  <c r="E24" i="35"/>
  <c r="W42" i="35"/>
  <c r="W47" i="35" s="1"/>
  <c r="Y79" i="35"/>
  <c r="BL78" i="35"/>
  <c r="BK78" i="35"/>
  <c r="C37" i="21"/>
  <c r="C43" i="21" s="1"/>
  <c r="C53" i="21"/>
  <c r="AX46" i="49" l="1"/>
  <c r="AX49" i="49" s="1"/>
  <c r="AP42" i="48"/>
  <c r="AO49" i="48"/>
  <c r="AO77" i="48"/>
  <c r="AO79" i="48"/>
  <c r="BB84" i="47"/>
  <c r="BC79" i="47"/>
  <c r="BC82" i="47" s="1"/>
  <c r="AU46" i="47"/>
  <c r="AU49" i="47" s="1"/>
  <c r="AN49" i="46"/>
  <c r="AO42" i="46"/>
  <c r="AM81" i="46"/>
  <c r="AN75" i="46"/>
  <c r="BK77" i="36"/>
  <c r="BJ76" i="36"/>
  <c r="AQ46" i="44"/>
  <c r="AQ49" i="44" s="1"/>
  <c r="AU79" i="44"/>
  <c r="AU82" i="44" s="1"/>
  <c r="AT84" i="44"/>
  <c r="AJ47" i="43"/>
  <c r="AJ77" i="43"/>
  <c r="AJ79" i="43" s="1"/>
  <c r="AO5" i="42"/>
  <c r="AO13" i="42" s="1"/>
  <c r="AQ79" i="42"/>
  <c r="AQ82" i="42" s="1"/>
  <c r="AN44" i="42"/>
  <c r="AN49" i="42" s="1"/>
  <c r="BL78" i="41"/>
  <c r="BK78" i="41"/>
  <c r="AP5" i="41"/>
  <c r="AP13" i="41" s="1"/>
  <c r="AH75" i="41"/>
  <c r="AH44" i="41"/>
  <c r="AN5" i="40"/>
  <c r="AN13" i="40" s="1"/>
  <c r="AR73" i="40"/>
  <c r="AF77" i="40"/>
  <c r="AR3" i="40"/>
  <c r="AG47" i="40"/>
  <c r="AQ3" i="39"/>
  <c r="AL5" i="39"/>
  <c r="AL13" i="39" s="1"/>
  <c r="AM44" i="39"/>
  <c r="AM49" i="39" s="1"/>
  <c r="AO79" i="39"/>
  <c r="AO82" i="39" s="1"/>
  <c r="AQ78" i="39"/>
  <c r="AF42" i="39"/>
  <c r="AE75" i="38"/>
  <c r="I5" i="38"/>
  <c r="AF47" i="38"/>
  <c r="AL5" i="38"/>
  <c r="AL13" i="38" s="1"/>
  <c r="AN40" i="38"/>
  <c r="AO3" i="38"/>
  <c r="H44" i="37"/>
  <c r="AL79" i="37"/>
  <c r="AL82" i="37" s="1"/>
  <c r="AB42" i="37"/>
  <c r="AJ5" i="37"/>
  <c r="AJ13" i="37" s="1"/>
  <c r="AI44" i="37"/>
  <c r="AI49" i="37" s="1"/>
  <c r="H8" i="37"/>
  <c r="D8" i="37" s="1"/>
  <c r="F44" i="36"/>
  <c r="F46" i="36" s="1"/>
  <c r="F49" i="36" s="1"/>
  <c r="AF13" i="36"/>
  <c r="C64" i="36"/>
  <c r="H79" i="36"/>
  <c r="H82" i="36" s="1"/>
  <c r="AL3" i="36"/>
  <c r="X42" i="36"/>
  <c r="C28" i="36"/>
  <c r="AH79" i="36"/>
  <c r="AH82" i="36" s="1"/>
  <c r="AG44" i="36"/>
  <c r="AG49" i="36" s="1"/>
  <c r="F13" i="36"/>
  <c r="G5" i="35"/>
  <c r="AD77" i="35"/>
  <c r="AN3" i="35"/>
  <c r="X42" i="35"/>
  <c r="X47" i="35" s="1"/>
  <c r="AE42" i="35"/>
  <c r="AH5" i="35"/>
  <c r="AH13" i="35" s="1"/>
  <c r="C15" i="21"/>
  <c r="C6" i="21"/>
  <c r="C4" i="21"/>
  <c r="C10" i="21"/>
  <c r="C8" i="21"/>
  <c r="C19" i="21"/>
  <c r="C5" i="21"/>
  <c r="C9" i="21"/>
  <c r="C12" i="21"/>
  <c r="C18" i="21"/>
  <c r="C21" i="21"/>
  <c r="AX51" i="49" l="1"/>
  <c r="AY44" i="49"/>
  <c r="AP44" i="48"/>
  <c r="AP47" i="48" s="1"/>
  <c r="AO81" i="48"/>
  <c r="AP75" i="48"/>
  <c r="BK80" i="36"/>
  <c r="BD79" i="47"/>
  <c r="BD82" i="47" s="1"/>
  <c r="BD84" i="47" s="1"/>
  <c r="BC84" i="47"/>
  <c r="AU51" i="47"/>
  <c r="AV44" i="47"/>
  <c r="AN77" i="46"/>
  <c r="AN79" i="46" s="1"/>
  <c r="AO44" i="46"/>
  <c r="AO47" i="46" s="1"/>
  <c r="AQ51" i="44"/>
  <c r="AR44" i="44"/>
  <c r="AU84" i="44"/>
  <c r="AV79" i="44"/>
  <c r="AV82" i="44" s="1"/>
  <c r="AK75" i="43"/>
  <c r="AJ81" i="43"/>
  <c r="AJ49" i="43"/>
  <c r="AK42" i="43"/>
  <c r="AP5" i="42"/>
  <c r="AP13" i="42" s="1"/>
  <c r="AO44" i="42"/>
  <c r="AO49" i="42" s="1"/>
  <c r="AR79" i="42"/>
  <c r="AR82" i="42" s="1"/>
  <c r="AH47" i="41"/>
  <c r="AQ5" i="41"/>
  <c r="AQ13" i="41" s="1"/>
  <c r="AH77" i="41"/>
  <c r="AH79" i="41" s="1"/>
  <c r="AO5" i="40"/>
  <c r="AO13" i="40" s="1"/>
  <c r="AH42" i="40"/>
  <c r="AS3" i="40"/>
  <c r="AF79" i="40"/>
  <c r="AS73" i="40"/>
  <c r="AM5" i="39"/>
  <c r="AM13" i="39" s="1"/>
  <c r="BK41" i="39"/>
  <c r="BJ44" i="39"/>
  <c r="BK44" i="39"/>
  <c r="AN44" i="39"/>
  <c r="AN49" i="39" s="1"/>
  <c r="AR3" i="39"/>
  <c r="AP79" i="39"/>
  <c r="AP82" i="39" s="1"/>
  <c r="AR78" i="39"/>
  <c r="AP3" i="38"/>
  <c r="I8" i="38"/>
  <c r="E8" i="38" s="1"/>
  <c r="AO40" i="38"/>
  <c r="AM5" i="38"/>
  <c r="AM13" i="38" s="1"/>
  <c r="AG42" i="38"/>
  <c r="AE77" i="38"/>
  <c r="AE79" i="38" s="1"/>
  <c r="AK5" i="37"/>
  <c r="AK13" i="37" s="1"/>
  <c r="H46" i="37"/>
  <c r="H49" i="37" s="1"/>
  <c r="AJ44" i="37"/>
  <c r="AJ49" i="37" s="1"/>
  <c r="AC42" i="37"/>
  <c r="H13" i="37"/>
  <c r="AM79" i="37"/>
  <c r="AM82" i="37" s="1"/>
  <c r="G44" i="36"/>
  <c r="G5" i="36"/>
  <c r="AG5" i="36"/>
  <c r="AG13" i="36" s="1"/>
  <c r="Y42" i="36"/>
  <c r="AH44" i="36"/>
  <c r="AH49" i="36" s="1"/>
  <c r="AI79" i="36"/>
  <c r="AI82" i="36" s="1"/>
  <c r="AM3" i="36"/>
  <c r="AI5" i="35"/>
  <c r="AI13" i="35" s="1"/>
  <c r="Y42" i="35"/>
  <c r="Y47" i="35" s="1"/>
  <c r="AD79" i="35"/>
  <c r="G8" i="35"/>
  <c r="AE44" i="35"/>
  <c r="AE47" i="35" s="1"/>
  <c r="AO3" i="35"/>
  <c r="C33" i="21"/>
  <c r="C52" i="21" s="1"/>
  <c r="C44" i="21"/>
  <c r="C31" i="21"/>
  <c r="AQ9" i="16"/>
  <c r="AY46" i="49" l="1"/>
  <c r="AY49" i="49" s="1"/>
  <c r="AP49" i="48"/>
  <c r="AQ42" i="48"/>
  <c r="AP77" i="48"/>
  <c r="AP79" i="48" s="1"/>
  <c r="AV46" i="47"/>
  <c r="AV49" i="47" s="1"/>
  <c r="AO49" i="46"/>
  <c r="AP42" i="46"/>
  <c r="AN81" i="46"/>
  <c r="AO75" i="46"/>
  <c r="AV84" i="44"/>
  <c r="AW79" i="44"/>
  <c r="AW82" i="44" s="1"/>
  <c r="AR46" i="44"/>
  <c r="C46" i="44" s="1"/>
  <c r="C49" i="44" s="1"/>
  <c r="AK44" i="43"/>
  <c r="AK47" i="43" s="1"/>
  <c r="AK77" i="43"/>
  <c r="AK79" i="43" s="1"/>
  <c r="C55" i="21"/>
  <c r="H9" i="21" s="1"/>
  <c r="AQ5" i="42"/>
  <c r="AS79" i="42"/>
  <c r="AS82" i="42" s="1"/>
  <c r="AP44" i="42"/>
  <c r="AP49" i="42" s="1"/>
  <c r="AI75" i="41"/>
  <c r="AI42" i="41"/>
  <c r="AR5" i="41"/>
  <c r="AP5" i="40"/>
  <c r="AP13" i="40" s="1"/>
  <c r="AG75" i="40"/>
  <c r="AH44" i="40"/>
  <c r="AH47" i="40" s="1"/>
  <c r="BK78" i="40"/>
  <c r="BL78" i="40"/>
  <c r="AN5" i="39"/>
  <c r="AN13" i="39" s="1"/>
  <c r="AO44" i="39"/>
  <c r="AO49" i="39" s="1"/>
  <c r="AQ79" i="39"/>
  <c r="AQ82" i="39" s="1"/>
  <c r="BK77" i="39"/>
  <c r="BJ77" i="39"/>
  <c r="BJ76" i="39"/>
  <c r="BK76" i="39"/>
  <c r="I13" i="38"/>
  <c r="AQ3" i="38"/>
  <c r="AF75" i="38"/>
  <c r="AN5" i="38"/>
  <c r="AN13" i="38" s="1"/>
  <c r="E77" i="38"/>
  <c r="AG44" i="38"/>
  <c r="AG47" i="38" s="1"/>
  <c r="AP40" i="38"/>
  <c r="AN79" i="37"/>
  <c r="AN82" i="37" s="1"/>
  <c r="AK44" i="37"/>
  <c r="AK49" i="37" s="1"/>
  <c r="AL5" i="37"/>
  <c r="AL13" i="37" s="1"/>
  <c r="AD42" i="37"/>
  <c r="AN3" i="36"/>
  <c r="G8" i="36"/>
  <c r="AJ79" i="36"/>
  <c r="AJ82" i="36" s="1"/>
  <c r="Z42" i="36"/>
  <c r="AI44" i="36"/>
  <c r="AI49" i="36" s="1"/>
  <c r="AH5" i="36"/>
  <c r="AH13" i="36" s="1"/>
  <c r="G46" i="36"/>
  <c r="G49" i="36" s="1"/>
  <c r="AF42" i="35"/>
  <c r="AP3" i="35"/>
  <c r="AJ5" i="35"/>
  <c r="AJ13" i="35" s="1"/>
  <c r="AE75" i="35"/>
  <c r="G13" i="35"/>
  <c r="Z42" i="35"/>
  <c r="Z47" i="35" s="1"/>
  <c r="AE82" i="34"/>
  <c r="AD82" i="34"/>
  <c r="AC82" i="34"/>
  <c r="AB82" i="34"/>
  <c r="AA82" i="34"/>
  <c r="Z82" i="34"/>
  <c r="Y82" i="34"/>
  <c r="X82" i="34"/>
  <c r="W82" i="34"/>
  <c r="V82" i="34"/>
  <c r="AS81" i="34"/>
  <c r="C81" i="34"/>
  <c r="F80" i="34"/>
  <c r="E80" i="34"/>
  <c r="E82" i="34" s="1"/>
  <c r="D80" i="34"/>
  <c r="C80" i="34"/>
  <c r="C82" i="34" s="1"/>
  <c r="AF79" i="34"/>
  <c r="AF82" i="34" s="1"/>
  <c r="AS78" i="34"/>
  <c r="AT78" i="34" s="1"/>
  <c r="AU78" i="34" s="1"/>
  <c r="AV78" i="34" s="1"/>
  <c r="AW78" i="34" s="1"/>
  <c r="AX78" i="34" s="1"/>
  <c r="AY78" i="34" s="1"/>
  <c r="AZ78" i="34" s="1"/>
  <c r="BA78" i="34" s="1"/>
  <c r="BB78" i="34" s="1"/>
  <c r="BC78" i="34" s="1"/>
  <c r="BD78" i="34" s="1"/>
  <c r="AH78" i="34"/>
  <c r="V78" i="34"/>
  <c r="W78" i="34" s="1"/>
  <c r="X78" i="34" s="1"/>
  <c r="Y78" i="34" s="1"/>
  <c r="Z78" i="34" s="1"/>
  <c r="AA78" i="34" s="1"/>
  <c r="AB78" i="34" s="1"/>
  <c r="AC78" i="34" s="1"/>
  <c r="AD78" i="34" s="1"/>
  <c r="AE78" i="34" s="1"/>
  <c r="AF78" i="34" s="1"/>
  <c r="F78" i="34"/>
  <c r="G78" i="34" s="1"/>
  <c r="H78" i="34" s="1"/>
  <c r="BF75" i="34"/>
  <c r="AS67" i="34"/>
  <c r="AT67" i="34" s="1"/>
  <c r="AU67" i="34" s="1"/>
  <c r="AV67" i="34" s="1"/>
  <c r="AW67" i="34" s="1"/>
  <c r="AX67" i="34" s="1"/>
  <c r="AY67" i="34" s="1"/>
  <c r="AZ67" i="34" s="1"/>
  <c r="BA67" i="34" s="1"/>
  <c r="BB67" i="34" s="1"/>
  <c r="BC67" i="34" s="1"/>
  <c r="BD67" i="34" s="1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F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BD63" i="34"/>
  <c r="BC63" i="34"/>
  <c r="BB63" i="34"/>
  <c r="BA63" i="34"/>
  <c r="AZ63" i="34"/>
  <c r="AY63" i="34"/>
  <c r="AX63" i="34"/>
  <c r="AW63" i="34"/>
  <c r="AV63" i="34"/>
  <c r="AU63" i="34"/>
  <c r="AT63" i="34"/>
  <c r="AS63" i="34"/>
  <c r="AR63" i="34"/>
  <c r="AQ63" i="34"/>
  <c r="AP63" i="34"/>
  <c r="AO63" i="34"/>
  <c r="AN63" i="34"/>
  <c r="AM63" i="34"/>
  <c r="AL63" i="34"/>
  <c r="AK63" i="34"/>
  <c r="AJ63" i="34"/>
  <c r="AI63" i="34"/>
  <c r="AH63" i="34"/>
  <c r="AG63" i="34"/>
  <c r="BD62" i="34"/>
  <c r="BC62" i="34"/>
  <c r="BB62" i="34"/>
  <c r="BA62" i="34"/>
  <c r="AZ62" i="34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I62" i="34"/>
  <c r="AH62" i="34"/>
  <c r="AG62" i="34"/>
  <c r="BD61" i="34"/>
  <c r="BC61" i="34"/>
  <c r="BB61" i="34"/>
  <c r="BA61" i="34"/>
  <c r="AZ61" i="34"/>
  <c r="AY61" i="34"/>
  <c r="AX61" i="34"/>
  <c r="AW61" i="34"/>
  <c r="AV61" i="34"/>
  <c r="AU61" i="34"/>
  <c r="AT61" i="34"/>
  <c r="AS61" i="34"/>
  <c r="AR61" i="34"/>
  <c r="AQ61" i="34"/>
  <c r="AP61" i="34"/>
  <c r="AO61" i="34"/>
  <c r="AN61" i="34"/>
  <c r="AM61" i="34"/>
  <c r="AL61" i="34"/>
  <c r="AK61" i="34"/>
  <c r="AJ61" i="34"/>
  <c r="AI61" i="34"/>
  <c r="AH61" i="34"/>
  <c r="AG61" i="34"/>
  <c r="BD60" i="34"/>
  <c r="BC60" i="34"/>
  <c r="BB60" i="34"/>
  <c r="BA60" i="34"/>
  <c r="AZ60" i="34"/>
  <c r="AY60" i="34"/>
  <c r="AX60" i="34"/>
  <c r="AW60" i="34"/>
  <c r="AV60" i="34"/>
  <c r="AU60" i="34"/>
  <c r="AT60" i="34"/>
  <c r="AS60" i="34"/>
  <c r="AR60" i="34"/>
  <c r="AQ60" i="34"/>
  <c r="AP60" i="34"/>
  <c r="AO60" i="34"/>
  <c r="AN60" i="34"/>
  <c r="AM60" i="34"/>
  <c r="AL60" i="34"/>
  <c r="AK60" i="34"/>
  <c r="AJ60" i="34"/>
  <c r="AI60" i="34"/>
  <c r="AH60" i="34"/>
  <c r="AG60" i="34"/>
  <c r="BD59" i="34"/>
  <c r="BC59" i="34"/>
  <c r="BB59" i="34"/>
  <c r="BA59" i="34"/>
  <c r="AZ59" i="34"/>
  <c r="AY59" i="34"/>
  <c r="AX59" i="34"/>
  <c r="AW59" i="34"/>
  <c r="AV59" i="34"/>
  <c r="AU59" i="34"/>
  <c r="AT59" i="34"/>
  <c r="AS59" i="34"/>
  <c r="AR59" i="34"/>
  <c r="AQ59" i="34"/>
  <c r="AP59" i="34"/>
  <c r="AO59" i="34"/>
  <c r="AN59" i="34"/>
  <c r="AM59" i="34"/>
  <c r="AL59" i="34"/>
  <c r="AK59" i="34"/>
  <c r="AJ59" i="34"/>
  <c r="AI59" i="34"/>
  <c r="AH59" i="34"/>
  <c r="AG59" i="34"/>
  <c r="BD58" i="34"/>
  <c r="BC58" i="34"/>
  <c r="BB58" i="34"/>
  <c r="BA58" i="34"/>
  <c r="AZ58" i="34"/>
  <c r="AY58" i="34"/>
  <c r="AX58" i="34"/>
  <c r="AW58" i="34"/>
  <c r="AV58" i="34"/>
  <c r="AU58" i="34"/>
  <c r="AT58" i="34"/>
  <c r="AS58" i="34"/>
  <c r="AR58" i="34"/>
  <c r="AQ58" i="34"/>
  <c r="AP58" i="34"/>
  <c r="AO58" i="34"/>
  <c r="AN58" i="34"/>
  <c r="AM58" i="34"/>
  <c r="AL58" i="34"/>
  <c r="AK58" i="34"/>
  <c r="AJ58" i="34"/>
  <c r="AI58" i="34"/>
  <c r="AH58" i="34"/>
  <c r="AG58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BD56" i="34"/>
  <c r="BC56" i="34"/>
  <c r="BB56" i="34"/>
  <c r="BA56" i="34"/>
  <c r="AZ56" i="34"/>
  <c r="AY56" i="34"/>
  <c r="AX56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I56" i="34"/>
  <c r="AH56" i="34"/>
  <c r="AG56" i="34"/>
  <c r="BD55" i="34"/>
  <c r="BC55" i="34"/>
  <c r="BC64" i="34" s="1"/>
  <c r="BB55" i="34"/>
  <c r="BA55" i="34"/>
  <c r="BA80" i="34" s="1"/>
  <c r="AZ55" i="34"/>
  <c r="AY55" i="34"/>
  <c r="AY80" i="34" s="1"/>
  <c r="AX55" i="34"/>
  <c r="AW55" i="34"/>
  <c r="AW80" i="34" s="1"/>
  <c r="AV55" i="34"/>
  <c r="AU55" i="34"/>
  <c r="AT55" i="34"/>
  <c r="AS55" i="34"/>
  <c r="AS80" i="34" s="1"/>
  <c r="AR55" i="34"/>
  <c r="AQ55" i="34"/>
  <c r="AQ64" i="34" s="1"/>
  <c r="AP55" i="34"/>
  <c r="AO55" i="34"/>
  <c r="AO64" i="34" s="1"/>
  <c r="AN55" i="34"/>
  <c r="AM55" i="34"/>
  <c r="AM64" i="34" s="1"/>
  <c r="AL55" i="34"/>
  <c r="AK55" i="34"/>
  <c r="AK64" i="34" s="1"/>
  <c r="AJ55" i="34"/>
  <c r="AI55" i="34"/>
  <c r="AH55" i="34"/>
  <c r="AG55" i="34"/>
  <c r="AG64" i="34" s="1"/>
  <c r="AS54" i="34"/>
  <c r="AT54" i="34" s="1"/>
  <c r="AU54" i="34" s="1"/>
  <c r="AV54" i="34" s="1"/>
  <c r="AW54" i="34" s="1"/>
  <c r="AX54" i="34" s="1"/>
  <c r="AY54" i="34" s="1"/>
  <c r="AZ54" i="34" s="1"/>
  <c r="BA54" i="34" s="1"/>
  <c r="BB54" i="34" s="1"/>
  <c r="BC54" i="34" s="1"/>
  <c r="BD54" i="34" s="1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F46" i="34" s="1"/>
  <c r="D46" i="34" s="1"/>
  <c r="AD49" i="34"/>
  <c r="AC49" i="34"/>
  <c r="AB49" i="34"/>
  <c r="AA49" i="34"/>
  <c r="Z49" i="34"/>
  <c r="Y49" i="34"/>
  <c r="X49" i="34"/>
  <c r="W49" i="34"/>
  <c r="V49" i="34"/>
  <c r="C48" i="34"/>
  <c r="C47" i="34"/>
  <c r="BK46" i="34"/>
  <c r="BJ46" i="34"/>
  <c r="BI46" i="34"/>
  <c r="BH46" i="34"/>
  <c r="BG46" i="34"/>
  <c r="BF46" i="34"/>
  <c r="BI45" i="34"/>
  <c r="BH45" i="34"/>
  <c r="BG45" i="34"/>
  <c r="BD45" i="34"/>
  <c r="AR45" i="34"/>
  <c r="F45" i="34"/>
  <c r="E45" i="34"/>
  <c r="D45" i="34"/>
  <c r="C45" i="34"/>
  <c r="AS42" i="34"/>
  <c r="AT42" i="34" s="1"/>
  <c r="AU42" i="34" s="1"/>
  <c r="AV42" i="34" s="1"/>
  <c r="AW42" i="34" s="1"/>
  <c r="AX42" i="34" s="1"/>
  <c r="AY42" i="34" s="1"/>
  <c r="AZ42" i="34" s="1"/>
  <c r="BA42" i="34" s="1"/>
  <c r="BB42" i="34" s="1"/>
  <c r="BC42" i="34" s="1"/>
  <c r="BD42" i="34" s="1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G42" i="34" s="1"/>
  <c r="H42" i="34" s="1"/>
  <c r="BF40" i="34"/>
  <c r="AS31" i="34"/>
  <c r="AT31" i="34" s="1"/>
  <c r="AU31" i="34" s="1"/>
  <c r="AV31" i="34" s="1"/>
  <c r="AW31" i="34" s="1"/>
  <c r="AX31" i="34" s="1"/>
  <c r="AY31" i="34" s="1"/>
  <c r="AZ31" i="34" s="1"/>
  <c r="BA31" i="34" s="1"/>
  <c r="BB31" i="34" s="1"/>
  <c r="BC31" i="34" s="1"/>
  <c r="BD31" i="34" s="1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F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BD27" i="34"/>
  <c r="BC27" i="34"/>
  <c r="BB27" i="34"/>
  <c r="BA27" i="34"/>
  <c r="AZ27" i="34"/>
  <c r="AY27" i="34"/>
  <c r="AX27" i="34"/>
  <c r="AW27" i="34"/>
  <c r="AV27" i="34"/>
  <c r="AU27" i="34"/>
  <c r="AT27" i="34"/>
  <c r="AS27" i="34"/>
  <c r="AR27" i="34"/>
  <c r="AQ27" i="34"/>
  <c r="AP27" i="34"/>
  <c r="AO27" i="34"/>
  <c r="AN27" i="34"/>
  <c r="AM27" i="34"/>
  <c r="AL27" i="34"/>
  <c r="AK27" i="34"/>
  <c r="AJ27" i="34"/>
  <c r="AI27" i="34"/>
  <c r="AH27" i="34"/>
  <c r="AG27" i="34"/>
  <c r="D26" i="34"/>
  <c r="C26" i="34"/>
  <c r="BD25" i="34"/>
  <c r="BC25" i="34"/>
  <c r="BB25" i="34"/>
  <c r="BA25" i="34"/>
  <c r="AZ25" i="34"/>
  <c r="AY25" i="34"/>
  <c r="AX25" i="34"/>
  <c r="AW25" i="34"/>
  <c r="AV25" i="34"/>
  <c r="AU25" i="34"/>
  <c r="AT25" i="34"/>
  <c r="AS25" i="34"/>
  <c r="AR25" i="34"/>
  <c r="AQ25" i="34"/>
  <c r="AP25" i="34"/>
  <c r="AO25" i="34"/>
  <c r="AN25" i="34"/>
  <c r="AM25" i="34"/>
  <c r="AL25" i="34"/>
  <c r="AK25" i="34"/>
  <c r="AJ25" i="34"/>
  <c r="AI25" i="34"/>
  <c r="AH25" i="34"/>
  <c r="AG25" i="34"/>
  <c r="D24" i="34"/>
  <c r="C24" i="34"/>
  <c r="BD23" i="34"/>
  <c r="BC23" i="34"/>
  <c r="BB23" i="34"/>
  <c r="BA23" i="34"/>
  <c r="AZ23" i="34"/>
  <c r="AY23" i="34"/>
  <c r="AX23" i="34"/>
  <c r="AW23" i="34"/>
  <c r="AV23" i="34"/>
  <c r="AU23" i="34"/>
  <c r="AT23" i="34"/>
  <c r="AS23" i="34"/>
  <c r="AR23" i="34"/>
  <c r="AQ23" i="34"/>
  <c r="AP23" i="34"/>
  <c r="AO23" i="34"/>
  <c r="AN23" i="34"/>
  <c r="AM23" i="34"/>
  <c r="AL23" i="34"/>
  <c r="AK23" i="34"/>
  <c r="AJ23" i="34"/>
  <c r="AI23" i="34"/>
  <c r="AH23" i="34"/>
  <c r="AG23" i="34"/>
  <c r="BD21" i="34"/>
  <c r="BC21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K21" i="34"/>
  <c r="AJ21" i="34"/>
  <c r="AI21" i="34"/>
  <c r="AH21" i="34"/>
  <c r="AG21" i="34"/>
  <c r="BD20" i="34"/>
  <c r="BC20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J20" i="34"/>
  <c r="AI20" i="34"/>
  <c r="AH20" i="34"/>
  <c r="AG20" i="34"/>
  <c r="BD19" i="34"/>
  <c r="BC19" i="34"/>
  <c r="BB19" i="34"/>
  <c r="BA19" i="34"/>
  <c r="AZ19" i="34"/>
  <c r="AY19" i="34"/>
  <c r="AX19" i="34"/>
  <c r="AW19" i="34"/>
  <c r="AV19" i="34"/>
  <c r="AU19" i="34"/>
  <c r="AT19" i="34"/>
  <c r="AS19" i="34"/>
  <c r="AR19" i="34"/>
  <c r="AQ19" i="34"/>
  <c r="AP19" i="34"/>
  <c r="AO19" i="34"/>
  <c r="AN19" i="34"/>
  <c r="AM19" i="34"/>
  <c r="AL19" i="34"/>
  <c r="AK19" i="34"/>
  <c r="AJ19" i="34"/>
  <c r="AI19" i="34"/>
  <c r="AH19" i="34"/>
  <c r="AG19" i="34"/>
  <c r="AS18" i="34"/>
  <c r="AT18" i="34" s="1"/>
  <c r="AU18" i="34" s="1"/>
  <c r="AV18" i="34" s="1"/>
  <c r="AW18" i="34" s="1"/>
  <c r="AX18" i="34" s="1"/>
  <c r="AY18" i="34" s="1"/>
  <c r="AZ18" i="34" s="1"/>
  <c r="BA18" i="34" s="1"/>
  <c r="BB18" i="34" s="1"/>
  <c r="BC18" i="34" s="1"/>
  <c r="BD18" i="34" s="1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F5" i="34" s="1"/>
  <c r="AD13" i="34"/>
  <c r="AC13" i="34"/>
  <c r="AB13" i="34"/>
  <c r="AA13" i="34"/>
  <c r="Z13" i="34"/>
  <c r="Y13" i="34"/>
  <c r="X13" i="34"/>
  <c r="W13" i="34"/>
  <c r="V13" i="34"/>
  <c r="AF12" i="34"/>
  <c r="AQ10" i="34" s="1"/>
  <c r="C10" i="34" s="1"/>
  <c r="C12" i="34"/>
  <c r="BK10" i="34"/>
  <c r="BI10" i="34"/>
  <c r="BH10" i="34"/>
  <c r="BG10" i="34"/>
  <c r="BF10" i="34"/>
  <c r="AQ9" i="34"/>
  <c r="C9" i="34" s="1"/>
  <c r="E8" i="34"/>
  <c r="E13" i="34" s="1"/>
  <c r="F5" i="34" s="1"/>
  <c r="D7" i="34"/>
  <c r="D6" i="34"/>
  <c r="AT3" i="34"/>
  <c r="AU3" i="34" s="1"/>
  <c r="AV3" i="34" s="1"/>
  <c r="AW3" i="34" s="1"/>
  <c r="AX3" i="34" s="1"/>
  <c r="AY3" i="34" s="1"/>
  <c r="AZ3" i="34" s="1"/>
  <c r="BA3" i="34" s="1"/>
  <c r="BB3" i="34" s="1"/>
  <c r="BC3" i="34" s="1"/>
  <c r="BD3" i="34" s="1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AB79" i="33"/>
  <c r="AA79" i="33"/>
  <c r="Z79" i="33"/>
  <c r="X79" i="33"/>
  <c r="W79" i="33"/>
  <c r="D78" i="33"/>
  <c r="G77" i="33"/>
  <c r="V76" i="33"/>
  <c r="E76" i="33" s="1"/>
  <c r="I76" i="33"/>
  <c r="I77" i="33" s="1"/>
  <c r="F76" i="33"/>
  <c r="F77" i="33" s="1"/>
  <c r="BG74" i="33"/>
  <c r="AT73" i="33"/>
  <c r="AU73" i="33" s="1"/>
  <c r="AV73" i="33" s="1"/>
  <c r="AW73" i="33" s="1"/>
  <c r="AX73" i="33" s="1"/>
  <c r="AY73" i="33" s="1"/>
  <c r="AZ73" i="33" s="1"/>
  <c r="BA73" i="33" s="1"/>
  <c r="BB73" i="33" s="1"/>
  <c r="BC73" i="33" s="1"/>
  <c r="BD73" i="33" s="1"/>
  <c r="BE73" i="33" s="1"/>
  <c r="AI73" i="33"/>
  <c r="AJ73" i="33" s="1"/>
  <c r="AK73" i="33" s="1"/>
  <c r="AL73" i="33" s="1"/>
  <c r="AM73" i="33" s="1"/>
  <c r="AN73" i="33" s="1"/>
  <c r="AO73" i="33" s="1"/>
  <c r="AP73" i="33" s="1"/>
  <c r="AQ73" i="33" s="1"/>
  <c r="AR73" i="33" s="1"/>
  <c r="AS73" i="33" s="1"/>
  <c r="W73" i="33"/>
  <c r="X73" i="33" s="1"/>
  <c r="Y73" i="33" s="1"/>
  <c r="Z73" i="33" s="1"/>
  <c r="AA73" i="33" s="1"/>
  <c r="AB73" i="33" s="1"/>
  <c r="AC73" i="33" s="1"/>
  <c r="AD73" i="33" s="1"/>
  <c r="AE73" i="33" s="1"/>
  <c r="AF73" i="33" s="1"/>
  <c r="AG73" i="33" s="1"/>
  <c r="G73" i="33"/>
  <c r="H73" i="33" s="1"/>
  <c r="I73" i="33" s="1"/>
  <c r="AT63" i="33"/>
  <c r="AU63" i="33" s="1"/>
  <c r="AV63" i="33" s="1"/>
  <c r="AW63" i="33" s="1"/>
  <c r="AX63" i="33" s="1"/>
  <c r="AY63" i="33" s="1"/>
  <c r="AZ63" i="33" s="1"/>
  <c r="BA63" i="33" s="1"/>
  <c r="BB63" i="33" s="1"/>
  <c r="BC63" i="33" s="1"/>
  <c r="BD63" i="33" s="1"/>
  <c r="BE63" i="33" s="1"/>
  <c r="AI63" i="33"/>
  <c r="AJ63" i="33" s="1"/>
  <c r="AK63" i="33" s="1"/>
  <c r="AL63" i="33" s="1"/>
  <c r="AM63" i="33" s="1"/>
  <c r="AN63" i="33" s="1"/>
  <c r="AO63" i="33" s="1"/>
  <c r="AP63" i="33" s="1"/>
  <c r="AQ63" i="33" s="1"/>
  <c r="AR63" i="33" s="1"/>
  <c r="AS63" i="33" s="1"/>
  <c r="W63" i="33"/>
  <c r="X63" i="33" s="1"/>
  <c r="Y63" i="33" s="1"/>
  <c r="Z63" i="33" s="1"/>
  <c r="AA63" i="33" s="1"/>
  <c r="AB63" i="33" s="1"/>
  <c r="AC63" i="33" s="1"/>
  <c r="AD63" i="33" s="1"/>
  <c r="AE63" i="33" s="1"/>
  <c r="AF63" i="33" s="1"/>
  <c r="AG63" i="33" s="1"/>
  <c r="G63" i="33"/>
  <c r="H63" i="33" s="1"/>
  <c r="I63" i="33" s="1"/>
  <c r="E61" i="33"/>
  <c r="D61" i="33"/>
  <c r="AQ60" i="33"/>
  <c r="AP60" i="33"/>
  <c r="AO60" i="33"/>
  <c r="AN60" i="33"/>
  <c r="AM60" i="33"/>
  <c r="AL60" i="33"/>
  <c r="AK60" i="33"/>
  <c r="AJ60" i="33"/>
  <c r="AI60" i="33"/>
  <c r="AH60" i="33"/>
  <c r="AF60" i="33"/>
  <c r="AE60" i="33"/>
  <c r="AD60" i="33"/>
  <c r="AC60" i="33"/>
  <c r="AB60" i="33"/>
  <c r="AA60" i="33"/>
  <c r="Z60" i="33"/>
  <c r="Y60" i="33"/>
  <c r="X60" i="33"/>
  <c r="W60" i="33"/>
  <c r="V60" i="33"/>
  <c r="I60" i="33"/>
  <c r="H60" i="33"/>
  <c r="G60" i="33"/>
  <c r="E59" i="33"/>
  <c r="D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G58" i="33"/>
  <c r="D58" i="33" s="1"/>
  <c r="E58" i="33"/>
  <c r="E57" i="33"/>
  <c r="D57" i="33"/>
  <c r="E56" i="33"/>
  <c r="D56" i="33"/>
  <c r="E55" i="33"/>
  <c r="BE54" i="33"/>
  <c r="AT54" i="33"/>
  <c r="AS54" i="33"/>
  <c r="E54" i="33"/>
  <c r="D54" i="33"/>
  <c r="BE53" i="33"/>
  <c r="AT53" i="33"/>
  <c r="AS53" i="33"/>
  <c r="E53" i="33"/>
  <c r="D53" i="33"/>
  <c r="BE52" i="33"/>
  <c r="AT52" i="33"/>
  <c r="AS52" i="33"/>
  <c r="E52" i="33"/>
  <c r="D52" i="33"/>
  <c r="AT51" i="33"/>
  <c r="AU51" i="33" s="1"/>
  <c r="AV51" i="33" s="1"/>
  <c r="AW51" i="33" s="1"/>
  <c r="AX51" i="33" s="1"/>
  <c r="AY51" i="33" s="1"/>
  <c r="AZ51" i="33" s="1"/>
  <c r="BA51" i="33" s="1"/>
  <c r="BB51" i="33" s="1"/>
  <c r="BC51" i="33" s="1"/>
  <c r="BD51" i="33" s="1"/>
  <c r="BE51" i="33" s="1"/>
  <c r="AI51" i="33"/>
  <c r="AJ51" i="33" s="1"/>
  <c r="AK51" i="33" s="1"/>
  <c r="AL51" i="33" s="1"/>
  <c r="AM51" i="33" s="1"/>
  <c r="AN51" i="33" s="1"/>
  <c r="AO51" i="33" s="1"/>
  <c r="AP51" i="33" s="1"/>
  <c r="AQ51" i="33" s="1"/>
  <c r="AR51" i="33" s="1"/>
  <c r="AS51" i="33" s="1"/>
  <c r="W51" i="33"/>
  <c r="X51" i="33" s="1"/>
  <c r="Y51" i="33" s="1"/>
  <c r="Z51" i="33" s="1"/>
  <c r="AA51" i="33" s="1"/>
  <c r="AB51" i="33" s="1"/>
  <c r="AC51" i="33" s="1"/>
  <c r="AD51" i="33" s="1"/>
  <c r="AE51" i="33" s="1"/>
  <c r="AF51" i="33" s="1"/>
  <c r="AG51" i="33" s="1"/>
  <c r="G51" i="33"/>
  <c r="H51" i="33" s="1"/>
  <c r="I51" i="33" s="1"/>
  <c r="BL47" i="33"/>
  <c r="BJ47" i="33"/>
  <c r="BI47" i="33"/>
  <c r="BH47" i="33"/>
  <c r="BG47" i="33"/>
  <c r="AC47" i="33"/>
  <c r="AD42" i="33" s="1"/>
  <c r="AB47" i="33"/>
  <c r="AA47" i="33"/>
  <c r="V47" i="33"/>
  <c r="BJ46" i="33"/>
  <c r="BI46" i="33"/>
  <c r="BH46" i="33"/>
  <c r="U46" i="33"/>
  <c r="D46" i="33"/>
  <c r="D45" i="33"/>
  <c r="T44" i="33"/>
  <c r="T47" i="33" s="1"/>
  <c r="U42" i="33" s="1"/>
  <c r="AE43" i="33"/>
  <c r="AD43" i="33"/>
  <c r="X43" i="33"/>
  <c r="W43" i="33"/>
  <c r="I43" i="33"/>
  <c r="F43" i="33"/>
  <c r="E43" i="33"/>
  <c r="D43" i="33"/>
  <c r="BG41" i="33"/>
  <c r="AT40" i="33"/>
  <c r="AU40" i="33" s="1"/>
  <c r="AV40" i="33" s="1"/>
  <c r="AW40" i="33" s="1"/>
  <c r="AX40" i="33" s="1"/>
  <c r="AY40" i="33" s="1"/>
  <c r="AZ40" i="33" s="1"/>
  <c r="BA40" i="33" s="1"/>
  <c r="BB40" i="33" s="1"/>
  <c r="BC40" i="33" s="1"/>
  <c r="BD40" i="33" s="1"/>
  <c r="BE40" i="33" s="1"/>
  <c r="AI40" i="33"/>
  <c r="W40" i="33"/>
  <c r="X40" i="33" s="1"/>
  <c r="Y40" i="33" s="1"/>
  <c r="Z40" i="33" s="1"/>
  <c r="AA40" i="33" s="1"/>
  <c r="AB40" i="33" s="1"/>
  <c r="AC40" i="33" s="1"/>
  <c r="AD40" i="33" s="1"/>
  <c r="AE40" i="33" s="1"/>
  <c r="AF40" i="33" s="1"/>
  <c r="AG40" i="33" s="1"/>
  <c r="G40" i="33"/>
  <c r="H40" i="33" s="1"/>
  <c r="I40" i="33" s="1"/>
  <c r="AT30" i="33"/>
  <c r="AU30" i="33" s="1"/>
  <c r="AV30" i="33" s="1"/>
  <c r="AW30" i="33" s="1"/>
  <c r="AX30" i="33" s="1"/>
  <c r="AY30" i="33" s="1"/>
  <c r="AZ30" i="33" s="1"/>
  <c r="BA30" i="33" s="1"/>
  <c r="BB30" i="33" s="1"/>
  <c r="BC30" i="33" s="1"/>
  <c r="BD30" i="33" s="1"/>
  <c r="BE30" i="33" s="1"/>
  <c r="AI30" i="33"/>
  <c r="AJ30" i="33" s="1"/>
  <c r="AK30" i="33" s="1"/>
  <c r="AL30" i="33" s="1"/>
  <c r="AM30" i="33" s="1"/>
  <c r="AN30" i="33" s="1"/>
  <c r="AO30" i="33" s="1"/>
  <c r="AP30" i="33" s="1"/>
  <c r="AQ30" i="33" s="1"/>
  <c r="AR30" i="33" s="1"/>
  <c r="AS30" i="33" s="1"/>
  <c r="W30" i="33"/>
  <c r="X30" i="33" s="1"/>
  <c r="Y30" i="33" s="1"/>
  <c r="Z30" i="33" s="1"/>
  <c r="AA30" i="33" s="1"/>
  <c r="AB30" i="33" s="1"/>
  <c r="AC30" i="33" s="1"/>
  <c r="AD30" i="33" s="1"/>
  <c r="AE30" i="33" s="1"/>
  <c r="AF30" i="33" s="1"/>
  <c r="AG30" i="33" s="1"/>
  <c r="G30" i="33"/>
  <c r="H30" i="33" s="1"/>
  <c r="I30" i="33" s="1"/>
  <c r="E28" i="33"/>
  <c r="D28" i="33"/>
  <c r="AQ27" i="33"/>
  <c r="AP27" i="33"/>
  <c r="AO27" i="33"/>
  <c r="AN27" i="33"/>
  <c r="AF27" i="33"/>
  <c r="AE27" i="33"/>
  <c r="AD27" i="33"/>
  <c r="AC27" i="33"/>
  <c r="AA27" i="33"/>
  <c r="Z27" i="33"/>
  <c r="Y27" i="33"/>
  <c r="X27" i="33"/>
  <c r="W27" i="33"/>
  <c r="V27" i="33"/>
  <c r="I27" i="33"/>
  <c r="H27" i="33"/>
  <c r="F27" i="33"/>
  <c r="E26" i="33"/>
  <c r="D26" i="33"/>
  <c r="E25" i="33"/>
  <c r="D25" i="33"/>
  <c r="AY24" i="33"/>
  <c r="AX24" i="33"/>
  <c r="AW24" i="33"/>
  <c r="AV24" i="33"/>
  <c r="AU24" i="33"/>
  <c r="AT24" i="33"/>
  <c r="AM24" i="33"/>
  <c r="AM27" i="33" s="1"/>
  <c r="AL24" i="33"/>
  <c r="AL27" i="33" s="1"/>
  <c r="AK24" i="33"/>
  <c r="AK27" i="33" s="1"/>
  <c r="AJ24" i="33"/>
  <c r="AJ27" i="33" s="1"/>
  <c r="AI24" i="33"/>
  <c r="AI27" i="33" s="1"/>
  <c r="AH24" i="33"/>
  <c r="AG24" i="33"/>
  <c r="AG27" i="33" s="1"/>
  <c r="AB24" i="33"/>
  <c r="E23" i="33"/>
  <c r="D23" i="33"/>
  <c r="E22" i="33"/>
  <c r="D22" i="33"/>
  <c r="E21" i="33"/>
  <c r="D21" i="33"/>
  <c r="BE20" i="33"/>
  <c r="AT20" i="33"/>
  <c r="AS20" i="33"/>
  <c r="E20" i="33"/>
  <c r="BE19" i="33"/>
  <c r="BE27" i="33" s="1"/>
  <c r="AT19" i="33"/>
  <c r="AT43" i="33" s="1"/>
  <c r="AS19" i="33"/>
  <c r="AS27" i="33" s="1"/>
  <c r="E19" i="33"/>
  <c r="AT18" i="33"/>
  <c r="AU18" i="33" s="1"/>
  <c r="AV18" i="33" s="1"/>
  <c r="AW18" i="33" s="1"/>
  <c r="AX18" i="33" s="1"/>
  <c r="AY18" i="33" s="1"/>
  <c r="AZ18" i="33" s="1"/>
  <c r="BA18" i="33" s="1"/>
  <c r="BB18" i="33" s="1"/>
  <c r="BC18" i="33" s="1"/>
  <c r="BD18" i="33" s="1"/>
  <c r="BE18" i="33" s="1"/>
  <c r="AI18" i="33"/>
  <c r="AJ18" i="33" s="1"/>
  <c r="AK18" i="33" s="1"/>
  <c r="AL18" i="33" s="1"/>
  <c r="AM18" i="33" s="1"/>
  <c r="AN18" i="33" s="1"/>
  <c r="AO18" i="33" s="1"/>
  <c r="AP18" i="33" s="1"/>
  <c r="AQ18" i="33" s="1"/>
  <c r="AR18" i="33" s="1"/>
  <c r="AS18" i="33" s="1"/>
  <c r="W18" i="33"/>
  <c r="X18" i="33" s="1"/>
  <c r="Y18" i="33" s="1"/>
  <c r="Z18" i="33" s="1"/>
  <c r="AA18" i="33" s="1"/>
  <c r="AB18" i="33" s="1"/>
  <c r="AC18" i="33" s="1"/>
  <c r="AD18" i="33" s="1"/>
  <c r="AE18" i="33" s="1"/>
  <c r="AF18" i="33" s="1"/>
  <c r="AG18" i="33" s="1"/>
  <c r="G18" i="33"/>
  <c r="H18" i="33" s="1"/>
  <c r="I18" i="33" s="1"/>
  <c r="AF13" i="33"/>
  <c r="AG5" i="33" s="1"/>
  <c r="AG8" i="33" s="1"/>
  <c r="AR11" i="33" s="1"/>
  <c r="AE13" i="33"/>
  <c r="AD13" i="33"/>
  <c r="AC13" i="33"/>
  <c r="AB13" i="33"/>
  <c r="AA13" i="33"/>
  <c r="Z13" i="33"/>
  <c r="Y13" i="33"/>
  <c r="X13" i="33"/>
  <c r="W13" i="33"/>
  <c r="V13" i="33"/>
  <c r="T13" i="33"/>
  <c r="D12" i="33"/>
  <c r="BL10" i="33"/>
  <c r="BJ10" i="33"/>
  <c r="BI10" i="33"/>
  <c r="BH10" i="33"/>
  <c r="BG10" i="33"/>
  <c r="AR10" i="33"/>
  <c r="AR9" i="33"/>
  <c r="F8" i="33"/>
  <c r="E7" i="33"/>
  <c r="E6" i="33"/>
  <c r="U5" i="33"/>
  <c r="U13" i="33" s="1"/>
  <c r="AU3" i="33"/>
  <c r="AV3" i="33" s="1"/>
  <c r="AW3" i="33" s="1"/>
  <c r="AX3" i="33" s="1"/>
  <c r="AY3" i="33" s="1"/>
  <c r="AZ3" i="33" s="1"/>
  <c r="BA3" i="33" s="1"/>
  <c r="BB3" i="33" s="1"/>
  <c r="BC3" i="33" s="1"/>
  <c r="BD3" i="33" s="1"/>
  <c r="BE3" i="33" s="1"/>
  <c r="AI3" i="33"/>
  <c r="AJ3" i="33" s="1"/>
  <c r="W3" i="33"/>
  <c r="X3" i="33" s="1"/>
  <c r="Y3" i="33" s="1"/>
  <c r="Z3" i="33" s="1"/>
  <c r="AA3" i="33" s="1"/>
  <c r="AB3" i="33" s="1"/>
  <c r="AC3" i="33" s="1"/>
  <c r="AD3" i="33" s="1"/>
  <c r="AE3" i="33" s="1"/>
  <c r="AF3" i="33" s="1"/>
  <c r="AG3" i="33" s="1"/>
  <c r="G3" i="33"/>
  <c r="H3" i="33" s="1"/>
  <c r="I3" i="33" s="1"/>
  <c r="AY51" i="49" l="1"/>
  <c r="AZ44" i="49"/>
  <c r="AP81" i="48"/>
  <c r="AQ75" i="48"/>
  <c r="AQ44" i="48"/>
  <c r="E44" i="48" s="1"/>
  <c r="AD44" i="33"/>
  <c r="AW44" i="47"/>
  <c r="AV51" i="47"/>
  <c r="AO77" i="46"/>
  <c r="AO79" i="46" s="1"/>
  <c r="AP44" i="46"/>
  <c r="AP47" i="46" s="1"/>
  <c r="AN28" i="34"/>
  <c r="AR28" i="34"/>
  <c r="BD28" i="34"/>
  <c r="U47" i="33"/>
  <c r="AR49" i="44"/>
  <c r="AX79" i="44"/>
  <c r="AX82" i="44" s="1"/>
  <c r="AW84" i="44"/>
  <c r="AL75" i="43"/>
  <c r="AK81" i="43"/>
  <c r="AL42" i="43"/>
  <c r="AK49" i="43"/>
  <c r="D76" i="33"/>
  <c r="AL28" i="34"/>
  <c r="AP28" i="34"/>
  <c r="AT28" i="34"/>
  <c r="BB28" i="34"/>
  <c r="AQ44" i="42"/>
  <c r="AT79" i="42"/>
  <c r="AT82" i="42" s="1"/>
  <c r="AI44" i="41"/>
  <c r="AI77" i="41"/>
  <c r="AI79" i="41" s="1"/>
  <c r="BK80" i="39"/>
  <c r="AQ5" i="40"/>
  <c r="AQ13" i="40" s="1"/>
  <c r="AG77" i="40"/>
  <c r="D77" i="40" s="1"/>
  <c r="AI42" i="40"/>
  <c r="AO5" i="39"/>
  <c r="AO13" i="39" s="1"/>
  <c r="AR79" i="39"/>
  <c r="AR82" i="39" s="1"/>
  <c r="AP44" i="39"/>
  <c r="AP49" i="39" s="1"/>
  <c r="D24" i="33"/>
  <c r="AO5" i="38"/>
  <c r="AO13" i="38" s="1"/>
  <c r="AF77" i="38"/>
  <c r="AF79" i="38" s="1"/>
  <c r="AH42" i="38"/>
  <c r="AQ40" i="38"/>
  <c r="AR3" i="38"/>
  <c r="AE42" i="37"/>
  <c r="AM5" i="37"/>
  <c r="AM13" i="37" s="1"/>
  <c r="AO79" i="37"/>
  <c r="AO82" i="37" s="1"/>
  <c r="AL44" i="37"/>
  <c r="AL49" i="37" s="1"/>
  <c r="AJ28" i="34"/>
  <c r="H44" i="36"/>
  <c r="AJ44" i="36"/>
  <c r="AJ49" i="36" s="1"/>
  <c r="AA42" i="36"/>
  <c r="G13" i="36"/>
  <c r="AO3" i="36"/>
  <c r="AK79" i="36"/>
  <c r="AK82" i="36" s="1"/>
  <c r="AI5" i="36"/>
  <c r="AI13" i="36" s="1"/>
  <c r="H5" i="35"/>
  <c r="AE77" i="35"/>
  <c r="AQ3" i="35"/>
  <c r="AK5" i="35"/>
  <c r="AK13" i="35" s="1"/>
  <c r="AF44" i="35"/>
  <c r="AF47" i="35" s="1"/>
  <c r="D63" i="34"/>
  <c r="C23" i="34"/>
  <c r="C27" i="34"/>
  <c r="D56" i="34"/>
  <c r="D59" i="34"/>
  <c r="D60" i="34"/>
  <c r="D62" i="34"/>
  <c r="AI64" i="34"/>
  <c r="AU80" i="34"/>
  <c r="D20" i="34"/>
  <c r="D55" i="34"/>
  <c r="E27" i="33"/>
  <c r="E60" i="33"/>
  <c r="AF8" i="34"/>
  <c r="AQ11" i="34" s="1"/>
  <c r="C11" i="34" s="1"/>
  <c r="AH28" i="34"/>
  <c r="C20" i="34"/>
  <c r="AX28" i="34"/>
  <c r="AY45" i="34"/>
  <c r="AO28" i="34"/>
  <c r="D23" i="34"/>
  <c r="C25" i="34"/>
  <c r="D27" i="34"/>
  <c r="D28" i="34"/>
  <c r="E46" i="34"/>
  <c r="E49" i="34" s="1"/>
  <c r="AV80" i="34"/>
  <c r="AZ80" i="34"/>
  <c r="C57" i="34"/>
  <c r="D58" i="34"/>
  <c r="C61" i="34"/>
  <c r="D64" i="34"/>
  <c r="AS64" i="34"/>
  <c r="AU64" i="34"/>
  <c r="AW64" i="34"/>
  <c r="AY64" i="34"/>
  <c r="BA64" i="34"/>
  <c r="AM28" i="34"/>
  <c r="AQ28" i="34"/>
  <c r="AU45" i="34"/>
  <c r="BC28" i="34"/>
  <c r="D25" i="34"/>
  <c r="BK41" i="34"/>
  <c r="D21" i="34"/>
  <c r="C21" i="34"/>
  <c r="AI28" i="34"/>
  <c r="AY28" i="34"/>
  <c r="F8" i="34"/>
  <c r="F13" i="34" s="1"/>
  <c r="D19" i="34"/>
  <c r="AG28" i="34"/>
  <c r="C19" i="34"/>
  <c r="AK28" i="34"/>
  <c r="AS28" i="34"/>
  <c r="AS45" i="34"/>
  <c r="AW45" i="34"/>
  <c r="AW28" i="34"/>
  <c r="BA45" i="34"/>
  <c r="BA28" i="34"/>
  <c r="AI78" i="34"/>
  <c r="AG79" i="34"/>
  <c r="AG82" i="34" s="1"/>
  <c r="AT45" i="34"/>
  <c r="BJ44" i="34" s="1"/>
  <c r="AX45" i="34"/>
  <c r="BB45" i="34"/>
  <c r="AU28" i="34"/>
  <c r="AF49" i="34"/>
  <c r="AV45" i="34"/>
  <c r="AV28" i="34"/>
  <c r="AZ45" i="34"/>
  <c r="AZ28" i="34"/>
  <c r="AH64" i="34"/>
  <c r="C55" i="34"/>
  <c r="AL64" i="34"/>
  <c r="AP64" i="34"/>
  <c r="AT64" i="34"/>
  <c r="AX64" i="34"/>
  <c r="BB64" i="34"/>
  <c r="C56" i="34"/>
  <c r="D57" i="34"/>
  <c r="C59" i="34"/>
  <c r="C60" i="34"/>
  <c r="D61" i="34"/>
  <c r="C63" i="34"/>
  <c r="AT80" i="34"/>
  <c r="BB80" i="34"/>
  <c r="AJ64" i="34"/>
  <c r="AN64" i="34"/>
  <c r="AR64" i="34"/>
  <c r="AV64" i="34"/>
  <c r="AZ64" i="34"/>
  <c r="BD64" i="34"/>
  <c r="C58" i="34"/>
  <c r="C62" i="34"/>
  <c r="F79" i="34"/>
  <c r="F82" i="34" s="1"/>
  <c r="AX80" i="34"/>
  <c r="AG13" i="33"/>
  <c r="AH27" i="33"/>
  <c r="E24" i="33"/>
  <c r="AK3" i="33"/>
  <c r="F13" i="33"/>
  <c r="AJ40" i="33"/>
  <c r="W42" i="33"/>
  <c r="W47" i="33" s="1"/>
  <c r="AD47" i="33"/>
  <c r="BL78" i="33"/>
  <c r="BK78" i="33"/>
  <c r="AT27" i="33"/>
  <c r="Y75" i="33"/>
  <c r="AC75" i="33"/>
  <c r="AT19" i="16"/>
  <c r="AZ46" i="49" l="1"/>
  <c r="AZ49" i="49"/>
  <c r="AQ47" i="48"/>
  <c r="AQ77" i="48"/>
  <c r="AQ79" i="48" s="1"/>
  <c r="AW46" i="47"/>
  <c r="AW49" i="47" s="1"/>
  <c r="AP49" i="46"/>
  <c r="AQ42" i="46"/>
  <c r="AP75" i="46"/>
  <c r="AO81" i="46"/>
  <c r="AR51" i="44"/>
  <c r="AS44" i="44"/>
  <c r="AY79" i="44"/>
  <c r="AY82" i="44" s="1"/>
  <c r="AX84" i="44"/>
  <c r="AL44" i="43"/>
  <c r="AL47" i="43" s="1"/>
  <c r="AL77" i="43"/>
  <c r="AL79" i="43" s="1"/>
  <c r="AF13" i="34"/>
  <c r="AG5" i="34" s="1"/>
  <c r="AG13" i="34" s="1"/>
  <c r="AH5" i="34" s="1"/>
  <c r="AH13" i="34" s="1"/>
  <c r="AI5" i="34" s="1"/>
  <c r="AI13" i="34" s="1"/>
  <c r="AJ5" i="34" s="1"/>
  <c r="AJ13" i="34" s="1"/>
  <c r="AU79" i="42"/>
  <c r="AU82" i="42" s="1"/>
  <c r="AQ46" i="42"/>
  <c r="AQ49" i="42" s="1"/>
  <c r="AJ75" i="41"/>
  <c r="AI47" i="41"/>
  <c r="AR5" i="40"/>
  <c r="AI44" i="40"/>
  <c r="AG79" i="40"/>
  <c r="AS79" i="39"/>
  <c r="AS82" i="39" s="1"/>
  <c r="AQ44" i="39"/>
  <c r="AP5" i="39"/>
  <c r="AP13" i="39" s="1"/>
  <c r="AG75" i="38"/>
  <c r="AR40" i="38"/>
  <c r="AH44" i="38"/>
  <c r="AH47" i="38" s="1"/>
  <c r="AP5" i="38"/>
  <c r="AP13" i="38" s="1"/>
  <c r="AS3" i="38"/>
  <c r="AP79" i="37"/>
  <c r="AP82" i="37" s="1"/>
  <c r="AN5" i="37"/>
  <c r="AN13" i="37" s="1"/>
  <c r="AM44" i="37"/>
  <c r="AM49" i="37" s="1"/>
  <c r="AF42" i="37"/>
  <c r="AJ5" i="36"/>
  <c r="AJ13" i="36" s="1"/>
  <c r="AP3" i="36"/>
  <c r="AB42" i="36"/>
  <c r="H46" i="36"/>
  <c r="H49" i="36" s="1"/>
  <c r="H5" i="36"/>
  <c r="AK44" i="36"/>
  <c r="AK49" i="36" s="1"/>
  <c r="AL79" i="36"/>
  <c r="AL82" i="36" s="1"/>
  <c r="E77" i="35"/>
  <c r="AR3" i="35"/>
  <c r="AE79" i="35"/>
  <c r="AG42" i="35"/>
  <c r="AL5" i="35"/>
  <c r="AL13" i="35" s="1"/>
  <c r="H8" i="35"/>
  <c r="F44" i="34"/>
  <c r="F46" i="34" s="1"/>
  <c r="F49" i="34" s="1"/>
  <c r="C64" i="34"/>
  <c r="AJ78" i="34"/>
  <c r="AG44" i="34"/>
  <c r="AG49" i="34" s="1"/>
  <c r="C28" i="34"/>
  <c r="G79" i="34"/>
  <c r="G82" i="34" s="1"/>
  <c r="AH79" i="34"/>
  <c r="AH82" i="34" s="1"/>
  <c r="G5" i="34"/>
  <c r="BK44" i="34"/>
  <c r="G5" i="33"/>
  <c r="AH5" i="33"/>
  <c r="AH13" i="33" s="1"/>
  <c r="Y77" i="33"/>
  <c r="Y79" i="33" s="1"/>
  <c r="X42" i="33"/>
  <c r="X47" i="33" s="1"/>
  <c r="AC77" i="33"/>
  <c r="AC79" i="33" s="1"/>
  <c r="AE42" i="33"/>
  <c r="AK40" i="33"/>
  <c r="AL3" i="33"/>
  <c r="C57" i="19"/>
  <c r="H11" i="19" s="1"/>
  <c r="C56" i="19"/>
  <c r="H10" i="19" s="1"/>
  <c r="K10" i="19" s="1"/>
  <c r="C53" i="19"/>
  <c r="C44" i="19"/>
  <c r="C43" i="19"/>
  <c r="C6" i="19"/>
  <c r="C4" i="19"/>
  <c r="C8" i="19"/>
  <c r="C5" i="19"/>
  <c r="C9" i="19"/>
  <c r="C15" i="19"/>
  <c r="C12" i="19"/>
  <c r="C18" i="19"/>
  <c r="C21" i="19"/>
  <c r="BB83" i="42"/>
  <c r="V14" i="42"/>
  <c r="V48" i="41"/>
  <c r="AK14" i="42"/>
  <c r="AE80" i="40"/>
  <c r="AN50" i="39"/>
  <c r="AX50" i="42"/>
  <c r="AB83" i="42"/>
  <c r="Y80" i="41"/>
  <c r="BC14" i="41"/>
  <c r="AE48" i="40"/>
  <c r="G14" i="40"/>
  <c r="Z14" i="39"/>
  <c r="Y83" i="42"/>
  <c r="BE48" i="41"/>
  <c r="AD14" i="41"/>
  <c r="AG14" i="39"/>
  <c r="AF14" i="42"/>
  <c r="AA50" i="42"/>
  <c r="AF80" i="41"/>
  <c r="AZ48" i="41"/>
  <c r="U48" i="40"/>
  <c r="AV14" i="40"/>
  <c r="AC14" i="39"/>
  <c r="AM50" i="42"/>
  <c r="AD14" i="42"/>
  <c r="AF48" i="41"/>
  <c r="AK14" i="41"/>
  <c r="V48" i="40"/>
  <c r="AX50" i="39"/>
  <c r="AP50" i="42"/>
  <c r="AE14" i="42"/>
  <c r="X48" i="41"/>
  <c r="AG80" i="40"/>
  <c r="AA14" i="40"/>
  <c r="AW50" i="39"/>
  <c r="BD83" i="42"/>
  <c r="AX48" i="41"/>
  <c r="AU14" i="41"/>
  <c r="AB80" i="40"/>
  <c r="AA48" i="40"/>
  <c r="E14" i="39"/>
  <c r="AE83" i="42"/>
  <c r="AG83" i="42"/>
  <c r="AU48" i="41"/>
  <c r="AH14" i="41"/>
  <c r="AF48" i="40"/>
  <c r="AM50" i="39"/>
  <c r="AH83" i="42"/>
  <c r="BD14" i="42"/>
  <c r="W80" i="41"/>
  <c r="AL14" i="41"/>
  <c r="AJ48" i="40"/>
  <c r="BD83" i="39"/>
  <c r="AJ80" i="40"/>
  <c r="BA83" i="42"/>
  <c r="AQ50" i="39"/>
  <c r="V14" i="41"/>
  <c r="AT48" i="41"/>
  <c r="V83" i="39"/>
  <c r="BE48" i="40"/>
  <c r="W48" i="41"/>
  <c r="AL83" i="39"/>
  <c r="AM80" i="41"/>
  <c r="F14" i="40"/>
  <c r="BA14" i="39"/>
  <c r="AB14" i="41"/>
  <c r="BE80" i="40"/>
  <c r="AG48" i="41"/>
  <c r="AO14" i="42"/>
  <c r="BD80" i="40"/>
  <c r="AY48" i="40"/>
  <c r="AO14" i="41"/>
  <c r="G14" i="42"/>
  <c r="AG48" i="40"/>
  <c r="AJ48" i="41"/>
  <c r="AN80" i="41"/>
  <c r="F83" i="39"/>
  <c r="U14" i="40"/>
  <c r="G50" i="42"/>
  <c r="AP48" i="40"/>
  <c r="AM48" i="41"/>
  <c r="AI83" i="42"/>
  <c r="AD80" i="40"/>
  <c r="AL48" i="41"/>
  <c r="AV83" i="39"/>
  <c r="Y50" i="42"/>
  <c r="AS83" i="39"/>
  <c r="AZ48" i="40"/>
  <c r="F48" i="40"/>
  <c r="I48" i="40"/>
  <c r="AM83" i="39"/>
  <c r="AU14" i="40"/>
  <c r="AZ80" i="41"/>
  <c r="AP50" i="39"/>
  <c r="AA83" i="39"/>
  <c r="AH80" i="40"/>
  <c r="AX14" i="40"/>
  <c r="I14" i="41"/>
  <c r="AL14" i="39"/>
  <c r="AM48" i="40"/>
  <c r="AI50" i="42"/>
  <c r="AJ14" i="39"/>
  <c r="AV48" i="41"/>
  <c r="AS14" i="39"/>
  <c r="AT83" i="42"/>
  <c r="AV14" i="41"/>
  <c r="AA14" i="39"/>
  <c r="BD50" i="39"/>
  <c r="X50" i="39"/>
  <c r="AK83" i="37"/>
  <c r="AM80" i="38"/>
  <c r="Y14" i="38"/>
  <c r="W80" i="38"/>
  <c r="AV48" i="38"/>
  <c r="H48" i="38"/>
  <c r="H14" i="37"/>
  <c r="AU14" i="37"/>
  <c r="AT48" i="38"/>
  <c r="AB14" i="38"/>
  <c r="BA83" i="37"/>
  <c r="AA14" i="38"/>
  <c r="AE48" i="38"/>
  <c r="AN80" i="38"/>
  <c r="AG14" i="37"/>
  <c r="AU14" i="38"/>
  <c r="F48" i="38"/>
  <c r="H83" i="42"/>
  <c r="AC50" i="42"/>
  <c r="AF14" i="41"/>
  <c r="AT80" i="40"/>
  <c r="Z14" i="40"/>
  <c r="F50" i="39"/>
  <c r="H14" i="42"/>
  <c r="X50" i="42"/>
  <c r="AS48" i="41"/>
  <c r="AG14" i="41"/>
  <c r="AW48" i="40"/>
  <c r="T14" i="40"/>
  <c r="AA83" i="42"/>
  <c r="AV50" i="42"/>
  <c r="AQ48" i="41"/>
  <c r="AQ48" i="40"/>
  <c r="AI83" i="39"/>
  <c r="AU83" i="42"/>
  <c r="AB50" i="42"/>
  <c r="BC48" i="41"/>
  <c r="BB14" i="41"/>
  <c r="BA48" i="40"/>
  <c r="AU50" i="39"/>
  <c r="AK14" i="39"/>
  <c r="AS83" i="42"/>
  <c r="AZ14" i="42"/>
  <c r="AZ14" i="41"/>
  <c r="BB80" i="40"/>
  <c r="AT14" i="40"/>
  <c r="AG50" i="39"/>
  <c r="G83" i="42"/>
  <c r="BB48" i="41"/>
  <c r="AY14" i="41"/>
  <c r="AZ80" i="40"/>
  <c r="AV80" i="40"/>
  <c r="V14" i="39"/>
  <c r="AW14" i="42"/>
  <c r="AK48" i="41"/>
  <c r="Y14" i="41"/>
  <c r="AL48" i="40"/>
  <c r="AY83" i="39"/>
  <c r="H83" i="39"/>
  <c r="V83" i="42"/>
  <c r="X14" i="42"/>
  <c r="Y48" i="41"/>
  <c r="AM14" i="41"/>
  <c r="BC14" i="40"/>
  <c r="AH83" i="39"/>
  <c r="AH50" i="42"/>
  <c r="F14" i="42"/>
  <c r="T14" i="41"/>
  <c r="Z80" i="40"/>
  <c r="AO48" i="40"/>
  <c r="AT50" i="39"/>
  <c r="Z50" i="39"/>
  <c r="W50" i="42"/>
  <c r="AI48" i="41"/>
  <c r="AV48" i="40"/>
  <c r="AI14" i="41"/>
  <c r="AU14" i="39"/>
  <c r="H14" i="39"/>
  <c r="Y14" i="40"/>
  <c r="AP14" i="41"/>
  <c r="AI80" i="40"/>
  <c r="AC83" i="39"/>
  <c r="AV50" i="39"/>
  <c r="AO50" i="39"/>
  <c r="AC14" i="42"/>
  <c r="Y14" i="39"/>
  <c r="AG80" i="41"/>
  <c r="Z48" i="41"/>
  <c r="Y80" i="40"/>
  <c r="BA14" i="41"/>
  <c r="AH14" i="40"/>
  <c r="AH80" i="41"/>
  <c r="BA50" i="42"/>
  <c r="V14" i="40"/>
  <c r="AI48" i="40"/>
  <c r="BC80" i="41"/>
  <c r="G48" i="40"/>
  <c r="AN14" i="40"/>
  <c r="AK83" i="42"/>
  <c r="AO50" i="42"/>
  <c r="BC80" i="40"/>
  <c r="AA14" i="41"/>
  <c r="X14" i="39"/>
  <c r="H48" i="40"/>
  <c r="AI14" i="42"/>
  <c r="AL50" i="39"/>
  <c r="G14" i="39"/>
  <c r="AN14" i="42"/>
  <c r="BB50" i="42"/>
  <c r="X83" i="39"/>
  <c r="T48" i="41"/>
  <c r="AX80" i="41"/>
  <c r="BB83" i="39"/>
  <c r="AO83" i="42"/>
  <c r="AL83" i="42"/>
  <c r="AB14" i="40"/>
  <c r="AA50" i="39"/>
  <c r="AH14" i="39"/>
  <c r="Z14" i="42"/>
  <c r="BC14" i="42"/>
  <c r="AB14" i="39"/>
  <c r="AM14" i="40"/>
  <c r="H50" i="42"/>
  <c r="AX80" i="40"/>
  <c r="AI14" i="40"/>
  <c r="AH48" i="40"/>
  <c r="AN80" i="40"/>
  <c r="AM14" i="37"/>
  <c r="AP14" i="42"/>
  <c r="AK14" i="38"/>
  <c r="AW83" i="37"/>
  <c r="AH14" i="37"/>
  <c r="AL50" i="37"/>
  <c r="AQ80" i="41"/>
  <c r="AZ14" i="37"/>
  <c r="BC83" i="37"/>
  <c r="AB48" i="38"/>
  <c r="AO83" i="37"/>
  <c r="BC48" i="38"/>
  <c r="AK48" i="38"/>
  <c r="AT80" i="38"/>
  <c r="AR83" i="42"/>
  <c r="Z80" i="38"/>
  <c r="AV14" i="38"/>
  <c r="AZ50" i="42"/>
  <c r="AH48" i="41"/>
  <c r="W14" i="41"/>
  <c r="AN48" i="40"/>
  <c r="AZ14" i="40"/>
  <c r="Z83" i="39"/>
  <c r="BC50" i="42"/>
  <c r="BB14" i="42"/>
  <c r="AE48" i="41"/>
  <c r="AJ14" i="41"/>
  <c r="AD14" i="40"/>
  <c r="AD83" i="39"/>
  <c r="E83" i="42"/>
  <c r="AW83" i="42"/>
  <c r="U48" i="41"/>
  <c r="AY14" i="40"/>
  <c r="F83" i="42"/>
  <c r="AD83" i="42"/>
  <c r="AV14" i="42"/>
  <c r="AR48" i="41"/>
  <c r="AL14" i="42"/>
  <c r="Z48" i="40"/>
  <c r="AX83" i="39"/>
  <c r="Z50" i="42"/>
  <c r="AF83" i="42"/>
  <c r="AP48" i="41"/>
  <c r="AE14" i="41"/>
  <c r="AX48" i="40"/>
  <c r="AC14" i="40"/>
  <c r="AZ50" i="39"/>
  <c r="BA14" i="42"/>
  <c r="AO48" i="41"/>
  <c r="AC14" i="41"/>
  <c r="AR48" i="40"/>
  <c r="BC83" i="39"/>
  <c r="AU50" i="42"/>
  <c r="AT14" i="42"/>
  <c r="AA80" i="41"/>
  <c r="AJ14" i="42"/>
  <c r="W80" i="40"/>
  <c r="G83" i="39"/>
  <c r="AQ50" i="42"/>
  <c r="V50" i="42"/>
  <c r="BA80" i="41"/>
  <c r="BD48" i="41"/>
  <c r="AU48" i="40"/>
  <c r="BE14" i="40"/>
  <c r="AX14" i="39"/>
  <c r="AE50" i="42"/>
  <c r="AV80" i="41"/>
  <c r="AE80" i="41"/>
  <c r="Y48" i="40"/>
  <c r="BD14" i="40"/>
  <c r="V50" i="39"/>
  <c r="AF83" i="39"/>
  <c r="AY14" i="42"/>
  <c r="BC14" i="39"/>
  <c r="AC80" i="41"/>
  <c r="BD48" i="40"/>
  <c r="BD80" i="41"/>
  <c r="AL80" i="40"/>
  <c r="BD14" i="39"/>
  <c r="AM14" i="39"/>
  <c r="W48" i="40"/>
  <c r="AT14" i="39"/>
  <c r="AW50" i="42"/>
  <c r="BA80" i="40"/>
  <c r="AJ83" i="39"/>
  <c r="AE14" i="39"/>
  <c r="AG14" i="40"/>
  <c r="AK50" i="39"/>
  <c r="AM83" i="42"/>
  <c r="AF14" i="39"/>
  <c r="AX83" i="42"/>
  <c r="AI14" i="39"/>
  <c r="BC50" i="39"/>
  <c r="AK83" i="39"/>
  <c r="AB50" i="39"/>
  <c r="AC83" i="42"/>
  <c r="BD14" i="41"/>
  <c r="W83" i="42"/>
  <c r="BB14" i="40"/>
  <c r="AA14" i="42"/>
  <c r="AB83" i="39"/>
  <c r="AS48" i="40"/>
  <c r="AZ14" i="39"/>
  <c r="E83" i="39"/>
  <c r="AN50" i="42"/>
  <c r="AK14" i="40"/>
  <c r="AF14" i="40"/>
  <c r="AM80" i="40"/>
  <c r="BD50" i="42"/>
  <c r="AV83" i="42"/>
  <c r="AC48" i="40"/>
  <c r="AC48" i="41"/>
  <c r="AJ14" i="40"/>
  <c r="AN83" i="42"/>
  <c r="I14" i="40"/>
  <c r="BB14" i="39"/>
  <c r="AP80" i="41"/>
  <c r="AD80" i="41"/>
  <c r="AU80" i="40"/>
  <c r="AB80" i="41"/>
  <c r="E14" i="42"/>
  <c r="BA48" i="41"/>
  <c r="AT48" i="40"/>
  <c r="F14" i="39"/>
  <c r="AY80" i="41"/>
  <c r="AW83" i="39"/>
  <c r="AY80" i="38"/>
  <c r="AQ80" i="38"/>
  <c r="BE48" i="38"/>
  <c r="AP83" i="37"/>
  <c r="AT80" i="41"/>
  <c r="AK80" i="40"/>
  <c r="AW80" i="40"/>
  <c r="AW80" i="41"/>
  <c r="AD50" i="42"/>
  <c r="AD48" i="40"/>
  <c r="BB80" i="41"/>
  <c r="AY50" i="42"/>
  <c r="H14" i="40"/>
  <c r="F48" i="41"/>
  <c r="AF50" i="42"/>
  <c r="AY80" i="40"/>
  <c r="Z80" i="41"/>
  <c r="AV14" i="39"/>
  <c r="AT83" i="39"/>
  <c r="AP83" i="42"/>
  <c r="AS14" i="42"/>
  <c r="BC83" i="42"/>
  <c r="AI80" i="41"/>
  <c r="AS50" i="42"/>
  <c r="AZ83" i="39"/>
  <c r="Z83" i="42"/>
  <c r="AW48" i="41"/>
  <c r="AK48" i="40"/>
  <c r="AL14" i="40"/>
  <c r="AS50" i="39"/>
  <c r="G50" i="39"/>
  <c r="AN50" i="37"/>
  <c r="AT50" i="37"/>
  <c r="BB14" i="38"/>
  <c r="AG50" i="37"/>
  <c r="AW80" i="38"/>
  <c r="AI14" i="37"/>
  <c r="BD80" i="38"/>
  <c r="BB48" i="38"/>
  <c r="AB80" i="38"/>
  <c r="T48" i="38"/>
  <c r="V48" i="38"/>
  <c r="AI83" i="37"/>
  <c r="AF14" i="38"/>
  <c r="AJ14" i="37"/>
  <c r="AF14" i="37"/>
  <c r="AS83" i="37"/>
  <c r="AD14" i="38"/>
  <c r="AZ14" i="38"/>
  <c r="AX14" i="37"/>
  <c r="AH83" i="37"/>
  <c r="X80" i="38"/>
  <c r="AV83" i="37"/>
  <c r="I48" i="38"/>
  <c r="AS14" i="37"/>
  <c r="AQ50" i="37"/>
  <c r="AK50" i="37"/>
  <c r="AR14" i="37"/>
  <c r="AX50" i="37"/>
  <c r="AQ14" i="41"/>
  <c r="AK14" i="37"/>
  <c r="AH48" i="38"/>
  <c r="Y48" i="38"/>
  <c r="BE14" i="38"/>
  <c r="BC14" i="38"/>
  <c r="AD14" i="37"/>
  <c r="AC14" i="38"/>
  <c r="AA14" i="37"/>
  <c r="U14" i="38"/>
  <c r="AW50" i="37"/>
  <c r="AL14" i="37"/>
  <c r="AV50" i="37"/>
  <c r="V50" i="37"/>
  <c r="BB83" i="37"/>
  <c r="AF83" i="37"/>
  <c r="AS80" i="38"/>
  <c r="AD83" i="37"/>
  <c r="BA50" i="37"/>
  <c r="AN83" i="39"/>
  <c r="AW14" i="37"/>
  <c r="AH14" i="38"/>
  <c r="V14" i="38"/>
  <c r="H83" i="37"/>
  <c r="AO80" i="38"/>
  <c r="H14" i="38"/>
  <c r="W50" i="37"/>
  <c r="G83" i="37"/>
  <c r="Z14" i="37"/>
  <c r="Z83" i="37"/>
  <c r="AE14" i="38"/>
  <c r="W83" i="39"/>
  <c r="BA50" i="39"/>
  <c r="AG14" i="42"/>
  <c r="W14" i="42"/>
  <c r="I48" i="41"/>
  <c r="AW14" i="39"/>
  <c r="AL80" i="41"/>
  <c r="AG50" i="42"/>
  <c r="BA83" i="39"/>
  <c r="H14" i="41"/>
  <c r="Y50" i="37"/>
  <c r="AY50" i="37"/>
  <c r="BB14" i="37"/>
  <c r="AI48" i="38"/>
  <c r="G14" i="37"/>
  <c r="AG48" i="38"/>
  <c r="E83" i="37"/>
  <c r="AJ80" i="38"/>
  <c r="BC50" i="37"/>
  <c r="AA80" i="38"/>
  <c r="AS50" i="37"/>
  <c r="AV14" i="37"/>
  <c r="AP50" i="37"/>
  <c r="H50" i="37"/>
  <c r="AI50" i="37"/>
  <c r="AU83" i="37"/>
  <c r="Z14" i="41"/>
  <c r="AT50" i="42"/>
  <c r="AE14" i="40"/>
  <c r="BE14" i="41"/>
  <c r="AB14" i="42"/>
  <c r="AJ50" i="39"/>
  <c r="G14" i="41"/>
  <c r="AX14" i="42"/>
  <c r="Y83" i="39"/>
  <c r="AC80" i="40"/>
  <c r="F50" i="42"/>
  <c r="X14" i="40"/>
  <c r="AT14" i="41"/>
  <c r="AN14" i="41"/>
  <c r="BA14" i="40"/>
  <c r="AU80" i="41"/>
  <c r="AD48" i="41"/>
  <c r="AR50" i="42"/>
  <c r="AO80" i="41"/>
  <c r="W50" i="39"/>
  <c r="X14" i="41"/>
  <c r="AB48" i="41"/>
  <c r="AQ83" i="42"/>
  <c r="X48" i="40"/>
  <c r="AW14" i="41"/>
  <c r="H50" i="39"/>
  <c r="AG83" i="39"/>
  <c r="BC14" i="37"/>
  <c r="E14" i="37"/>
  <c r="AY48" i="38"/>
  <c r="AZ83" i="37"/>
  <c r="Z14" i="38"/>
  <c r="AV80" i="38"/>
  <c r="BD14" i="37"/>
  <c r="AM83" i="37"/>
  <c r="AN14" i="37"/>
  <c r="AE14" i="37"/>
  <c r="F50" i="37"/>
  <c r="AU48" i="38"/>
  <c r="AP14" i="37"/>
  <c r="AX48" i="38"/>
  <c r="AJ83" i="37"/>
  <c r="AX83" i="37"/>
  <c r="BD83" i="37"/>
  <c r="AW14" i="38"/>
  <c r="G14" i="38"/>
  <c r="AZ48" i="38"/>
  <c r="AL14" i="38"/>
  <c r="AT14" i="37"/>
  <c r="AO80" i="40"/>
  <c r="W14" i="37"/>
  <c r="AH80" i="38"/>
  <c r="AU80" i="38"/>
  <c r="AC83" i="37"/>
  <c r="X50" i="37"/>
  <c r="Z48" i="38"/>
  <c r="AL83" i="37"/>
  <c r="BC80" i="38"/>
  <c r="BB50" i="37"/>
  <c r="AT14" i="38"/>
  <c r="F83" i="37"/>
  <c r="BD50" i="37"/>
  <c r="V14" i="37"/>
  <c r="E50" i="37"/>
  <c r="AZ80" i="38"/>
  <c r="AZ50" i="37"/>
  <c r="X83" i="37"/>
  <c r="AO50" i="37"/>
  <c r="AF80" i="38"/>
  <c r="AB83" i="37"/>
  <c r="I14" i="38"/>
  <c r="BA80" i="38"/>
  <c r="AG14" i="38"/>
  <c r="AA48" i="38"/>
  <c r="W14" i="38"/>
  <c r="AR80" i="38"/>
  <c r="AU50" i="37"/>
  <c r="AB14" i="37"/>
  <c r="T14" i="38"/>
  <c r="AC48" i="38"/>
  <c r="AC50" i="39"/>
  <c r="G48" i="38"/>
  <c r="AP80" i="38"/>
  <c r="AG80" i="38"/>
  <c r="AH50" i="37"/>
  <c r="AG83" i="37"/>
  <c r="Y14" i="42"/>
  <c r="E50" i="42"/>
  <c r="BC48" i="40"/>
  <c r="AJ80" i="41"/>
  <c r="AK50" i="42"/>
  <c r="AY48" i="41"/>
  <c r="AD14" i="39"/>
  <c r="AF80" i="40"/>
  <c r="AJ50" i="42"/>
  <c r="AA80" i="40"/>
  <c r="AO14" i="40"/>
  <c r="U48" i="38"/>
  <c r="AD80" i="38"/>
  <c r="AC80" i="38"/>
  <c r="AN14" i="39"/>
  <c r="AT83" i="37"/>
  <c r="AR50" i="37"/>
  <c r="X48" i="38"/>
  <c r="AY14" i="38"/>
  <c r="G50" i="37"/>
  <c r="V83" i="37"/>
  <c r="BD14" i="38"/>
  <c r="AJ14" i="38"/>
  <c r="AX14" i="38"/>
  <c r="AJ48" i="38"/>
  <c r="AJ50" i="37"/>
  <c r="T48" i="40"/>
  <c r="AU14" i="42"/>
  <c r="BB50" i="39"/>
  <c r="AI50" i="39"/>
  <c r="F14" i="41"/>
  <c r="AH14" i="42"/>
  <c r="AB48" i="40"/>
  <c r="AA48" i="41"/>
  <c r="AL50" i="42"/>
  <c r="W14" i="40"/>
  <c r="X80" i="41"/>
  <c r="AY83" i="42"/>
  <c r="X80" i="40"/>
  <c r="AH50" i="39"/>
  <c r="AX14" i="41"/>
  <c r="AW14" i="40"/>
  <c r="BE80" i="41"/>
  <c r="E50" i="39"/>
  <c r="AK80" i="41"/>
  <c r="AY14" i="39"/>
  <c r="X83" i="42"/>
  <c r="U14" i="41"/>
  <c r="G48" i="41"/>
  <c r="AJ83" i="42"/>
  <c r="AZ83" i="42"/>
  <c r="Y50" i="39"/>
  <c r="AM14" i="42"/>
  <c r="AQ83" i="37"/>
  <c r="AD48" i="38"/>
  <c r="W48" i="38"/>
  <c r="Y83" i="37"/>
  <c r="AK80" i="38"/>
  <c r="Y80" i="38"/>
  <c r="AI14" i="38"/>
  <c r="AC14" i="37"/>
  <c r="BA14" i="37"/>
  <c r="AI80" i="38"/>
  <c r="BA48" i="38"/>
  <c r="W83" i="37"/>
  <c r="AN83" i="37"/>
  <c r="BE80" i="38"/>
  <c r="F14" i="38"/>
  <c r="AE80" i="38"/>
  <c r="AY14" i="37"/>
  <c r="BA14" i="38"/>
  <c r="Y14" i="37"/>
  <c r="AY83" i="37"/>
  <c r="AE83" i="37"/>
  <c r="AN48" i="41"/>
  <c r="AE83" i="39"/>
  <c r="AR50" i="39"/>
  <c r="AY50" i="39"/>
  <c r="W14" i="39"/>
  <c r="AU83" i="39"/>
  <c r="H48" i="41"/>
  <c r="BB48" i="40"/>
  <c r="AA83" i="37"/>
  <c r="AM50" i="37"/>
  <c r="BB80" i="38"/>
  <c r="X14" i="37"/>
  <c r="AO14" i="37"/>
  <c r="BD48" i="38"/>
  <c r="AQ14" i="37"/>
  <c r="AW48" i="38"/>
  <c r="AF48" i="38"/>
  <c r="X14" i="38"/>
  <c r="AX80" i="38"/>
  <c r="F14" i="37"/>
  <c r="AR83" i="37"/>
  <c r="AL80" i="38"/>
  <c r="AQ14" i="42"/>
  <c r="AM14" i="38"/>
  <c r="AO14" i="39"/>
  <c r="AL48" i="38"/>
  <c r="AR14" i="41"/>
  <c r="AO83" i="39"/>
  <c r="AP80" i="40"/>
  <c r="Z50" i="37"/>
  <c r="AP14" i="40"/>
  <c r="AR80" i="41"/>
  <c r="AD50" i="39"/>
  <c r="AE50" i="39"/>
  <c r="AQ80" i="40"/>
  <c r="AN14" i="38"/>
  <c r="AA50" i="37"/>
  <c r="AS80" i="41"/>
  <c r="AR14" i="42"/>
  <c r="AS14" i="41"/>
  <c r="AP83" i="39"/>
  <c r="AQ14" i="40"/>
  <c r="AM48" i="38"/>
  <c r="AP14" i="39"/>
  <c r="AQ83" i="39"/>
  <c r="AR80" i="40"/>
  <c r="AQ14" i="39"/>
  <c r="AO14" i="38"/>
  <c r="AN48" i="38"/>
  <c r="AR14" i="40"/>
  <c r="AB50" i="37"/>
  <c r="AF50" i="39"/>
  <c r="AM80" i="35"/>
  <c r="AF14" i="36"/>
  <c r="G48" i="35"/>
  <c r="AX80" i="35"/>
  <c r="BC83" i="36"/>
  <c r="AR48" i="35"/>
  <c r="AU14" i="35"/>
  <c r="Y14" i="35"/>
  <c r="F14" i="36"/>
  <c r="AY83" i="36"/>
  <c r="AG50" i="36"/>
  <c r="AN50" i="36"/>
  <c r="AE80" i="35"/>
  <c r="T48" i="35"/>
  <c r="BD50" i="36"/>
  <c r="AN14" i="35"/>
  <c r="AP48" i="35"/>
  <c r="AF83" i="36"/>
  <c r="AK14" i="35"/>
  <c r="AW14" i="36"/>
  <c r="G50" i="36"/>
  <c r="V14" i="36"/>
  <c r="AK48" i="35"/>
  <c r="Z48" i="35"/>
  <c r="AD14" i="36"/>
  <c r="W50" i="36"/>
  <c r="AO83" i="36"/>
  <c r="AO14" i="35"/>
  <c r="BC14" i="36"/>
  <c r="AY14" i="35"/>
  <c r="V50" i="36"/>
  <c r="AC48" i="35"/>
  <c r="AK50" i="36"/>
  <c r="AY80" i="35"/>
  <c r="AX14" i="36"/>
  <c r="BB50" i="36"/>
  <c r="AO48" i="35"/>
  <c r="AV14" i="35"/>
  <c r="AL80" i="35"/>
  <c r="F48" i="35"/>
  <c r="AR50" i="36"/>
  <c r="AL14" i="35"/>
  <c r="BA48" i="35"/>
  <c r="AJ50" i="36"/>
  <c r="AU50" i="36"/>
  <c r="AA83" i="36"/>
  <c r="AN80" i="35"/>
  <c r="AY48" i="35"/>
  <c r="Z80" i="35"/>
  <c r="AZ14" i="36"/>
  <c r="H50" i="36"/>
  <c r="AH83" i="36"/>
  <c r="H83" i="36"/>
  <c r="BB80" i="35"/>
  <c r="AD83" i="36"/>
  <c r="BE48" i="35"/>
  <c r="BE80" i="35"/>
  <c r="AR14" i="39"/>
  <c r="AS14" i="40"/>
  <c r="AS14" i="36"/>
  <c r="AV50" i="36"/>
  <c r="BD80" i="35"/>
  <c r="Y80" i="35"/>
  <c r="AM83" i="36"/>
  <c r="AU83" i="36"/>
  <c r="AX48" i="35"/>
  <c r="AM48" i="35"/>
  <c r="AM14" i="35"/>
  <c r="G14" i="36"/>
  <c r="BD14" i="36"/>
  <c r="AA80" i="35"/>
  <c r="AG14" i="36"/>
  <c r="BC14" i="35"/>
  <c r="AW80" i="35"/>
  <c r="AQ50" i="36"/>
  <c r="Y83" i="36"/>
  <c r="AG48" i="35"/>
  <c r="X14" i="36"/>
  <c r="W14" i="35"/>
  <c r="BC48" i="35"/>
  <c r="AU14" i="36"/>
  <c r="AH14" i="35"/>
  <c r="AN83" i="36"/>
  <c r="AQ83" i="36"/>
  <c r="AI83" i="36"/>
  <c r="AU48" i="35"/>
  <c r="AP80" i="35"/>
  <c r="AI14" i="35"/>
  <c r="AR83" i="36"/>
  <c r="AX83" i="36"/>
  <c r="AX50" i="36"/>
  <c r="AB14" i="35"/>
  <c r="AJ14" i="35"/>
  <c r="AN48" i="35"/>
  <c r="AL50" i="36"/>
  <c r="AS50" i="36"/>
  <c r="BB48" i="35"/>
  <c r="AP14" i="38"/>
  <c r="AU80" i="35"/>
  <c r="AD80" i="35"/>
  <c r="AF14" i="35"/>
  <c r="AD14" i="35"/>
  <c r="H14" i="36"/>
  <c r="AA14" i="36"/>
  <c r="AT83" i="36"/>
  <c r="W48" i="35"/>
  <c r="V83" i="36"/>
  <c r="AB80" i="35"/>
  <c r="AH48" i="35"/>
  <c r="AT48" i="35"/>
  <c r="AP83" i="36"/>
  <c r="X50" i="36"/>
  <c r="AW83" i="36"/>
  <c r="E83" i="36"/>
  <c r="AZ50" i="36"/>
  <c r="U48" i="35"/>
  <c r="AQ48" i="35"/>
  <c r="AT80" i="35"/>
  <c r="E50" i="36"/>
  <c r="AK83" i="36"/>
  <c r="AM50" i="36"/>
  <c r="AC14" i="35"/>
  <c r="I48" i="35"/>
  <c r="AV80" i="35"/>
  <c r="X83" i="36"/>
  <c r="AW48" i="35"/>
  <c r="AE83" i="36"/>
  <c r="AF48" i="35"/>
  <c r="AX14" i="35"/>
  <c r="AZ48" i="35"/>
  <c r="W80" i="35"/>
  <c r="AI80" i="35"/>
  <c r="AL83" i="36"/>
  <c r="H48" i="35"/>
  <c r="Y48" i="35"/>
  <c r="AJ80" i="35"/>
  <c r="AZ80" i="35"/>
  <c r="BA14" i="36"/>
  <c r="Y50" i="36"/>
  <c r="AZ14" i="35"/>
  <c r="AL14" i="36"/>
  <c r="BB14" i="35"/>
  <c r="G83" i="36"/>
  <c r="E14" i="36"/>
  <c r="AG83" i="36"/>
  <c r="BA50" i="36"/>
  <c r="AO48" i="38"/>
  <c r="H14" i="35"/>
  <c r="AB14" i="36"/>
  <c r="AJ14" i="36"/>
  <c r="AB83" i="36"/>
  <c r="AQ80" i="35"/>
  <c r="AV14" i="36"/>
  <c r="AT14" i="36"/>
  <c r="T14" i="35"/>
  <c r="AR80" i="35"/>
  <c r="AC83" i="36"/>
  <c r="AS83" i="36"/>
  <c r="AW14" i="35"/>
  <c r="AL48" i="35"/>
  <c r="AH80" i="35"/>
  <c r="X48" i="35"/>
  <c r="BD83" i="36"/>
  <c r="AI50" i="36"/>
  <c r="AC50" i="37"/>
  <c r="AS80" i="40"/>
  <c r="V48" i="35"/>
  <c r="I14" i="35"/>
  <c r="G14" i="35"/>
  <c r="AV83" i="36"/>
  <c r="AI14" i="36"/>
  <c r="U14" i="35"/>
  <c r="AH50" i="36"/>
  <c r="AK80" i="35"/>
  <c r="AK14" i="36"/>
  <c r="F50" i="36"/>
  <c r="BB14" i="36"/>
  <c r="V14" i="35"/>
  <c r="F83" i="36"/>
  <c r="AO50" i="36"/>
  <c r="AG80" i="35"/>
  <c r="BA14" i="35"/>
  <c r="BD14" i="35"/>
  <c r="AT50" i="36"/>
  <c r="AT14" i="35"/>
  <c r="BE14" i="35"/>
  <c r="AB48" i="35"/>
  <c r="F14" i="35"/>
  <c r="AR83" i="39"/>
  <c r="AS48" i="35"/>
  <c r="X80" i="35"/>
  <c r="W83" i="36"/>
  <c r="Z83" i="36"/>
  <c r="BA83" i="36"/>
  <c r="AE14" i="36"/>
  <c r="AJ83" i="36"/>
  <c r="Z14" i="35"/>
  <c r="AE14" i="35"/>
  <c r="BA80" i="35"/>
  <c r="AY14" i="36"/>
  <c r="Z14" i="36"/>
  <c r="AH14" i="36"/>
  <c r="AO80" i="35"/>
  <c r="AV48" i="35"/>
  <c r="AC80" i="35"/>
  <c r="W14" i="36"/>
  <c r="BC80" i="35"/>
  <c r="AE48" i="35"/>
  <c r="AJ48" i="35"/>
  <c r="BC50" i="36"/>
  <c r="AP50" i="36"/>
  <c r="AG14" i="35"/>
  <c r="AC14" i="36"/>
  <c r="AY50" i="36"/>
  <c r="AD48" i="35"/>
  <c r="BB83" i="36"/>
  <c r="AF80" i="35"/>
  <c r="BD48" i="35"/>
  <c r="X14" i="35"/>
  <c r="AA14" i="35"/>
  <c r="AS80" i="35"/>
  <c r="Y14" i="36"/>
  <c r="AM14" i="36"/>
  <c r="AZ83" i="36"/>
  <c r="AA48" i="35"/>
  <c r="AI48" i="35"/>
  <c r="AW50" i="36"/>
  <c r="AN14" i="36"/>
  <c r="AP14" i="35"/>
  <c r="AP48" i="38"/>
  <c r="AD50" i="37"/>
  <c r="AQ14" i="38"/>
  <c r="Z50" i="36"/>
  <c r="AQ14" i="35"/>
  <c r="AO14" i="36"/>
  <c r="AA50" i="36"/>
  <c r="AR14" i="38"/>
  <c r="AE50" i="37"/>
  <c r="AQ48" i="38"/>
  <c r="AR14" i="34"/>
  <c r="Z50" i="34"/>
  <c r="AW14" i="33"/>
  <c r="AY80" i="33"/>
  <c r="AA50" i="34"/>
  <c r="AZ14" i="33"/>
  <c r="AC14" i="34"/>
  <c r="BD14" i="34"/>
  <c r="AZ50" i="34"/>
  <c r="AJ83" i="34"/>
  <c r="AM14" i="34"/>
  <c r="G14" i="34"/>
  <c r="Z14" i="34"/>
  <c r="AY83" i="34"/>
  <c r="AG83" i="34"/>
  <c r="AU83" i="34"/>
  <c r="AH14" i="33"/>
  <c r="AJ50" i="34"/>
  <c r="AN80" i="33"/>
  <c r="AX50" i="34"/>
  <c r="AB48" i="33"/>
  <c r="AC50" i="34"/>
  <c r="AP50" i="34"/>
  <c r="AP14" i="34"/>
  <c r="X48" i="33"/>
  <c r="AZ80" i="33"/>
  <c r="AK14" i="34"/>
  <c r="W50" i="34"/>
  <c r="AW83" i="34"/>
  <c r="U48" i="33"/>
  <c r="Z14" i="33"/>
  <c r="BB14" i="33"/>
  <c r="AC80" i="33"/>
  <c r="G83" i="34"/>
  <c r="AL50" i="34"/>
  <c r="AD80" i="33"/>
  <c r="AI14" i="34"/>
  <c r="AS14" i="38"/>
  <c r="AT80" i="33"/>
  <c r="V83" i="34"/>
  <c r="AV83" i="34"/>
  <c r="AB14" i="34"/>
  <c r="AW48" i="33"/>
  <c r="AD14" i="34"/>
  <c r="AR50" i="34"/>
  <c r="Y80" i="33"/>
  <c r="G48" i="33"/>
  <c r="AU80" i="33"/>
  <c r="Y14" i="34"/>
  <c r="AB50" i="36"/>
  <c r="AT14" i="34"/>
  <c r="AL14" i="33"/>
  <c r="H83" i="34"/>
  <c r="AN14" i="34"/>
  <c r="AP80" i="33"/>
  <c r="AC14" i="33"/>
  <c r="AG48" i="33"/>
  <c r="BC14" i="33"/>
  <c r="AA14" i="34"/>
  <c r="AQ50" i="34"/>
  <c r="AF50" i="34"/>
  <c r="X80" i="33"/>
  <c r="AL14" i="34"/>
  <c r="AV14" i="33"/>
  <c r="AK48" i="33"/>
  <c r="H48" i="33"/>
  <c r="AS50" i="34"/>
  <c r="E50" i="34"/>
  <c r="AS80" i="33"/>
  <c r="F14" i="33"/>
  <c r="W83" i="34"/>
  <c r="G50" i="34"/>
  <c r="BD83" i="34"/>
  <c r="X14" i="33"/>
  <c r="AF14" i="34"/>
  <c r="AO80" i="33"/>
  <c r="AI50" i="34"/>
  <c r="AR48" i="38"/>
  <c r="BA83" i="34"/>
  <c r="BC80" i="33"/>
  <c r="AH83" i="34"/>
  <c r="V14" i="33"/>
  <c r="AG80" i="33"/>
  <c r="AY50" i="34"/>
  <c r="AI14" i="33"/>
  <c r="AG14" i="33"/>
  <c r="H14" i="34"/>
  <c r="AA80" i="33"/>
  <c r="AK50" i="34"/>
  <c r="AS83" i="34"/>
  <c r="Z48" i="33"/>
  <c r="V50" i="34"/>
  <c r="W48" i="33"/>
  <c r="V14" i="34"/>
  <c r="AB83" i="34"/>
  <c r="BC14" i="34"/>
  <c r="AW80" i="33"/>
  <c r="AZ14" i="34"/>
  <c r="AQ80" i="33"/>
  <c r="BA48" i="33"/>
  <c r="AV48" i="33"/>
  <c r="AF80" i="33"/>
  <c r="BE48" i="33"/>
  <c r="H50" i="34"/>
  <c r="F48" i="33"/>
  <c r="AI80" i="33"/>
  <c r="AY14" i="33"/>
  <c r="Z80" i="33"/>
  <c r="AJ80" i="33"/>
  <c r="AR80" i="33"/>
  <c r="Y50" i="34"/>
  <c r="AA83" i="34"/>
  <c r="W14" i="33"/>
  <c r="AJ14" i="33"/>
  <c r="AX80" i="33"/>
  <c r="AE48" i="33"/>
  <c r="AH14" i="34"/>
  <c r="AO50" i="34"/>
  <c r="AD14" i="33"/>
  <c r="AV50" i="34"/>
  <c r="AV14" i="34"/>
  <c r="AT50" i="34"/>
  <c r="BC83" i="34"/>
  <c r="AF48" i="33"/>
  <c r="BE80" i="33"/>
  <c r="BA80" i="33"/>
  <c r="AF14" i="33"/>
  <c r="AX14" i="34"/>
  <c r="AD83" i="34"/>
  <c r="AB14" i="33"/>
  <c r="BB83" i="34"/>
  <c r="U14" i="33"/>
  <c r="AT14" i="33"/>
  <c r="AJ14" i="34"/>
  <c r="BD80" i="33"/>
  <c r="X14" i="34"/>
  <c r="AW50" i="34"/>
  <c r="AR14" i="35"/>
  <c r="BD48" i="33"/>
  <c r="BB14" i="34"/>
  <c r="AZ48" i="33"/>
  <c r="W14" i="34"/>
  <c r="AO14" i="34"/>
  <c r="AT83" i="34"/>
  <c r="AF50" i="37"/>
  <c r="AM80" i="33"/>
  <c r="W80" i="33"/>
  <c r="X50" i="34"/>
  <c r="V48" i="33"/>
  <c r="AC83" i="34"/>
  <c r="AE14" i="33"/>
  <c r="T14" i="33"/>
  <c r="Y48" i="33"/>
  <c r="AX83" i="34"/>
  <c r="I14" i="33"/>
  <c r="BD14" i="33"/>
  <c r="X83" i="34"/>
  <c r="AQ14" i="34"/>
  <c r="AC48" i="33"/>
  <c r="AX48" i="33"/>
  <c r="BB48" i="33"/>
  <c r="AU48" i="33"/>
  <c r="G14" i="33"/>
  <c r="AK80" i="33"/>
  <c r="AE50" i="34"/>
  <c r="AG14" i="34"/>
  <c r="BA50" i="34"/>
  <c r="AD50" i="34"/>
  <c r="Y14" i="33"/>
  <c r="BB50" i="34"/>
  <c r="F14" i="34"/>
  <c r="AZ83" i="34"/>
  <c r="AU50" i="34"/>
  <c r="AH50" i="34"/>
  <c r="AD48" i="33"/>
  <c r="AJ48" i="33"/>
  <c r="AY14" i="34"/>
  <c r="BC50" i="34"/>
  <c r="AS14" i="34"/>
  <c r="AX14" i="33"/>
  <c r="AU14" i="33"/>
  <c r="E83" i="34"/>
  <c r="F83" i="34"/>
  <c r="AI83" i="34"/>
  <c r="AP14" i="36"/>
  <c r="AG50" i="34"/>
  <c r="AB80" i="33"/>
  <c r="AN50" i="34"/>
  <c r="AU14" i="34"/>
  <c r="AE14" i="34"/>
  <c r="AM50" i="34"/>
  <c r="AV80" i="33"/>
  <c r="AW14" i="34"/>
  <c r="T48" i="33"/>
  <c r="Z83" i="34"/>
  <c r="AI48" i="33"/>
  <c r="BC48" i="33"/>
  <c r="AL80" i="33"/>
  <c r="AA14" i="33"/>
  <c r="BB80" i="33"/>
  <c r="AA48" i="33"/>
  <c r="Y83" i="34"/>
  <c r="I48" i="33"/>
  <c r="BA14" i="33"/>
  <c r="F50" i="34"/>
  <c r="H14" i="33"/>
  <c r="AK14" i="33"/>
  <c r="AE80" i="33"/>
  <c r="AE83" i="34"/>
  <c r="BA14" i="34"/>
  <c r="AH48" i="33"/>
  <c r="AH80" i="33"/>
  <c r="BD50" i="34"/>
  <c r="BE14" i="33"/>
  <c r="AY48" i="33"/>
  <c r="E14" i="34"/>
  <c r="AT48" i="33"/>
  <c r="AF83" i="34"/>
  <c r="AB50" i="34"/>
  <c r="AE51" i="37" l="1"/>
  <c r="AA51" i="36"/>
  <c r="Z51" i="36"/>
  <c r="AD51" i="37"/>
  <c r="AA49" i="35"/>
  <c r="Y15" i="36"/>
  <c r="AA15" i="35"/>
  <c r="X15" i="35"/>
  <c r="AD49" i="35"/>
  <c r="AC15" i="36"/>
  <c r="AG15" i="35"/>
  <c r="AE49" i="35"/>
  <c r="W15" i="36"/>
  <c r="AC81" i="35"/>
  <c r="AH15" i="36"/>
  <c r="Z15" i="36"/>
  <c r="AE15" i="35"/>
  <c r="Z15" i="35"/>
  <c r="AJ84" i="36"/>
  <c r="AE15" i="36"/>
  <c r="Z84" i="36"/>
  <c r="W84" i="36"/>
  <c r="X81" i="35"/>
  <c r="AR84" i="39"/>
  <c r="F15" i="35"/>
  <c r="AB49" i="35"/>
  <c r="F84" i="36"/>
  <c r="V15" i="35"/>
  <c r="F51" i="36"/>
  <c r="AH51" i="36"/>
  <c r="U15" i="35"/>
  <c r="AI15" i="36"/>
  <c r="G15" i="35"/>
  <c r="V49" i="35"/>
  <c r="AC51" i="37"/>
  <c r="AI51" i="36"/>
  <c r="X49" i="35"/>
  <c r="AC84" i="36"/>
  <c r="T15" i="35"/>
  <c r="AB84" i="36"/>
  <c r="AB15" i="36"/>
  <c r="AG84" i="36"/>
  <c r="E15" i="36"/>
  <c r="G84" i="36"/>
  <c r="Y51" i="36"/>
  <c r="Y49" i="35"/>
  <c r="W81" i="35"/>
  <c r="AF49" i="35"/>
  <c r="AE84" i="36"/>
  <c r="X84" i="36"/>
  <c r="AC15" i="35"/>
  <c r="AK84" i="36"/>
  <c r="E51" i="36"/>
  <c r="U49" i="35"/>
  <c r="E84" i="36"/>
  <c r="X51" i="36"/>
  <c r="AB81" i="35"/>
  <c r="V84" i="36"/>
  <c r="W49" i="35"/>
  <c r="AA15" i="36"/>
  <c r="AD15" i="35"/>
  <c r="AF15" i="35"/>
  <c r="AD81" i="35"/>
  <c r="AJ15" i="35"/>
  <c r="AB15" i="35"/>
  <c r="AI15" i="35"/>
  <c r="AI84" i="36"/>
  <c r="AH15" i="35"/>
  <c r="W15" i="35"/>
  <c r="X15" i="36"/>
  <c r="Y84" i="36"/>
  <c r="AG15" i="36"/>
  <c r="AA81" i="35"/>
  <c r="G15" i="36"/>
  <c r="Y81" i="35"/>
  <c r="AD84" i="36"/>
  <c r="H84" i="36"/>
  <c r="AH84" i="36"/>
  <c r="Z81" i="35"/>
  <c r="AA84" i="36"/>
  <c r="AJ51" i="36"/>
  <c r="AC49" i="35"/>
  <c r="V51" i="36"/>
  <c r="W51" i="36"/>
  <c r="AD15" i="36"/>
  <c r="Z49" i="35"/>
  <c r="V15" i="36"/>
  <c r="G51" i="36"/>
  <c r="AK15" i="35"/>
  <c r="AF84" i="36"/>
  <c r="T49" i="35"/>
  <c r="AG51" i="36"/>
  <c r="F15" i="36"/>
  <c r="Y15" i="35"/>
  <c r="AF15" i="36"/>
  <c r="AF51" i="39"/>
  <c r="AB51" i="37"/>
  <c r="AO15" i="38"/>
  <c r="AQ84" i="39"/>
  <c r="AQ15" i="40"/>
  <c r="AP84" i="39"/>
  <c r="AA51" i="37"/>
  <c r="AN15" i="38"/>
  <c r="AE51" i="39"/>
  <c r="AD51" i="39"/>
  <c r="AP15" i="40"/>
  <c r="Z51" i="37"/>
  <c r="AO84" i="39"/>
  <c r="AO15" i="39"/>
  <c r="AM15" i="38"/>
  <c r="F15" i="37"/>
  <c r="X15" i="38"/>
  <c r="AF49" i="38"/>
  <c r="X15" i="37"/>
  <c r="AA84" i="37"/>
  <c r="W15" i="39"/>
  <c r="AE84" i="39"/>
  <c r="AE84" i="37"/>
  <c r="Y15" i="37"/>
  <c r="AE81" i="38"/>
  <c r="F15" i="38"/>
  <c r="AN84" i="37"/>
  <c r="W84" i="37"/>
  <c r="AC15" i="37"/>
  <c r="AI15" i="38"/>
  <c r="Y81" i="38"/>
  <c r="Y84" i="37"/>
  <c r="W49" i="38"/>
  <c r="AD49" i="38"/>
  <c r="AM15" i="42"/>
  <c r="Y51" i="39"/>
  <c r="AJ84" i="42"/>
  <c r="U15" i="41"/>
  <c r="X84" i="42"/>
  <c r="E51" i="39"/>
  <c r="AH51" i="39"/>
  <c r="X81" i="40"/>
  <c r="X81" i="41"/>
  <c r="W15" i="40"/>
  <c r="AL51" i="42"/>
  <c r="AA49" i="41"/>
  <c r="AB49" i="40"/>
  <c r="AH15" i="42"/>
  <c r="F15" i="41"/>
  <c r="AI51" i="39"/>
  <c r="T49" i="40"/>
  <c r="AJ51" i="37"/>
  <c r="AJ15" i="38"/>
  <c r="V84" i="37"/>
  <c r="G51" i="37"/>
  <c r="X49" i="38"/>
  <c r="AN15" i="39"/>
  <c r="AC81" i="38"/>
  <c r="AD81" i="38"/>
  <c r="U49" i="38"/>
  <c r="AO15" i="40"/>
  <c r="AA81" i="40"/>
  <c r="AJ51" i="42"/>
  <c r="AF81" i="40"/>
  <c r="AD15" i="39"/>
  <c r="AK51" i="42"/>
  <c r="E51" i="42"/>
  <c r="Y15" i="42"/>
  <c r="AG84" i="37"/>
  <c r="AH51" i="37"/>
  <c r="AC51" i="39"/>
  <c r="AC49" i="38"/>
  <c r="T15" i="38"/>
  <c r="AB15" i="37"/>
  <c r="W15" i="38"/>
  <c r="AA49" i="38"/>
  <c r="AG15" i="38"/>
  <c r="I15" i="38"/>
  <c r="AB84" i="37"/>
  <c r="AF81" i="38"/>
  <c r="X84" i="37"/>
  <c r="E51" i="37"/>
  <c r="V15" i="37"/>
  <c r="F84" i="37"/>
  <c r="AL84" i="37"/>
  <c r="Z49" i="38"/>
  <c r="X51" i="37"/>
  <c r="AC84" i="37"/>
  <c r="W15" i="37"/>
  <c r="AL15" i="38"/>
  <c r="G15" i="38"/>
  <c r="AJ84" i="37"/>
  <c r="F51" i="37"/>
  <c r="AE15" i="37"/>
  <c r="AM84" i="37"/>
  <c r="Z15" i="38"/>
  <c r="E15" i="37"/>
  <c r="AG84" i="39"/>
  <c r="H51" i="39"/>
  <c r="X49" i="40"/>
  <c r="AQ84" i="42"/>
  <c r="AB49" i="41"/>
  <c r="X15" i="41"/>
  <c r="W51" i="39"/>
  <c r="AD49" i="41"/>
  <c r="AN15" i="41"/>
  <c r="X15" i="40"/>
  <c r="F51" i="42"/>
  <c r="AC81" i="40"/>
  <c r="Y84" i="39"/>
  <c r="G15" i="41"/>
  <c r="AJ51" i="39"/>
  <c r="AB15" i="42"/>
  <c r="AE15" i="40"/>
  <c r="Z15" i="41"/>
  <c r="AI51" i="37"/>
  <c r="H51" i="37"/>
  <c r="AA81" i="38"/>
  <c r="E84" i="37"/>
  <c r="AG49" i="38"/>
  <c r="G15" i="37"/>
  <c r="Y51" i="37"/>
  <c r="H15" i="41"/>
  <c r="AG51" i="42"/>
  <c r="W15" i="42"/>
  <c r="AG15" i="42"/>
  <c r="W84" i="39"/>
  <c r="AE15" i="38"/>
  <c r="Z84" i="37"/>
  <c r="Z15" i="37"/>
  <c r="G84" i="37"/>
  <c r="W51" i="37"/>
  <c r="H15" i="38"/>
  <c r="H84" i="37"/>
  <c r="V15" i="38"/>
  <c r="AH15" i="38"/>
  <c r="AN84" i="39"/>
  <c r="AD84" i="37"/>
  <c r="AF84" i="37"/>
  <c r="V51" i="37"/>
  <c r="AL15" i="37"/>
  <c r="U15" i="38"/>
  <c r="AA15" i="37"/>
  <c r="AC15" i="38"/>
  <c r="AD15" i="37"/>
  <c r="Y49" i="38"/>
  <c r="AK15" i="37"/>
  <c r="AQ15" i="41"/>
  <c r="AK51" i="37"/>
  <c r="X81" i="38"/>
  <c r="AH84" i="37"/>
  <c r="AD15" i="38"/>
  <c r="AF15" i="37"/>
  <c r="AJ15" i="37"/>
  <c r="AF15" i="38"/>
  <c r="AI84" i="37"/>
  <c r="V49" i="38"/>
  <c r="T49" i="38"/>
  <c r="AB81" i="38"/>
  <c r="AI15" i="37"/>
  <c r="AG51" i="37"/>
  <c r="G51" i="39"/>
  <c r="AL15" i="40"/>
  <c r="Z84" i="42"/>
  <c r="AI81" i="41"/>
  <c r="AP84" i="42"/>
  <c r="Z81" i="41"/>
  <c r="AF51" i="42"/>
  <c r="H15" i="40"/>
  <c r="AD49" i="40"/>
  <c r="AD51" i="42"/>
  <c r="F15" i="39"/>
  <c r="E15" i="42"/>
  <c r="AB81" i="41"/>
  <c r="AD81" i="41"/>
  <c r="I15" i="40"/>
  <c r="AN84" i="42"/>
  <c r="AJ15" i="40"/>
  <c r="AC49" i="41"/>
  <c r="AC49" i="40"/>
  <c r="AF15" i="40"/>
  <c r="AK15" i="40"/>
  <c r="AN51" i="42"/>
  <c r="E84" i="39"/>
  <c r="AB84" i="39"/>
  <c r="AA15" i="42"/>
  <c r="W84" i="42"/>
  <c r="AC84" i="42"/>
  <c r="AB51" i="39"/>
  <c r="AK84" i="39"/>
  <c r="AI15" i="39"/>
  <c r="AF15" i="39"/>
  <c r="AM84" i="42"/>
  <c r="AK51" i="39"/>
  <c r="AG15" i="40"/>
  <c r="AE15" i="39"/>
  <c r="AJ84" i="39"/>
  <c r="W49" i="40"/>
  <c r="AM15" i="39"/>
  <c r="AC81" i="41"/>
  <c r="AF84" i="39"/>
  <c r="V51" i="39"/>
  <c r="Y49" i="40"/>
  <c r="AE81" i="41"/>
  <c r="AE51" i="42"/>
  <c r="V51" i="42"/>
  <c r="G84" i="39"/>
  <c r="W81" i="40"/>
  <c r="AJ15" i="42"/>
  <c r="AA81" i="41"/>
  <c r="AC15" i="41"/>
  <c r="AC15" i="40"/>
  <c r="AE15" i="41"/>
  <c r="AF84" i="42"/>
  <c r="Z51" i="42"/>
  <c r="Z49" i="40"/>
  <c r="AL15" i="42"/>
  <c r="AD84" i="42"/>
  <c r="F84" i="42"/>
  <c r="U49" i="41"/>
  <c r="E84" i="42"/>
  <c r="AD84" i="39"/>
  <c r="AD15" i="40"/>
  <c r="AJ15" i="41"/>
  <c r="AE49" i="41"/>
  <c r="Z84" i="39"/>
  <c r="W15" i="41"/>
  <c r="AH49" i="41"/>
  <c r="Z81" i="38"/>
  <c r="AR84" i="42"/>
  <c r="AO84" i="37"/>
  <c r="AB49" i="38"/>
  <c r="AL51" i="37"/>
  <c r="AH15" i="37"/>
  <c r="AK15" i="38"/>
  <c r="AP15" i="42"/>
  <c r="AM15" i="37"/>
  <c r="AH49" i="40"/>
  <c r="AI15" i="40"/>
  <c r="H51" i="42"/>
  <c r="AM15" i="40"/>
  <c r="AB15" i="39"/>
  <c r="Z15" i="42"/>
  <c r="AH15" i="39"/>
  <c r="AA51" i="39"/>
  <c r="AB15" i="40"/>
  <c r="AL84" i="42"/>
  <c r="AO84" i="42"/>
  <c r="T49" i="41"/>
  <c r="X84" i="39"/>
  <c r="AN15" i="42"/>
  <c r="G15" i="39"/>
  <c r="AL51" i="39"/>
  <c r="AI15" i="42"/>
  <c r="X15" i="39"/>
  <c r="AA15" i="41"/>
  <c r="AO51" i="42"/>
  <c r="AK84" i="42"/>
  <c r="AN15" i="40"/>
  <c r="V15" i="40"/>
  <c r="AH81" i="41"/>
  <c r="AH15" i="40"/>
  <c r="Y81" i="40"/>
  <c r="Z49" i="41"/>
  <c r="AG81" i="41"/>
  <c r="Y15" i="39"/>
  <c r="AC15" i="42"/>
  <c r="AO51" i="39"/>
  <c r="AC84" i="39"/>
  <c r="AP15" i="41"/>
  <c r="Y15" i="40"/>
  <c r="H15" i="39"/>
  <c r="AI15" i="41"/>
  <c r="W51" i="42"/>
  <c r="Z51" i="39"/>
  <c r="Z81" i="40"/>
  <c r="T15" i="41"/>
  <c r="F15" i="42"/>
  <c r="AH51" i="42"/>
  <c r="AH84" i="39"/>
  <c r="AM15" i="41"/>
  <c r="Y49" i="41"/>
  <c r="X15" i="42"/>
  <c r="V84" i="42"/>
  <c r="H84" i="39"/>
  <c r="Y15" i="41"/>
  <c r="V15" i="39"/>
  <c r="G84" i="42"/>
  <c r="AG51" i="39"/>
  <c r="AS84" i="42"/>
  <c r="AK15" i="39"/>
  <c r="AB51" i="42"/>
  <c r="AI84" i="39"/>
  <c r="AA84" i="42"/>
  <c r="T15" i="40"/>
  <c r="AG15" i="41"/>
  <c r="X51" i="42"/>
  <c r="H15" i="42"/>
  <c r="F51" i="39"/>
  <c r="Z15" i="40"/>
  <c r="AF15" i="41"/>
  <c r="AC51" i="42"/>
  <c r="H84" i="42"/>
  <c r="AG15" i="37"/>
  <c r="AE49" i="38"/>
  <c r="AA15" i="38"/>
  <c r="AB15" i="38"/>
  <c r="H15" i="37"/>
  <c r="W81" i="38"/>
  <c r="Y15" i="38"/>
  <c r="AK84" i="37"/>
  <c r="X51" i="39"/>
  <c r="AA15" i="39"/>
  <c r="AT84" i="42"/>
  <c r="AJ15" i="39"/>
  <c r="AI51" i="42"/>
  <c r="AL15" i="39"/>
  <c r="I15" i="41"/>
  <c r="AA84" i="39"/>
  <c r="AP51" i="39"/>
  <c r="AM84" i="39"/>
  <c r="Y51" i="42"/>
  <c r="AD81" i="40"/>
  <c r="AI84" i="42"/>
  <c r="G51" i="42"/>
  <c r="U15" i="40"/>
  <c r="F84" i="39"/>
  <c r="AG49" i="40"/>
  <c r="G15" i="42"/>
  <c r="AO15" i="41"/>
  <c r="AO15" i="42"/>
  <c r="AG49" i="41"/>
  <c r="AB15" i="41"/>
  <c r="F15" i="40"/>
  <c r="AL84" i="39"/>
  <c r="W49" i="41"/>
  <c r="V84" i="39"/>
  <c r="V15" i="41"/>
  <c r="AL15" i="41"/>
  <c r="W81" i="41"/>
  <c r="AH84" i="42"/>
  <c r="AM51" i="39"/>
  <c r="AF49" i="40"/>
  <c r="AH15" i="41"/>
  <c r="AG84" i="42"/>
  <c r="AE84" i="42"/>
  <c r="E15" i="39"/>
  <c r="AA49" i="40"/>
  <c r="AB81" i="40"/>
  <c r="AA15" i="40"/>
  <c r="X49" i="41"/>
  <c r="AE15" i="42"/>
  <c r="AP51" i="42"/>
  <c r="V49" i="40"/>
  <c r="AK15" i="41"/>
  <c r="AF49" i="41"/>
  <c r="AD15" i="42"/>
  <c r="AM51" i="42"/>
  <c r="AC15" i="39"/>
  <c r="U49" i="40"/>
  <c r="AF81" i="41"/>
  <c r="AA51" i="42"/>
  <c r="AF15" i="42"/>
  <c r="AG15" i="39"/>
  <c r="AD15" i="41"/>
  <c r="Y84" i="42"/>
  <c r="Z15" i="39"/>
  <c r="G15" i="40"/>
  <c r="AE49" i="40"/>
  <c r="Y81" i="41"/>
  <c r="AB84" i="42"/>
  <c r="AN51" i="39"/>
  <c r="AE81" i="40"/>
  <c r="AK15" i="42"/>
  <c r="V49" i="41"/>
  <c r="V15" i="42"/>
  <c r="H51" i="36"/>
  <c r="AZ51" i="49"/>
  <c r="BA44" i="49"/>
  <c r="AR75" i="48"/>
  <c r="AQ81" i="48"/>
  <c r="AQ49" i="48"/>
  <c r="AR42" i="48"/>
  <c r="AW51" i="47"/>
  <c r="AX44" i="47"/>
  <c r="AQ44" i="46"/>
  <c r="E44" i="46" s="1"/>
  <c r="AP77" i="46"/>
  <c r="AP79" i="46" s="1"/>
  <c r="AY84" i="44"/>
  <c r="AZ79" i="44"/>
  <c r="AZ82" i="44" s="1"/>
  <c r="AS46" i="44"/>
  <c r="AS49" i="44" s="1"/>
  <c r="AL81" i="43"/>
  <c r="AM75" i="43"/>
  <c r="AL49" i="43"/>
  <c r="AM42" i="43"/>
  <c r="AU84" i="42"/>
  <c r="AV79" i="42"/>
  <c r="AV82" i="42" s="1"/>
  <c r="AQ51" i="42"/>
  <c r="AR44" i="42"/>
  <c r="AI49" i="41"/>
  <c r="AJ42" i="41"/>
  <c r="AJ77" i="41"/>
  <c r="AJ79" i="41" s="1"/>
  <c r="AH75" i="40"/>
  <c r="AG81" i="40"/>
  <c r="AI47" i="40"/>
  <c r="AQ46" i="39"/>
  <c r="AS84" i="39"/>
  <c r="AT79" i="39"/>
  <c r="AT82" i="39" s="1"/>
  <c r="AP15" i="39"/>
  <c r="AQ5" i="39"/>
  <c r="AQ5" i="38"/>
  <c r="AQ13" i="38" s="1"/>
  <c r="AP15" i="38"/>
  <c r="AS40" i="38"/>
  <c r="AH49" i="38"/>
  <c r="AI42" i="38"/>
  <c r="AG77" i="38"/>
  <c r="D77" i="38" s="1"/>
  <c r="AF51" i="37"/>
  <c r="AM51" i="37"/>
  <c r="AN44" i="37"/>
  <c r="AN49" i="37" s="1"/>
  <c r="AP84" i="37"/>
  <c r="AQ79" i="37"/>
  <c r="AQ82" i="37" s="1"/>
  <c r="BJ44" i="37"/>
  <c r="BK41" i="37"/>
  <c r="BK44" i="37"/>
  <c r="AO5" i="37"/>
  <c r="AO13" i="37" s="1"/>
  <c r="AN15" i="37"/>
  <c r="AB51" i="36"/>
  <c r="AM79" i="36"/>
  <c r="AM82" i="36" s="1"/>
  <c r="AL84" i="36"/>
  <c r="AQ3" i="36"/>
  <c r="AC42" i="36"/>
  <c r="AJ15" i="36"/>
  <c r="AK5" i="36"/>
  <c r="AK13" i="36" s="1"/>
  <c r="AL44" i="36"/>
  <c r="AL49" i="36" s="1"/>
  <c r="AK51" i="36"/>
  <c r="H8" i="36"/>
  <c r="D8" i="36" s="1"/>
  <c r="AL15" i="35"/>
  <c r="AM5" i="35"/>
  <c r="AM13" i="35" s="1"/>
  <c r="AF75" i="35"/>
  <c r="AE81" i="35"/>
  <c r="AS3" i="35"/>
  <c r="H13" i="35"/>
  <c r="AG44" i="35"/>
  <c r="AC15" i="33"/>
  <c r="AG15" i="33"/>
  <c r="Y15" i="33"/>
  <c r="U15" i="33"/>
  <c r="W49" i="33"/>
  <c r="Z15" i="33"/>
  <c r="W15" i="33"/>
  <c r="AA15" i="33"/>
  <c r="AE15" i="33"/>
  <c r="AD49" i="33"/>
  <c r="V15" i="33"/>
  <c r="AD15" i="33"/>
  <c r="F15" i="33"/>
  <c r="T15" i="33"/>
  <c r="X15" i="33"/>
  <c r="AB15" i="33"/>
  <c r="AF15" i="33"/>
  <c r="T49" i="33"/>
  <c r="U49" i="33"/>
  <c r="V49" i="33"/>
  <c r="AA49" i="33"/>
  <c r="Z81" i="33"/>
  <c r="AB49" i="33"/>
  <c r="W81" i="33"/>
  <c r="AA81" i="33"/>
  <c r="AC49" i="33"/>
  <c r="X81" i="33"/>
  <c r="AB81" i="33"/>
  <c r="W15" i="34"/>
  <c r="AE15" i="34"/>
  <c r="AC15" i="34"/>
  <c r="Y15" i="34"/>
  <c r="AG15" i="34"/>
  <c r="F15" i="34"/>
  <c r="AA15" i="34"/>
  <c r="AI15" i="34"/>
  <c r="AC51" i="34"/>
  <c r="AF84" i="34"/>
  <c r="X15" i="34"/>
  <c r="AB15" i="34"/>
  <c r="AF15" i="34"/>
  <c r="V51" i="34"/>
  <c r="AF51" i="34"/>
  <c r="X51" i="34"/>
  <c r="X84" i="34"/>
  <c r="E15" i="34"/>
  <c r="V15" i="34"/>
  <c r="Z15" i="34"/>
  <c r="AD15" i="34"/>
  <c r="AH15" i="34"/>
  <c r="E51" i="34"/>
  <c r="Z51" i="34"/>
  <c r="AB84" i="34"/>
  <c r="W51" i="34"/>
  <c r="AB51" i="34"/>
  <c r="E84" i="34"/>
  <c r="Z84" i="34"/>
  <c r="Y51" i="34"/>
  <c r="AD51" i="34"/>
  <c r="V84" i="34"/>
  <c r="AD84" i="34"/>
  <c r="Y84" i="34"/>
  <c r="AC84" i="34"/>
  <c r="AG84" i="34"/>
  <c r="AA51" i="34"/>
  <c r="AE51" i="34"/>
  <c r="F84" i="34"/>
  <c r="W84" i="34"/>
  <c r="AA84" i="34"/>
  <c r="AE84" i="34"/>
  <c r="Y81" i="33"/>
  <c r="G84" i="34"/>
  <c r="H79" i="34"/>
  <c r="H82" i="34" s="1"/>
  <c r="H84" i="34" s="1"/>
  <c r="F51" i="34"/>
  <c r="G44" i="34"/>
  <c r="AK78" i="34"/>
  <c r="AI79" i="34"/>
  <c r="AI82" i="34" s="1"/>
  <c r="AH84" i="34"/>
  <c r="AH44" i="34"/>
  <c r="AH49" i="34" s="1"/>
  <c r="AG51" i="34"/>
  <c r="G8" i="34"/>
  <c r="G13" i="34" s="1"/>
  <c r="AK5" i="34"/>
  <c r="AK13" i="34" s="1"/>
  <c r="AJ15" i="34"/>
  <c r="X49" i="33"/>
  <c r="Y42" i="33"/>
  <c r="Y47" i="33" s="1"/>
  <c r="G8" i="33"/>
  <c r="G13" i="33" s="1"/>
  <c r="AL40" i="33"/>
  <c r="AC81" i="33"/>
  <c r="AD75" i="33"/>
  <c r="AE44" i="33"/>
  <c r="AE47" i="33" s="1"/>
  <c r="AH15" i="33"/>
  <c r="AI5" i="33"/>
  <c r="AI13" i="33" s="1"/>
  <c r="AM3" i="33"/>
  <c r="C33" i="19"/>
  <c r="C52" i="19" s="1"/>
  <c r="C55" i="19" s="1"/>
  <c r="AB79" i="32"/>
  <c r="AC75" i="32" s="1"/>
  <c r="AA79" i="32"/>
  <c r="Z79" i="32"/>
  <c r="X79" i="32"/>
  <c r="Y75" i="32" s="1"/>
  <c r="Y77" i="32" s="1"/>
  <c r="W79" i="32"/>
  <c r="D78" i="32"/>
  <c r="G77" i="32"/>
  <c r="V76" i="32"/>
  <c r="E76" i="32" s="1"/>
  <c r="I76" i="32"/>
  <c r="I77" i="32" s="1"/>
  <c r="F76" i="32"/>
  <c r="F77" i="32" s="1"/>
  <c r="BG74" i="32"/>
  <c r="AT73" i="32"/>
  <c r="AU73" i="32" s="1"/>
  <c r="AV73" i="32" s="1"/>
  <c r="AW73" i="32" s="1"/>
  <c r="AX73" i="32" s="1"/>
  <c r="AY73" i="32" s="1"/>
  <c r="AZ73" i="32" s="1"/>
  <c r="BA73" i="32" s="1"/>
  <c r="BB73" i="32" s="1"/>
  <c r="BC73" i="32" s="1"/>
  <c r="BD73" i="32" s="1"/>
  <c r="BE73" i="32" s="1"/>
  <c r="AI73" i="32"/>
  <c r="AJ73" i="32" s="1"/>
  <c r="AK73" i="32" s="1"/>
  <c r="AL73" i="32" s="1"/>
  <c r="AM73" i="32" s="1"/>
  <c r="AN73" i="32" s="1"/>
  <c r="AO73" i="32" s="1"/>
  <c r="AP73" i="32" s="1"/>
  <c r="AQ73" i="32" s="1"/>
  <c r="AR73" i="32" s="1"/>
  <c r="AS73" i="32" s="1"/>
  <c r="W73" i="32"/>
  <c r="X73" i="32" s="1"/>
  <c r="Y73" i="32" s="1"/>
  <c r="Z73" i="32" s="1"/>
  <c r="AA73" i="32" s="1"/>
  <c r="AB73" i="32" s="1"/>
  <c r="AC73" i="32" s="1"/>
  <c r="AD73" i="32" s="1"/>
  <c r="AE73" i="32" s="1"/>
  <c r="AF73" i="32" s="1"/>
  <c r="AG73" i="32" s="1"/>
  <c r="G73" i="32"/>
  <c r="H73" i="32" s="1"/>
  <c r="I73" i="32" s="1"/>
  <c r="AT63" i="32"/>
  <c r="AU63" i="32" s="1"/>
  <c r="AV63" i="32" s="1"/>
  <c r="AW63" i="32" s="1"/>
  <c r="AX63" i="32" s="1"/>
  <c r="AY63" i="32" s="1"/>
  <c r="AZ63" i="32" s="1"/>
  <c r="BA63" i="32" s="1"/>
  <c r="BB63" i="32" s="1"/>
  <c r="BC63" i="32" s="1"/>
  <c r="BD63" i="32" s="1"/>
  <c r="BE63" i="32" s="1"/>
  <c r="AI63" i="32"/>
  <c r="AJ63" i="32" s="1"/>
  <c r="AK63" i="32" s="1"/>
  <c r="AL63" i="32" s="1"/>
  <c r="AM63" i="32" s="1"/>
  <c r="AN63" i="32" s="1"/>
  <c r="AO63" i="32" s="1"/>
  <c r="AP63" i="32" s="1"/>
  <c r="AQ63" i="32" s="1"/>
  <c r="AR63" i="32" s="1"/>
  <c r="AS63" i="32" s="1"/>
  <c r="W63" i="32"/>
  <c r="X63" i="32" s="1"/>
  <c r="Y63" i="32" s="1"/>
  <c r="Z63" i="32" s="1"/>
  <c r="AA63" i="32" s="1"/>
  <c r="AB63" i="32" s="1"/>
  <c r="AC63" i="32" s="1"/>
  <c r="AD63" i="32" s="1"/>
  <c r="AE63" i="32" s="1"/>
  <c r="AF63" i="32" s="1"/>
  <c r="AG63" i="32" s="1"/>
  <c r="G63" i="32"/>
  <c r="H63" i="32" s="1"/>
  <c r="I63" i="32" s="1"/>
  <c r="E61" i="32"/>
  <c r="D61" i="32"/>
  <c r="AQ60" i="32"/>
  <c r="AP60" i="32"/>
  <c r="AO60" i="32"/>
  <c r="AN60" i="32"/>
  <c r="AM60" i="32"/>
  <c r="AL60" i="32"/>
  <c r="AK60" i="32"/>
  <c r="AJ60" i="32"/>
  <c r="AI60" i="32"/>
  <c r="AH60" i="32"/>
  <c r="AF60" i="32"/>
  <c r="AE60" i="32"/>
  <c r="AD60" i="32"/>
  <c r="AC60" i="32"/>
  <c r="AB60" i="32"/>
  <c r="AA60" i="32"/>
  <c r="Z60" i="32"/>
  <c r="Y60" i="32"/>
  <c r="X60" i="32"/>
  <c r="W60" i="32"/>
  <c r="V60" i="32"/>
  <c r="I60" i="32"/>
  <c r="H60" i="32"/>
  <c r="G60" i="32"/>
  <c r="E59" i="32"/>
  <c r="D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G58" i="32"/>
  <c r="D58" i="32" s="1"/>
  <c r="E58" i="32"/>
  <c r="E57" i="32"/>
  <c r="D57" i="32"/>
  <c r="E56" i="32"/>
  <c r="D56" i="32"/>
  <c r="E55" i="32"/>
  <c r="BE54" i="32"/>
  <c r="AT54" i="32"/>
  <c r="AS54" i="32"/>
  <c r="E54" i="32"/>
  <c r="D54" i="32"/>
  <c r="BE53" i="32"/>
  <c r="AT53" i="32"/>
  <c r="AS53" i="32"/>
  <c r="E53" i="32"/>
  <c r="D53" i="32"/>
  <c r="BE52" i="32"/>
  <c r="AT52" i="32"/>
  <c r="AS52" i="32"/>
  <c r="E52" i="32"/>
  <c r="D52" i="32"/>
  <c r="AT51" i="32"/>
  <c r="AU51" i="32" s="1"/>
  <c r="AV51" i="32" s="1"/>
  <c r="AW51" i="32" s="1"/>
  <c r="AX51" i="32" s="1"/>
  <c r="AY51" i="32" s="1"/>
  <c r="AZ51" i="32" s="1"/>
  <c r="BA51" i="32" s="1"/>
  <c r="BB51" i="32" s="1"/>
  <c r="BC51" i="32" s="1"/>
  <c r="BD51" i="32" s="1"/>
  <c r="BE51" i="32" s="1"/>
  <c r="AI51" i="32"/>
  <c r="AJ51" i="32" s="1"/>
  <c r="AK51" i="32" s="1"/>
  <c r="AL51" i="32" s="1"/>
  <c r="AM51" i="32" s="1"/>
  <c r="AN51" i="32" s="1"/>
  <c r="AO51" i="32" s="1"/>
  <c r="AP51" i="32" s="1"/>
  <c r="AQ51" i="32" s="1"/>
  <c r="AR51" i="32" s="1"/>
  <c r="AS51" i="32" s="1"/>
  <c r="W51" i="32"/>
  <c r="X51" i="32" s="1"/>
  <c r="Y51" i="32" s="1"/>
  <c r="Z51" i="32" s="1"/>
  <c r="AA51" i="32" s="1"/>
  <c r="AB51" i="32" s="1"/>
  <c r="AC51" i="32" s="1"/>
  <c r="AD51" i="32" s="1"/>
  <c r="AE51" i="32" s="1"/>
  <c r="AF51" i="32" s="1"/>
  <c r="AG51" i="32" s="1"/>
  <c r="G51" i="32"/>
  <c r="H51" i="32" s="1"/>
  <c r="I51" i="32" s="1"/>
  <c r="BL47" i="32"/>
  <c r="BJ47" i="32"/>
  <c r="BI47" i="32"/>
  <c r="BH47" i="32"/>
  <c r="BG47" i="32"/>
  <c r="AC47" i="32"/>
  <c r="AD42" i="32" s="1"/>
  <c r="AB47" i="32"/>
  <c r="AA47" i="32"/>
  <c r="V47" i="32"/>
  <c r="W42" i="32" s="1"/>
  <c r="BJ46" i="32"/>
  <c r="BI46" i="32"/>
  <c r="BH46" i="32"/>
  <c r="U46" i="32"/>
  <c r="D46" i="32"/>
  <c r="D45" i="32"/>
  <c r="T44" i="32"/>
  <c r="T47" i="32" s="1"/>
  <c r="U42" i="32" s="1"/>
  <c r="AE43" i="32"/>
  <c r="AD43" i="32"/>
  <c r="X43" i="32"/>
  <c r="W43" i="32"/>
  <c r="I43" i="32"/>
  <c r="F43" i="32"/>
  <c r="E43" i="32"/>
  <c r="D43" i="32"/>
  <c r="BG41" i="32"/>
  <c r="AT40" i="32"/>
  <c r="AU40" i="32" s="1"/>
  <c r="AV40" i="32" s="1"/>
  <c r="AI40" i="32"/>
  <c r="AJ40" i="32" s="1"/>
  <c r="AK40" i="32" s="1"/>
  <c r="AL40" i="32" s="1"/>
  <c r="AM40" i="32" s="1"/>
  <c r="AN40" i="32" s="1"/>
  <c r="AO40" i="32" s="1"/>
  <c r="W40" i="32"/>
  <c r="X40" i="32" s="1"/>
  <c r="Y40" i="32" s="1"/>
  <c r="Z40" i="32" s="1"/>
  <c r="AA40" i="32" s="1"/>
  <c r="AB40" i="32" s="1"/>
  <c r="AC40" i="32" s="1"/>
  <c r="AD40" i="32" s="1"/>
  <c r="AE40" i="32" s="1"/>
  <c r="AF40" i="32" s="1"/>
  <c r="AG40" i="32" s="1"/>
  <c r="G40" i="32"/>
  <c r="H40" i="32" s="1"/>
  <c r="I40" i="32" s="1"/>
  <c r="AT30" i="32"/>
  <c r="AU30" i="32" s="1"/>
  <c r="AV30" i="32" s="1"/>
  <c r="AW30" i="32" s="1"/>
  <c r="AX30" i="32" s="1"/>
  <c r="AY30" i="32" s="1"/>
  <c r="AZ30" i="32" s="1"/>
  <c r="BA30" i="32" s="1"/>
  <c r="BB30" i="32" s="1"/>
  <c r="BC30" i="32" s="1"/>
  <c r="BD30" i="32" s="1"/>
  <c r="BE30" i="32" s="1"/>
  <c r="AI30" i="32"/>
  <c r="AJ30" i="32" s="1"/>
  <c r="AK30" i="32" s="1"/>
  <c r="AL30" i="32" s="1"/>
  <c r="AM30" i="32" s="1"/>
  <c r="AN30" i="32" s="1"/>
  <c r="AO30" i="32" s="1"/>
  <c r="AP30" i="32" s="1"/>
  <c r="AQ30" i="32" s="1"/>
  <c r="AR30" i="32" s="1"/>
  <c r="AS30" i="32" s="1"/>
  <c r="W30" i="32"/>
  <c r="X30" i="32" s="1"/>
  <c r="Y30" i="32" s="1"/>
  <c r="Z30" i="32" s="1"/>
  <c r="AA30" i="32" s="1"/>
  <c r="AB30" i="32" s="1"/>
  <c r="AC30" i="32" s="1"/>
  <c r="AD30" i="32" s="1"/>
  <c r="AE30" i="32" s="1"/>
  <c r="AF30" i="32" s="1"/>
  <c r="AG30" i="32" s="1"/>
  <c r="G30" i="32"/>
  <c r="H30" i="32" s="1"/>
  <c r="I30" i="32" s="1"/>
  <c r="E28" i="32"/>
  <c r="D28" i="32"/>
  <c r="AQ27" i="32"/>
  <c r="AP27" i="32"/>
  <c r="AO27" i="32"/>
  <c r="AN27" i="32"/>
  <c r="AF27" i="32"/>
  <c r="AE27" i="32"/>
  <c r="AD27" i="32"/>
  <c r="AC27" i="32"/>
  <c r="AA27" i="32"/>
  <c r="Z27" i="32"/>
  <c r="Y27" i="32"/>
  <c r="X27" i="32"/>
  <c r="W27" i="32"/>
  <c r="V27" i="32"/>
  <c r="I27" i="32"/>
  <c r="H27" i="32"/>
  <c r="F27" i="32"/>
  <c r="E26" i="32"/>
  <c r="D26" i="32"/>
  <c r="E25" i="32"/>
  <c r="D25" i="32"/>
  <c r="AY24" i="32"/>
  <c r="AX24" i="32"/>
  <c r="AW24" i="32"/>
  <c r="AV24" i="32"/>
  <c r="AU24" i="32"/>
  <c r="AT24" i="32"/>
  <c r="AM24" i="32"/>
  <c r="AM27" i="32" s="1"/>
  <c r="AL24" i="32"/>
  <c r="AL27" i="32" s="1"/>
  <c r="AK24" i="32"/>
  <c r="AK27" i="32" s="1"/>
  <c r="AJ24" i="32"/>
  <c r="AJ27" i="32" s="1"/>
  <c r="AI24" i="32"/>
  <c r="AI27" i="32" s="1"/>
  <c r="AH24" i="32"/>
  <c r="AH27" i="32" s="1"/>
  <c r="AG24" i="32"/>
  <c r="AB24" i="32"/>
  <c r="E23" i="32"/>
  <c r="D23" i="32"/>
  <c r="E22" i="32"/>
  <c r="D22" i="32"/>
  <c r="E21" i="32"/>
  <c r="D21" i="32"/>
  <c r="BE20" i="32"/>
  <c r="AT20" i="32"/>
  <c r="AS20" i="32"/>
  <c r="E20" i="32"/>
  <c r="BE19" i="32"/>
  <c r="BE27" i="32" s="1"/>
  <c r="AT19" i="32"/>
  <c r="AS19" i="32"/>
  <c r="AS27" i="32" s="1"/>
  <c r="E19" i="32"/>
  <c r="AT18" i="32"/>
  <c r="AU18" i="32" s="1"/>
  <c r="AV18" i="32" s="1"/>
  <c r="AW18" i="32" s="1"/>
  <c r="AX18" i="32" s="1"/>
  <c r="AY18" i="32" s="1"/>
  <c r="AZ18" i="32" s="1"/>
  <c r="BA18" i="32" s="1"/>
  <c r="BB18" i="32" s="1"/>
  <c r="BC18" i="32" s="1"/>
  <c r="BD18" i="32" s="1"/>
  <c r="BE18" i="32" s="1"/>
  <c r="AI18" i="32"/>
  <c r="AJ18" i="32" s="1"/>
  <c r="AK18" i="32" s="1"/>
  <c r="AL18" i="32" s="1"/>
  <c r="AM18" i="32" s="1"/>
  <c r="AN18" i="32" s="1"/>
  <c r="AO18" i="32" s="1"/>
  <c r="AP18" i="32" s="1"/>
  <c r="AQ18" i="32" s="1"/>
  <c r="AR18" i="32" s="1"/>
  <c r="AS18" i="32" s="1"/>
  <c r="W18" i="32"/>
  <c r="X18" i="32" s="1"/>
  <c r="Y18" i="32" s="1"/>
  <c r="Z18" i="32" s="1"/>
  <c r="AA18" i="32" s="1"/>
  <c r="AB18" i="32" s="1"/>
  <c r="AC18" i="32" s="1"/>
  <c r="AD18" i="32" s="1"/>
  <c r="AE18" i="32" s="1"/>
  <c r="AF18" i="32" s="1"/>
  <c r="AG18" i="32" s="1"/>
  <c r="G18" i="32"/>
  <c r="H18" i="32" s="1"/>
  <c r="I18" i="32" s="1"/>
  <c r="AF13" i="32"/>
  <c r="AG5" i="32" s="1"/>
  <c r="AG8" i="32" s="1"/>
  <c r="AR11" i="32" s="1"/>
  <c r="AE13" i="32"/>
  <c r="AD13" i="32"/>
  <c r="AC13" i="32"/>
  <c r="AB13" i="32"/>
  <c r="AA13" i="32"/>
  <c r="Z13" i="32"/>
  <c r="Y13" i="32"/>
  <c r="X13" i="32"/>
  <c r="W13" i="32"/>
  <c r="V13" i="32"/>
  <c r="T13" i="32"/>
  <c r="D12" i="32"/>
  <c r="BL10" i="32"/>
  <c r="BJ10" i="32"/>
  <c r="BI10" i="32"/>
  <c r="BH10" i="32"/>
  <c r="BG10" i="32"/>
  <c r="AR10" i="32"/>
  <c r="AR9" i="32"/>
  <c r="F8" i="32"/>
  <c r="F13" i="32" s="1"/>
  <c r="E7" i="32"/>
  <c r="E6" i="32"/>
  <c r="U5" i="32"/>
  <c r="U13" i="32" s="1"/>
  <c r="AU3" i="32"/>
  <c r="AI3" i="32"/>
  <c r="W3" i="32"/>
  <c r="X3" i="32" s="1"/>
  <c r="Y3" i="32" s="1"/>
  <c r="Z3" i="32" s="1"/>
  <c r="AA3" i="32" s="1"/>
  <c r="AB3" i="32" s="1"/>
  <c r="AC3" i="32" s="1"/>
  <c r="AD3" i="32" s="1"/>
  <c r="AE3" i="32" s="1"/>
  <c r="AF3" i="32" s="1"/>
  <c r="AG3" i="32" s="1"/>
  <c r="G3" i="32"/>
  <c r="H3" i="32" s="1"/>
  <c r="I3" i="32" s="1"/>
  <c r="AE82" i="31"/>
  <c r="AD82" i="31"/>
  <c r="AC82" i="31"/>
  <c r="AB82" i="31"/>
  <c r="AA82" i="31"/>
  <c r="Z82" i="31"/>
  <c r="Y82" i="31"/>
  <c r="X82" i="31"/>
  <c r="W82" i="31"/>
  <c r="V82" i="31"/>
  <c r="AS81" i="31"/>
  <c r="C81" i="31"/>
  <c r="F80" i="31"/>
  <c r="E80" i="31"/>
  <c r="E82" i="31" s="1"/>
  <c r="D80" i="31"/>
  <c r="C80" i="31"/>
  <c r="C82" i="31" s="1"/>
  <c r="BK79" i="31"/>
  <c r="AF79" i="31"/>
  <c r="AF82" i="31" s="1"/>
  <c r="AG79" i="31" s="1"/>
  <c r="AG82" i="31" s="1"/>
  <c r="BJ78" i="31"/>
  <c r="AS78" i="31"/>
  <c r="AT78" i="31" s="1"/>
  <c r="AU78" i="31" s="1"/>
  <c r="AV78" i="31" s="1"/>
  <c r="AW78" i="31" s="1"/>
  <c r="AX78" i="31" s="1"/>
  <c r="AY78" i="31" s="1"/>
  <c r="AZ78" i="31" s="1"/>
  <c r="BA78" i="31" s="1"/>
  <c r="BB78" i="31" s="1"/>
  <c r="BC78" i="31" s="1"/>
  <c r="BD78" i="31" s="1"/>
  <c r="AH78" i="31"/>
  <c r="AI78" i="31" s="1"/>
  <c r="AJ78" i="31" s="1"/>
  <c r="AK78" i="31" s="1"/>
  <c r="AL78" i="31" s="1"/>
  <c r="V78" i="31"/>
  <c r="W78" i="31" s="1"/>
  <c r="X78" i="31" s="1"/>
  <c r="Y78" i="31" s="1"/>
  <c r="Z78" i="31" s="1"/>
  <c r="AA78" i="31" s="1"/>
  <c r="AB78" i="31" s="1"/>
  <c r="AC78" i="31" s="1"/>
  <c r="AD78" i="31" s="1"/>
  <c r="AE78" i="31" s="1"/>
  <c r="AF78" i="31" s="1"/>
  <c r="F78" i="31"/>
  <c r="G78" i="31" s="1"/>
  <c r="H78" i="31" s="1"/>
  <c r="BF75" i="31"/>
  <c r="AS67" i="31"/>
  <c r="AT67" i="31" s="1"/>
  <c r="AU67" i="31" s="1"/>
  <c r="AV67" i="31" s="1"/>
  <c r="AW67" i="31" s="1"/>
  <c r="AX67" i="31" s="1"/>
  <c r="AY67" i="31" s="1"/>
  <c r="AZ67" i="31" s="1"/>
  <c r="BA67" i="31" s="1"/>
  <c r="BB67" i="31" s="1"/>
  <c r="BC67" i="31" s="1"/>
  <c r="BD67" i="31" s="1"/>
  <c r="AH67" i="31"/>
  <c r="AI67" i="31" s="1"/>
  <c r="AJ67" i="31" s="1"/>
  <c r="AK67" i="31" s="1"/>
  <c r="AL67" i="31" s="1"/>
  <c r="AM67" i="31" s="1"/>
  <c r="AN67" i="31" s="1"/>
  <c r="AO67" i="31" s="1"/>
  <c r="AP67" i="31" s="1"/>
  <c r="AQ67" i="31" s="1"/>
  <c r="AR67" i="31" s="1"/>
  <c r="V67" i="31"/>
  <c r="W67" i="31" s="1"/>
  <c r="X67" i="31" s="1"/>
  <c r="Y67" i="31" s="1"/>
  <c r="Z67" i="31" s="1"/>
  <c r="AA67" i="31" s="1"/>
  <c r="AB67" i="31" s="1"/>
  <c r="AC67" i="31" s="1"/>
  <c r="AD67" i="31" s="1"/>
  <c r="AE67" i="31" s="1"/>
  <c r="AF67" i="31" s="1"/>
  <c r="F67" i="31"/>
  <c r="G67" i="31" s="1"/>
  <c r="H67" i="31" s="1"/>
  <c r="D65" i="31"/>
  <c r="C65" i="31"/>
  <c r="AF64" i="31"/>
  <c r="AE64" i="31"/>
  <c r="AD64" i="31"/>
  <c r="AC64" i="31"/>
  <c r="AB64" i="31"/>
  <c r="AA64" i="31"/>
  <c r="Z64" i="31"/>
  <c r="Y64" i="31"/>
  <c r="X64" i="31"/>
  <c r="W64" i="31"/>
  <c r="V64" i="31"/>
  <c r="H64" i="31"/>
  <c r="G64" i="31"/>
  <c r="F64" i="31"/>
  <c r="E64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AG63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AG60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BD56" i="31"/>
  <c r="BC56" i="31"/>
  <c r="BB56" i="31"/>
  <c r="BA56" i="31"/>
  <c r="AZ56" i="31"/>
  <c r="AY56" i="31"/>
  <c r="AX56" i="31"/>
  <c r="AW56" i="31"/>
  <c r="AV56" i="31"/>
  <c r="AU56" i="31"/>
  <c r="AT56" i="31"/>
  <c r="AS56" i="31"/>
  <c r="AR56" i="31"/>
  <c r="AQ56" i="31"/>
  <c r="AP56" i="31"/>
  <c r="AO56" i="31"/>
  <c r="AN56" i="31"/>
  <c r="AM56" i="31"/>
  <c r="AL56" i="31"/>
  <c r="AK56" i="31"/>
  <c r="AJ56" i="31"/>
  <c r="AI56" i="31"/>
  <c r="AH56" i="31"/>
  <c r="AG56" i="31"/>
  <c r="BD55" i="31"/>
  <c r="BD64" i="31" s="1"/>
  <c r="BC55" i="31"/>
  <c r="BB55" i="31"/>
  <c r="BA55" i="31"/>
  <c r="AZ55" i="31"/>
  <c r="AZ64" i="31" s="1"/>
  <c r="AY55" i="31"/>
  <c r="AX55" i="31"/>
  <c r="AW55" i="31"/>
  <c r="AV55" i="31"/>
  <c r="AV64" i="31" s="1"/>
  <c r="AU55" i="31"/>
  <c r="AT55" i="31"/>
  <c r="AS55" i="31"/>
  <c r="AR55" i="31"/>
  <c r="AR64" i="31" s="1"/>
  <c r="AQ55" i="31"/>
  <c r="AP55" i="31"/>
  <c r="AO55" i="31"/>
  <c r="AN55" i="31"/>
  <c r="AN64" i="31" s="1"/>
  <c r="AM55" i="31"/>
  <c r="AL55" i="31"/>
  <c r="AK55" i="31"/>
  <c r="AJ55" i="31"/>
  <c r="AJ64" i="31" s="1"/>
  <c r="AI55" i="31"/>
  <c r="AH55" i="31"/>
  <c r="AG55" i="31"/>
  <c r="AS54" i="31"/>
  <c r="AT54" i="31" s="1"/>
  <c r="AU54" i="31" s="1"/>
  <c r="AV54" i="31" s="1"/>
  <c r="AW54" i="31" s="1"/>
  <c r="AX54" i="31" s="1"/>
  <c r="AY54" i="31" s="1"/>
  <c r="AZ54" i="31" s="1"/>
  <c r="BA54" i="31" s="1"/>
  <c r="BB54" i="31" s="1"/>
  <c r="BC54" i="31" s="1"/>
  <c r="BD54" i="31" s="1"/>
  <c r="AH54" i="31"/>
  <c r="AI54" i="31" s="1"/>
  <c r="AJ54" i="31" s="1"/>
  <c r="AK54" i="31" s="1"/>
  <c r="AL54" i="31" s="1"/>
  <c r="AM54" i="31" s="1"/>
  <c r="AN54" i="31" s="1"/>
  <c r="AO54" i="31" s="1"/>
  <c r="AP54" i="31" s="1"/>
  <c r="AQ54" i="31" s="1"/>
  <c r="AR54" i="31" s="1"/>
  <c r="V54" i="31"/>
  <c r="W54" i="31" s="1"/>
  <c r="X54" i="31" s="1"/>
  <c r="Y54" i="31" s="1"/>
  <c r="Z54" i="31" s="1"/>
  <c r="AA54" i="31" s="1"/>
  <c r="AB54" i="31" s="1"/>
  <c r="AC54" i="31" s="1"/>
  <c r="AD54" i="31" s="1"/>
  <c r="AE54" i="31" s="1"/>
  <c r="AF54" i="31" s="1"/>
  <c r="F54" i="31"/>
  <c r="G54" i="31" s="1"/>
  <c r="H54" i="31" s="1"/>
  <c r="AE49" i="31"/>
  <c r="AF44" i="31" s="1"/>
  <c r="AD49" i="31"/>
  <c r="AC49" i="31"/>
  <c r="AB49" i="31"/>
  <c r="AA49" i="31"/>
  <c r="Z49" i="31"/>
  <c r="Y49" i="31"/>
  <c r="X49" i="31"/>
  <c r="W49" i="31"/>
  <c r="V49" i="31"/>
  <c r="C48" i="31"/>
  <c r="C47" i="31"/>
  <c r="BK46" i="31"/>
  <c r="BJ46" i="31"/>
  <c r="BI46" i="31"/>
  <c r="BH46" i="31"/>
  <c r="BG46" i="31"/>
  <c r="BF46" i="31"/>
  <c r="BI45" i="31"/>
  <c r="BH45" i="31"/>
  <c r="BG45" i="31"/>
  <c r="BD45" i="31"/>
  <c r="AR45" i="31"/>
  <c r="F45" i="31"/>
  <c r="E45" i="31"/>
  <c r="D45" i="31"/>
  <c r="C45" i="31"/>
  <c r="AS42" i="31"/>
  <c r="AT42" i="31" s="1"/>
  <c r="AU42" i="31" s="1"/>
  <c r="AV42" i="31" s="1"/>
  <c r="AW42" i="31" s="1"/>
  <c r="AX42" i="31" s="1"/>
  <c r="AY42" i="31" s="1"/>
  <c r="AZ42" i="31" s="1"/>
  <c r="BA42" i="31" s="1"/>
  <c r="BB42" i="31" s="1"/>
  <c r="BC42" i="31" s="1"/>
  <c r="BD42" i="31" s="1"/>
  <c r="AH42" i="31"/>
  <c r="AI42" i="31" s="1"/>
  <c r="AJ42" i="31" s="1"/>
  <c r="AK42" i="31" s="1"/>
  <c r="AL42" i="31" s="1"/>
  <c r="AM42" i="31" s="1"/>
  <c r="AN42" i="31" s="1"/>
  <c r="AO42" i="31" s="1"/>
  <c r="AP42" i="31" s="1"/>
  <c r="AQ42" i="31" s="1"/>
  <c r="AR42" i="31" s="1"/>
  <c r="V42" i="31"/>
  <c r="W42" i="31" s="1"/>
  <c r="X42" i="31" s="1"/>
  <c r="Y42" i="31" s="1"/>
  <c r="Z42" i="31" s="1"/>
  <c r="AA42" i="31" s="1"/>
  <c r="F42" i="31"/>
  <c r="G42" i="31" s="1"/>
  <c r="H42" i="31" s="1"/>
  <c r="BF40" i="31"/>
  <c r="AS31" i="31"/>
  <c r="AT31" i="31" s="1"/>
  <c r="AU31" i="31" s="1"/>
  <c r="AV31" i="31" s="1"/>
  <c r="AW31" i="31" s="1"/>
  <c r="AX31" i="31" s="1"/>
  <c r="AY31" i="31" s="1"/>
  <c r="AZ31" i="31" s="1"/>
  <c r="BA31" i="31" s="1"/>
  <c r="BB31" i="31" s="1"/>
  <c r="BC31" i="31" s="1"/>
  <c r="BD31" i="31" s="1"/>
  <c r="AH31" i="31"/>
  <c r="AI31" i="31" s="1"/>
  <c r="AJ31" i="31" s="1"/>
  <c r="AK31" i="31" s="1"/>
  <c r="AL31" i="31" s="1"/>
  <c r="AM31" i="31" s="1"/>
  <c r="AN31" i="31" s="1"/>
  <c r="AO31" i="31" s="1"/>
  <c r="AP31" i="31" s="1"/>
  <c r="AQ31" i="31" s="1"/>
  <c r="AR31" i="31" s="1"/>
  <c r="V31" i="31"/>
  <c r="W31" i="31" s="1"/>
  <c r="X31" i="31" s="1"/>
  <c r="Y31" i="31" s="1"/>
  <c r="Z31" i="31" s="1"/>
  <c r="AA31" i="31" s="1"/>
  <c r="AB31" i="31" s="1"/>
  <c r="AC31" i="31" s="1"/>
  <c r="AD31" i="31" s="1"/>
  <c r="AE31" i="31" s="1"/>
  <c r="AF31" i="31" s="1"/>
  <c r="F31" i="31"/>
  <c r="G31" i="31" s="1"/>
  <c r="H31" i="31" s="1"/>
  <c r="D29" i="31"/>
  <c r="C29" i="31"/>
  <c r="AF28" i="31"/>
  <c r="AE28" i="31"/>
  <c r="AD28" i="31"/>
  <c r="AC28" i="31"/>
  <c r="AB28" i="31"/>
  <c r="AA28" i="31"/>
  <c r="Z28" i="31"/>
  <c r="Y28" i="31"/>
  <c r="X28" i="31"/>
  <c r="W28" i="31"/>
  <c r="V28" i="31"/>
  <c r="D28" i="31" s="1"/>
  <c r="H28" i="31"/>
  <c r="G28" i="31"/>
  <c r="F28" i="31"/>
  <c r="E28" i="31"/>
  <c r="BD27" i="31"/>
  <c r="BC27" i="31"/>
  <c r="BB27" i="31"/>
  <c r="BA27" i="31"/>
  <c r="AZ27" i="31"/>
  <c r="AY27" i="31"/>
  <c r="AX27" i="31"/>
  <c r="AW27" i="31"/>
  <c r="AV27" i="31"/>
  <c r="AU27" i="31"/>
  <c r="AT27" i="31"/>
  <c r="AS27" i="31"/>
  <c r="AR27" i="31"/>
  <c r="AQ27" i="31"/>
  <c r="AP27" i="31"/>
  <c r="AO27" i="31"/>
  <c r="AN27" i="31"/>
  <c r="AM27" i="31"/>
  <c r="AL27" i="31"/>
  <c r="AK27" i="31"/>
  <c r="AJ27" i="31"/>
  <c r="AI27" i="31"/>
  <c r="AH27" i="31"/>
  <c r="AG27" i="31"/>
  <c r="D26" i="31"/>
  <c r="C26" i="31"/>
  <c r="BD25" i="31"/>
  <c r="BC25" i="31"/>
  <c r="BB25" i="31"/>
  <c r="BA25" i="31"/>
  <c r="AZ25" i="31"/>
  <c r="AY25" i="31"/>
  <c r="AX25" i="31"/>
  <c r="AW25" i="31"/>
  <c r="AV25" i="31"/>
  <c r="AU25" i="31"/>
  <c r="AT25" i="31"/>
  <c r="AS25" i="31"/>
  <c r="AR25" i="31"/>
  <c r="AQ25" i="31"/>
  <c r="AP25" i="31"/>
  <c r="AO25" i="31"/>
  <c r="AN25" i="31"/>
  <c r="AM25" i="31"/>
  <c r="AL25" i="31"/>
  <c r="AK25" i="31"/>
  <c r="AJ25" i="31"/>
  <c r="AI25" i="31"/>
  <c r="AH25" i="31"/>
  <c r="AG25" i="31"/>
  <c r="D24" i="31"/>
  <c r="C24" i="31"/>
  <c r="BD23" i="31"/>
  <c r="BC23" i="31"/>
  <c r="BB23" i="31"/>
  <c r="BA23" i="31"/>
  <c r="AZ23" i="31"/>
  <c r="AY23" i="31"/>
  <c r="AX23" i="31"/>
  <c r="AW23" i="31"/>
  <c r="AV23" i="31"/>
  <c r="AU23" i="31"/>
  <c r="AT23" i="31"/>
  <c r="AS23" i="31"/>
  <c r="AR23" i="31"/>
  <c r="AQ23" i="31"/>
  <c r="AP23" i="31"/>
  <c r="AO23" i="31"/>
  <c r="AN23" i="31"/>
  <c r="AM23" i="31"/>
  <c r="AL23" i="31"/>
  <c r="AK23" i="31"/>
  <c r="AJ23" i="31"/>
  <c r="AI23" i="31"/>
  <c r="AH23" i="31"/>
  <c r="AG23" i="31"/>
  <c r="BD21" i="31"/>
  <c r="BC21" i="31"/>
  <c r="BB21" i="31"/>
  <c r="BA21" i="31"/>
  <c r="AZ21" i="31"/>
  <c r="AY21" i="31"/>
  <c r="AX21" i="31"/>
  <c r="AW21" i="31"/>
  <c r="AV21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BD20" i="31"/>
  <c r="BC20" i="31"/>
  <c r="BB20" i="31"/>
  <c r="BA20" i="31"/>
  <c r="AZ20" i="31"/>
  <c r="AY20" i="31"/>
  <c r="AX20" i="3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BD19" i="31"/>
  <c r="BC19" i="31"/>
  <c r="BB19" i="31"/>
  <c r="BA19" i="31"/>
  <c r="BA28" i="31" s="1"/>
  <c r="AZ19" i="31"/>
  <c r="AY19" i="31"/>
  <c r="AX19" i="31"/>
  <c r="AW19" i="31"/>
  <c r="AV19" i="31"/>
  <c r="AU19" i="31"/>
  <c r="AT19" i="31"/>
  <c r="AS19" i="31"/>
  <c r="AS45" i="31" s="1"/>
  <c r="AR19" i="31"/>
  <c r="AQ19" i="31"/>
  <c r="AP19" i="31"/>
  <c r="AO19" i="31"/>
  <c r="AO28" i="31" s="1"/>
  <c r="AN19" i="31"/>
  <c r="AM19" i="31"/>
  <c r="AL19" i="31"/>
  <c r="AK19" i="31"/>
  <c r="AJ19" i="31"/>
  <c r="AI19" i="31"/>
  <c r="AH19" i="31"/>
  <c r="AG19" i="31"/>
  <c r="AG28" i="31" s="1"/>
  <c r="AS18" i="31"/>
  <c r="AT18" i="31" s="1"/>
  <c r="AU18" i="31" s="1"/>
  <c r="AV18" i="31" s="1"/>
  <c r="AW18" i="31" s="1"/>
  <c r="AX18" i="31" s="1"/>
  <c r="AY18" i="31" s="1"/>
  <c r="AZ18" i="31" s="1"/>
  <c r="BA18" i="31" s="1"/>
  <c r="BB18" i="31" s="1"/>
  <c r="BC18" i="31" s="1"/>
  <c r="BD18" i="31" s="1"/>
  <c r="AH18" i="31"/>
  <c r="AI18" i="31" s="1"/>
  <c r="AJ18" i="31" s="1"/>
  <c r="AK18" i="31" s="1"/>
  <c r="AL18" i="31" s="1"/>
  <c r="AM18" i="31" s="1"/>
  <c r="AN18" i="31" s="1"/>
  <c r="AO18" i="31" s="1"/>
  <c r="AP18" i="31" s="1"/>
  <c r="AQ18" i="31" s="1"/>
  <c r="AR18" i="31" s="1"/>
  <c r="V18" i="31"/>
  <c r="W18" i="31" s="1"/>
  <c r="X18" i="31" s="1"/>
  <c r="Y18" i="31" s="1"/>
  <c r="Z18" i="31" s="1"/>
  <c r="AA18" i="31" s="1"/>
  <c r="AB18" i="31" s="1"/>
  <c r="AC18" i="31" s="1"/>
  <c r="AD18" i="31" s="1"/>
  <c r="AE18" i="31" s="1"/>
  <c r="AF18" i="31" s="1"/>
  <c r="F18" i="31"/>
  <c r="G18" i="31" s="1"/>
  <c r="H18" i="31" s="1"/>
  <c r="AE13" i="31"/>
  <c r="AF5" i="31" s="1"/>
  <c r="AF8" i="31" s="1"/>
  <c r="AQ11" i="31" s="1"/>
  <c r="C11" i="31" s="1"/>
  <c r="AD13" i="31"/>
  <c r="AC13" i="31"/>
  <c r="AB13" i="31"/>
  <c r="AA13" i="31"/>
  <c r="Z13" i="31"/>
  <c r="Y13" i="31"/>
  <c r="X13" i="31"/>
  <c r="W13" i="31"/>
  <c r="V13" i="31"/>
  <c r="AF12" i="31"/>
  <c r="AQ10" i="31" s="1"/>
  <c r="C10" i="31" s="1"/>
  <c r="C12" i="31"/>
  <c r="BK10" i="31"/>
  <c r="BI10" i="31"/>
  <c r="BH10" i="31"/>
  <c r="BG10" i="31"/>
  <c r="BF10" i="31"/>
  <c r="AQ9" i="31"/>
  <c r="C9" i="31" s="1"/>
  <c r="E8" i="31"/>
  <c r="E13" i="31" s="1"/>
  <c r="D7" i="31"/>
  <c r="D6" i="31"/>
  <c r="AT3" i="31"/>
  <c r="AU3" i="31" s="1"/>
  <c r="AV3" i="31" s="1"/>
  <c r="AW3" i="31" s="1"/>
  <c r="AX3" i="31" s="1"/>
  <c r="AY3" i="31" s="1"/>
  <c r="AZ3" i="31" s="1"/>
  <c r="BA3" i="31" s="1"/>
  <c r="BB3" i="31" s="1"/>
  <c r="BC3" i="31" s="1"/>
  <c r="BD3" i="31" s="1"/>
  <c r="AH3" i="31"/>
  <c r="AI3" i="31" s="1"/>
  <c r="AJ3" i="31" s="1"/>
  <c r="AK3" i="31" s="1"/>
  <c r="AL3" i="31" s="1"/>
  <c r="AM3" i="31" s="1"/>
  <c r="AN3" i="31" s="1"/>
  <c r="AO3" i="31" s="1"/>
  <c r="AP3" i="31" s="1"/>
  <c r="AQ3" i="31" s="1"/>
  <c r="AR3" i="31" s="1"/>
  <c r="V3" i="3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F3" i="31"/>
  <c r="G3" i="31" s="1"/>
  <c r="H3" i="31" s="1"/>
  <c r="BN47" i="32"/>
  <c r="BN46" i="32"/>
  <c r="AU14" i="32"/>
  <c r="BN10" i="32"/>
  <c r="AQ14" i="36"/>
  <c r="AS14" i="35"/>
  <c r="AV48" i="32"/>
  <c r="AK83" i="34"/>
  <c r="AC50" i="36"/>
  <c r="AL48" i="33"/>
  <c r="AM14" i="33"/>
  <c r="AS48" i="38"/>
  <c r="BA46" i="49" l="1"/>
  <c r="AR77" i="48"/>
  <c r="AR79" i="48"/>
  <c r="AR44" i="48"/>
  <c r="AR47" i="48" s="1"/>
  <c r="AJ28" i="31"/>
  <c r="AN28" i="31"/>
  <c r="AR28" i="31"/>
  <c r="AX46" i="47"/>
  <c r="AX49" i="47" s="1"/>
  <c r="AP81" i="46"/>
  <c r="AQ75" i="46"/>
  <c r="AQ47" i="46"/>
  <c r="AI28" i="31"/>
  <c r="AM28" i="31"/>
  <c r="AQ28" i="31"/>
  <c r="AU45" i="31"/>
  <c r="BD28" i="31"/>
  <c r="AT44" i="44"/>
  <c r="AS51" i="44"/>
  <c r="AZ84" i="44"/>
  <c r="BA79" i="44"/>
  <c r="BA82" i="44" s="1"/>
  <c r="AM44" i="43"/>
  <c r="AM47" i="43" s="1"/>
  <c r="AM77" i="43"/>
  <c r="AM79" i="43" s="1"/>
  <c r="D76" i="32"/>
  <c r="U47" i="32"/>
  <c r="AY28" i="31"/>
  <c r="BC28" i="31"/>
  <c r="D64" i="31"/>
  <c r="D24" i="32"/>
  <c r="AR46" i="42"/>
  <c r="C46" i="42" s="1"/>
  <c r="C49" i="42" s="1"/>
  <c r="AV84" i="42"/>
  <c r="AW79" i="42"/>
  <c r="AW82" i="42" s="1"/>
  <c r="AK75" i="41"/>
  <c r="AJ81" i="41"/>
  <c r="AJ44" i="41"/>
  <c r="W47" i="32"/>
  <c r="X42" i="32" s="1"/>
  <c r="X47" i="32" s="1"/>
  <c r="Y42" i="32" s="1"/>
  <c r="Y47" i="32" s="1"/>
  <c r="AI49" i="40"/>
  <c r="AJ42" i="40"/>
  <c r="AH77" i="40"/>
  <c r="AH79" i="40" s="1"/>
  <c r="AU79" i="39"/>
  <c r="AU82" i="39" s="1"/>
  <c r="AT84" i="39"/>
  <c r="AQ49" i="39"/>
  <c r="AK28" i="31"/>
  <c r="AW45" i="31"/>
  <c r="AI44" i="38"/>
  <c r="AG79" i="38"/>
  <c r="AQ15" i="38"/>
  <c r="AR5" i="38"/>
  <c r="AO15" i="37"/>
  <c r="AP5" i="37"/>
  <c r="AP13" i="37" s="1"/>
  <c r="AO44" i="37"/>
  <c r="AO49" i="37" s="1"/>
  <c r="AN51" i="37"/>
  <c r="AR79" i="37"/>
  <c r="AR82" i="37" s="1"/>
  <c r="AQ84" i="37"/>
  <c r="AJ3" i="32"/>
  <c r="AK3" i="32" s="1"/>
  <c r="AL3" i="32" s="1"/>
  <c r="AM3" i="32" s="1"/>
  <c r="AN3" i="32" s="1"/>
  <c r="AO3" i="32" s="1"/>
  <c r="AP3" i="32" s="1"/>
  <c r="AQ3" i="32" s="1"/>
  <c r="AR3" i="32" s="1"/>
  <c r="AS3" i="32" s="1"/>
  <c r="AC51" i="36"/>
  <c r="AR3" i="36"/>
  <c r="AL51" i="36"/>
  <c r="AM44" i="36"/>
  <c r="AM49" i="36" s="1"/>
  <c r="AM84" i="36"/>
  <c r="AN79" i="36"/>
  <c r="AN82" i="36" s="1"/>
  <c r="H13" i="36"/>
  <c r="H15" i="36" s="1"/>
  <c r="AK15" i="36"/>
  <c r="AL5" i="36"/>
  <c r="AL13" i="36" s="1"/>
  <c r="AD42" i="36"/>
  <c r="AG47" i="35"/>
  <c r="AF77" i="35"/>
  <c r="AF79" i="35" s="1"/>
  <c r="H15" i="35"/>
  <c r="I5" i="35"/>
  <c r="AN5" i="35"/>
  <c r="AN13" i="35" s="1"/>
  <c r="AM15" i="35"/>
  <c r="E24" i="32"/>
  <c r="D55" i="31"/>
  <c r="C61" i="31"/>
  <c r="D63" i="31"/>
  <c r="AV3" i="32"/>
  <c r="AW40" i="32"/>
  <c r="AX40" i="32" s="1"/>
  <c r="AY40" i="32" s="1"/>
  <c r="AZ40" i="32" s="1"/>
  <c r="BA40" i="32" s="1"/>
  <c r="BB40" i="32" s="1"/>
  <c r="D19" i="31"/>
  <c r="AI84" i="34"/>
  <c r="AJ79" i="34"/>
  <c r="AJ82" i="34" s="1"/>
  <c r="H5" i="34"/>
  <c r="G15" i="34"/>
  <c r="AL78" i="34"/>
  <c r="AK15" i="34"/>
  <c r="AL5" i="34"/>
  <c r="AL13" i="34" s="1"/>
  <c r="AH51" i="34"/>
  <c r="AI44" i="34"/>
  <c r="AI49" i="34" s="1"/>
  <c r="G46" i="34"/>
  <c r="G49" i="34" s="1"/>
  <c r="G15" i="33"/>
  <c r="H5" i="33"/>
  <c r="AF42" i="33"/>
  <c r="AE49" i="33"/>
  <c r="AM40" i="33"/>
  <c r="AI15" i="33"/>
  <c r="AJ5" i="33"/>
  <c r="AJ13" i="33" s="1"/>
  <c r="AD77" i="33"/>
  <c r="AD79" i="33" s="1"/>
  <c r="Y49" i="33"/>
  <c r="Z42" i="33"/>
  <c r="Z47" i="33" s="1"/>
  <c r="Z49" i="33" s="1"/>
  <c r="AN3" i="33"/>
  <c r="D25" i="31"/>
  <c r="AB42" i="31"/>
  <c r="C21" i="31"/>
  <c r="AS28" i="31"/>
  <c r="AW28" i="31"/>
  <c r="AL64" i="31"/>
  <c r="AT64" i="31"/>
  <c r="BB64" i="31"/>
  <c r="AI64" i="31"/>
  <c r="AQ64" i="31"/>
  <c r="AY64" i="31"/>
  <c r="AH64" i="31"/>
  <c r="AP64" i="31"/>
  <c r="AX64" i="31"/>
  <c r="C59" i="31"/>
  <c r="D61" i="31"/>
  <c r="C63" i="31"/>
  <c r="AZ80" i="31"/>
  <c r="AG27" i="32"/>
  <c r="E60" i="32"/>
  <c r="C58" i="19"/>
  <c r="H9" i="19"/>
  <c r="AP40" i="32"/>
  <c r="BK78" i="32"/>
  <c r="BL78" i="32"/>
  <c r="E27" i="32"/>
  <c r="G5" i="32"/>
  <c r="AG13" i="32"/>
  <c r="AD44" i="32"/>
  <c r="AD47" i="32" s="1"/>
  <c r="AT43" i="32"/>
  <c r="AT27" i="32"/>
  <c r="AC77" i="32"/>
  <c r="AC79" i="32" s="1"/>
  <c r="Y79" i="32"/>
  <c r="AZ45" i="31"/>
  <c r="AZ28" i="31"/>
  <c r="F5" i="31"/>
  <c r="C19" i="31"/>
  <c r="D20" i="31"/>
  <c r="AV45" i="31"/>
  <c r="AV28" i="31"/>
  <c r="D57" i="31"/>
  <c r="C57" i="31"/>
  <c r="AH79" i="31"/>
  <c r="AH82" i="31" s="1"/>
  <c r="AH28" i="31"/>
  <c r="AL28" i="31"/>
  <c r="AP28" i="31"/>
  <c r="AT28" i="31"/>
  <c r="AX28" i="31"/>
  <c r="BB28" i="31"/>
  <c r="D23" i="31"/>
  <c r="D27" i="31"/>
  <c r="AF13" i="31"/>
  <c r="E46" i="31"/>
  <c r="E49" i="31" s="1"/>
  <c r="AY45" i="31"/>
  <c r="AM64" i="31"/>
  <c r="AU64" i="31"/>
  <c r="AY80" i="31"/>
  <c r="BC64" i="31"/>
  <c r="D60" i="31"/>
  <c r="C60" i="31"/>
  <c r="F79" i="31"/>
  <c r="F82" i="31" s="1"/>
  <c r="BA45" i="31"/>
  <c r="C20" i="31"/>
  <c r="C23" i="31"/>
  <c r="C25" i="31"/>
  <c r="C27" i="31"/>
  <c r="AF46" i="31"/>
  <c r="D46" i="31" s="1"/>
  <c r="AG64" i="31"/>
  <c r="AK64" i="31"/>
  <c r="AO64" i="31"/>
  <c r="AS64" i="31"/>
  <c r="AW64" i="31"/>
  <c r="BA64" i="31"/>
  <c r="D56" i="31"/>
  <c r="C56" i="31"/>
  <c r="AT45" i="31"/>
  <c r="AX45" i="31"/>
  <c r="BB45" i="31"/>
  <c r="AU28" i="31"/>
  <c r="AM78" i="31"/>
  <c r="AT80" i="31"/>
  <c r="AX80" i="31"/>
  <c r="BB80" i="31"/>
  <c r="AU80" i="31"/>
  <c r="C55" i="31"/>
  <c r="D58" i="31"/>
  <c r="C58" i="31"/>
  <c r="D62" i="31"/>
  <c r="C62" i="31"/>
  <c r="AV80" i="31"/>
  <c r="AS80" i="31"/>
  <c r="AW80" i="31"/>
  <c r="BA80" i="31"/>
  <c r="AH60" i="17"/>
  <c r="AS81" i="16"/>
  <c r="BB48" i="32"/>
  <c r="I14" i="32"/>
  <c r="AI80" i="32"/>
  <c r="AR80" i="32"/>
  <c r="AR14" i="31"/>
  <c r="BD80" i="32"/>
  <c r="AT83" i="31"/>
  <c r="AQ50" i="31"/>
  <c r="H48" i="32"/>
  <c r="G50" i="31"/>
  <c r="BA14" i="31"/>
  <c r="AM80" i="32"/>
  <c r="AA14" i="31"/>
  <c r="F14" i="31"/>
  <c r="BB14" i="31"/>
  <c r="AN48" i="32"/>
  <c r="AQ14" i="32"/>
  <c r="AH14" i="32"/>
  <c r="AJ48" i="32"/>
  <c r="Y14" i="32"/>
  <c r="Z14" i="32"/>
  <c r="AN14" i="33"/>
  <c r="BB80" i="32"/>
  <c r="H14" i="32"/>
  <c r="AV50" i="31"/>
  <c r="AU80" i="32"/>
  <c r="AF14" i="31"/>
  <c r="AB80" i="32"/>
  <c r="AZ14" i="31"/>
  <c r="Y48" i="32"/>
  <c r="G48" i="32"/>
  <c r="AW80" i="32"/>
  <c r="AF80" i="32"/>
  <c r="AD80" i="32"/>
  <c r="Y80" i="32"/>
  <c r="AW50" i="31"/>
  <c r="AB14" i="31"/>
  <c r="X50" i="31"/>
  <c r="AK50" i="31"/>
  <c r="AL83" i="34"/>
  <c r="AS80" i="32"/>
  <c r="AN14" i="31"/>
  <c r="AZ50" i="31"/>
  <c r="AC14" i="32"/>
  <c r="AV83" i="31"/>
  <c r="AU83" i="31"/>
  <c r="X14" i="31"/>
  <c r="AE83" i="31"/>
  <c r="AJ14" i="31"/>
  <c r="V48" i="32"/>
  <c r="G14" i="31"/>
  <c r="AF83" i="31"/>
  <c r="AP48" i="32"/>
  <c r="AP14" i="32"/>
  <c r="AM48" i="32"/>
  <c r="AP14" i="31"/>
  <c r="AB14" i="32"/>
  <c r="AH50" i="31"/>
  <c r="AK14" i="31"/>
  <c r="BB83" i="31"/>
  <c r="Z14" i="31"/>
  <c r="Y83" i="31"/>
  <c r="AX83" i="31"/>
  <c r="U14" i="32"/>
  <c r="AQ80" i="32"/>
  <c r="AV14" i="32"/>
  <c r="AM50" i="31"/>
  <c r="AJ50" i="31"/>
  <c r="AK14" i="32"/>
  <c r="T14" i="32"/>
  <c r="AL48" i="32"/>
  <c r="AX14" i="31"/>
  <c r="AY50" i="31"/>
  <c r="AO14" i="32"/>
  <c r="Z83" i="31"/>
  <c r="BA80" i="32"/>
  <c r="X80" i="32"/>
  <c r="AT48" i="32"/>
  <c r="AT14" i="31"/>
  <c r="AG83" i="31"/>
  <c r="BC50" i="31"/>
  <c r="F50" i="31"/>
  <c r="E50" i="31"/>
  <c r="AI83" i="31"/>
  <c r="AO48" i="32"/>
  <c r="W14" i="32"/>
  <c r="AU14" i="31"/>
  <c r="AB48" i="32"/>
  <c r="AA14" i="32"/>
  <c r="U48" i="32"/>
  <c r="AN80" i="32"/>
  <c r="AU50" i="31"/>
  <c r="AM83" i="31"/>
  <c r="AG50" i="31"/>
  <c r="X14" i="32"/>
  <c r="G83" i="31"/>
  <c r="AW14" i="31"/>
  <c r="AN14" i="32"/>
  <c r="AC83" i="31"/>
  <c r="AI48" i="32"/>
  <c r="BA83" i="31"/>
  <c r="AS50" i="31"/>
  <c r="AP50" i="31"/>
  <c r="AT50" i="31"/>
  <c r="AA48" i="32"/>
  <c r="W80" i="32"/>
  <c r="AY14" i="31"/>
  <c r="AT80" i="32"/>
  <c r="BC83" i="31"/>
  <c r="BD50" i="31"/>
  <c r="AW83" i="31"/>
  <c r="AP80" i="32"/>
  <c r="AO80" i="32"/>
  <c r="AZ83" i="31"/>
  <c r="BD14" i="31"/>
  <c r="H50" i="31"/>
  <c r="Y50" i="31"/>
  <c r="AW48" i="32"/>
  <c r="AL80" i="32"/>
  <c r="F83" i="31"/>
  <c r="AG80" i="32"/>
  <c r="AO14" i="31"/>
  <c r="AY83" i="31"/>
  <c r="AY80" i="32"/>
  <c r="AA80" i="32"/>
  <c r="BE80" i="32"/>
  <c r="AK48" i="32"/>
  <c r="AF48" i="32"/>
  <c r="AD50" i="36"/>
  <c r="Z50" i="31"/>
  <c r="AG14" i="32"/>
  <c r="AF14" i="32"/>
  <c r="AB83" i="31"/>
  <c r="H83" i="31"/>
  <c r="AO50" i="31"/>
  <c r="AV80" i="32"/>
  <c r="AE48" i="32"/>
  <c r="E14" i="31"/>
  <c r="I48" i="32"/>
  <c r="AS83" i="31"/>
  <c r="AS14" i="32"/>
  <c r="G14" i="32"/>
  <c r="AA83" i="31"/>
  <c r="AR14" i="36"/>
  <c r="V50" i="31"/>
  <c r="AK83" i="31"/>
  <c r="AJ83" i="31"/>
  <c r="AU48" i="32"/>
  <c r="BC80" i="32"/>
  <c r="X83" i="31"/>
  <c r="AI14" i="31"/>
  <c r="AR50" i="31"/>
  <c r="F48" i="32"/>
  <c r="AX50" i="31"/>
  <c r="AI50" i="31"/>
  <c r="AE80" i="32"/>
  <c r="AL14" i="31"/>
  <c r="Z80" i="32"/>
  <c r="E83" i="31"/>
  <c r="AR14" i="32"/>
  <c r="T48" i="32"/>
  <c r="Y14" i="31"/>
  <c r="BC14" i="31"/>
  <c r="AM14" i="32"/>
  <c r="V14" i="32"/>
  <c r="AL14" i="32"/>
  <c r="AZ80" i="32"/>
  <c r="AH83" i="31"/>
  <c r="AI14" i="32"/>
  <c r="AM48" i="33"/>
  <c r="BA50" i="31"/>
  <c r="AE14" i="32"/>
  <c r="AY48" i="32"/>
  <c r="BD83" i="31"/>
  <c r="AH48" i="17"/>
  <c r="AJ80" i="32"/>
  <c r="AT14" i="32"/>
  <c r="AH14" i="31"/>
  <c r="AC48" i="32"/>
  <c r="AA50" i="31"/>
  <c r="AG14" i="31"/>
  <c r="AV14" i="31"/>
  <c r="AK80" i="32"/>
  <c r="AD14" i="31"/>
  <c r="AX80" i="32"/>
  <c r="W14" i="31"/>
  <c r="AH80" i="32"/>
  <c r="AJ14" i="32"/>
  <c r="AC14" i="31"/>
  <c r="AQ14" i="31"/>
  <c r="AE14" i="31"/>
  <c r="AL83" i="31"/>
  <c r="AN50" i="31"/>
  <c r="AZ48" i="32"/>
  <c r="F14" i="32"/>
  <c r="W48" i="32"/>
  <c r="AL50" i="31"/>
  <c r="H14" i="31"/>
  <c r="W50" i="31"/>
  <c r="BA48" i="32"/>
  <c r="Z48" i="32"/>
  <c r="AD83" i="31"/>
  <c r="BB50" i="31"/>
  <c r="AD14" i="32"/>
  <c r="AB50" i="31"/>
  <c r="AX48" i="32"/>
  <c r="W83" i="31"/>
  <c r="AS14" i="31"/>
  <c r="AH48" i="32"/>
  <c r="V83" i="31"/>
  <c r="AM14" i="31"/>
  <c r="AD48" i="32"/>
  <c r="AG48" i="32"/>
  <c r="V14" i="31"/>
  <c r="X48" i="32"/>
  <c r="AC80" i="32"/>
  <c r="BK43" i="49" l="1"/>
  <c r="BJ43" i="49"/>
  <c r="BJ42" i="49"/>
  <c r="BK41" i="49"/>
  <c r="BA49" i="49"/>
  <c r="AR49" i="48"/>
  <c r="AS42" i="48"/>
  <c r="AS75" i="48"/>
  <c r="AR81" i="48"/>
  <c r="BC40" i="32"/>
  <c r="AX51" i="47"/>
  <c r="AY44" i="47"/>
  <c r="AQ77" i="46"/>
  <c r="AQ79" i="46" s="1"/>
  <c r="AQ49" i="46"/>
  <c r="AR42" i="46"/>
  <c r="BB79" i="44"/>
  <c r="BB82" i="44" s="1"/>
  <c r="BA84" i="44"/>
  <c r="AT46" i="44"/>
  <c r="AT49" i="44" s="1"/>
  <c r="AM81" i="43"/>
  <c r="AN75" i="43"/>
  <c r="AM49" i="43"/>
  <c r="AN42" i="43"/>
  <c r="AX79" i="42"/>
  <c r="AX82" i="42" s="1"/>
  <c r="AW84" i="42"/>
  <c r="AR49" i="42"/>
  <c r="AJ47" i="41"/>
  <c r="AK77" i="41"/>
  <c r="AK79" i="41" s="1"/>
  <c r="AJ44" i="40"/>
  <c r="AH81" i="40"/>
  <c r="AI75" i="40"/>
  <c r="AQ51" i="39"/>
  <c r="AR44" i="39"/>
  <c r="AU84" i="39"/>
  <c r="AV79" i="39"/>
  <c r="AV82" i="39" s="1"/>
  <c r="AG81" i="38"/>
  <c r="AH75" i="38"/>
  <c r="AI47" i="38"/>
  <c r="AO51" i="37"/>
  <c r="AP44" i="37"/>
  <c r="AP49" i="37" s="1"/>
  <c r="AQ5" i="37"/>
  <c r="AP15" i="37"/>
  <c r="AS79" i="37"/>
  <c r="AS82" i="37" s="1"/>
  <c r="AR84" i="37"/>
  <c r="AD51" i="36"/>
  <c r="AM51" i="36"/>
  <c r="AN44" i="36"/>
  <c r="AN49" i="36" s="1"/>
  <c r="AE42" i="36"/>
  <c r="AL15" i="36"/>
  <c r="AM5" i="36"/>
  <c r="AM13" i="36" s="1"/>
  <c r="AN84" i="36"/>
  <c r="AO79" i="36"/>
  <c r="AO82" i="36" s="1"/>
  <c r="AN15" i="35"/>
  <c r="AO5" i="35"/>
  <c r="AO13" i="35" s="1"/>
  <c r="AF81" i="35"/>
  <c r="AG75" i="35"/>
  <c r="I8" i="35"/>
  <c r="E8" i="35" s="1"/>
  <c r="AG49" i="35"/>
  <c r="AH42" i="35"/>
  <c r="AW3" i="32"/>
  <c r="G51" i="34"/>
  <c r="H44" i="34"/>
  <c r="H8" i="34"/>
  <c r="D8" i="34" s="1"/>
  <c r="AI51" i="34"/>
  <c r="AJ44" i="34"/>
  <c r="AJ49" i="34" s="1"/>
  <c r="AJ84" i="34"/>
  <c r="AK79" i="34"/>
  <c r="AK82" i="34" s="1"/>
  <c r="AM78" i="34"/>
  <c r="AM5" i="34"/>
  <c r="AM13" i="34" s="1"/>
  <c r="AL15" i="34"/>
  <c r="AK5" i="33"/>
  <c r="AK13" i="33" s="1"/>
  <c r="AJ15" i="33"/>
  <c r="AD81" i="33"/>
  <c r="AE75" i="33"/>
  <c r="AF44" i="33"/>
  <c r="AF47" i="33" s="1"/>
  <c r="H8" i="33"/>
  <c r="H13" i="33" s="1"/>
  <c r="AN40" i="33"/>
  <c r="AO3" i="33"/>
  <c r="E15" i="31"/>
  <c r="V15" i="31"/>
  <c r="Z15" i="31"/>
  <c r="AD15" i="31"/>
  <c r="Y15" i="31"/>
  <c r="AC15" i="31"/>
  <c r="W15" i="31"/>
  <c r="AA15" i="31"/>
  <c r="AE15" i="31"/>
  <c r="X51" i="31"/>
  <c r="X15" i="31"/>
  <c r="AB15" i="31"/>
  <c r="AA84" i="31"/>
  <c r="W51" i="31"/>
  <c r="AA51" i="31"/>
  <c r="X84" i="31"/>
  <c r="AF84" i="31"/>
  <c r="Y51" i="31"/>
  <c r="AB84" i="31"/>
  <c r="V51" i="31"/>
  <c r="Z51" i="31"/>
  <c r="W84" i="31"/>
  <c r="AE84" i="31"/>
  <c r="Y84" i="31"/>
  <c r="AC84" i="31"/>
  <c r="AG84" i="31"/>
  <c r="E84" i="31"/>
  <c r="V84" i="31"/>
  <c r="Z84" i="31"/>
  <c r="AD84" i="31"/>
  <c r="U15" i="32"/>
  <c r="AC15" i="32"/>
  <c r="X49" i="32"/>
  <c r="Y15" i="32"/>
  <c r="W15" i="32"/>
  <c r="AA15" i="32"/>
  <c r="AE15" i="32"/>
  <c r="F15" i="32"/>
  <c r="T15" i="32"/>
  <c r="X15" i="32"/>
  <c r="AB15" i="32"/>
  <c r="AF15" i="32"/>
  <c r="T49" i="32"/>
  <c r="V15" i="32"/>
  <c r="Z15" i="32"/>
  <c r="AD15" i="32"/>
  <c r="AB49" i="32"/>
  <c r="AB81" i="32"/>
  <c r="V49" i="32"/>
  <c r="X81" i="32"/>
  <c r="W49" i="32"/>
  <c r="AA49" i="32"/>
  <c r="Z81" i="32"/>
  <c r="U49" i="32"/>
  <c r="AC49" i="32"/>
  <c r="W81" i="32"/>
  <c r="AA81" i="32"/>
  <c r="Y81" i="32"/>
  <c r="D21" i="31"/>
  <c r="D59" i="31"/>
  <c r="AB51" i="31"/>
  <c r="C28" i="31"/>
  <c r="AC42" i="31"/>
  <c r="AD49" i="32"/>
  <c r="AE42" i="32"/>
  <c r="G8" i="32"/>
  <c r="AQ40" i="32"/>
  <c r="AD75" i="32"/>
  <c r="AC81" i="32"/>
  <c r="Y49" i="32"/>
  <c r="Z42" i="32"/>
  <c r="Z47" i="32" s="1"/>
  <c r="Z49" i="32" s="1"/>
  <c r="AG15" i="32"/>
  <c r="AH5" i="32"/>
  <c r="AH13" i="32" s="1"/>
  <c r="E51" i="31"/>
  <c r="F44" i="31"/>
  <c r="AI79" i="31"/>
  <c r="AI82" i="31" s="1"/>
  <c r="AH84" i="31"/>
  <c r="AN78" i="31"/>
  <c r="C64" i="31"/>
  <c r="AF49" i="31"/>
  <c r="F84" i="31"/>
  <c r="G79" i="31"/>
  <c r="G82" i="31" s="1"/>
  <c r="AF15" i="31"/>
  <c r="AG5" i="31"/>
  <c r="AG13" i="31" s="1"/>
  <c r="F8" i="31"/>
  <c r="F13" i="31" s="1"/>
  <c r="AT53" i="17"/>
  <c r="AT52" i="17"/>
  <c r="C65" i="16"/>
  <c r="G32" i="5"/>
  <c r="BC48" i="32"/>
  <c r="AM83" i="34"/>
  <c r="AN83" i="31"/>
  <c r="AQ48" i="32"/>
  <c r="AC50" i="31"/>
  <c r="AN48" i="33"/>
  <c r="AW14" i="32"/>
  <c r="AO14" i="33"/>
  <c r="AG14" i="16"/>
  <c r="AE50" i="36"/>
  <c r="BB44" i="49" l="1"/>
  <c r="BA51" i="49"/>
  <c r="BK47" i="49"/>
  <c r="AS44" i="48"/>
  <c r="D44" i="48" s="1"/>
  <c r="AS77" i="48"/>
  <c r="AS79" i="48" s="1"/>
  <c r="BD40" i="32"/>
  <c r="AY46" i="47"/>
  <c r="AY49" i="47"/>
  <c r="AR44" i="46"/>
  <c r="AR47" i="46" s="1"/>
  <c r="AQ81" i="46"/>
  <c r="AR75" i="46"/>
  <c r="AT51" i="44"/>
  <c r="AU44" i="44"/>
  <c r="BC79" i="44"/>
  <c r="BC82" i="44" s="1"/>
  <c r="BB84" i="44"/>
  <c r="AN44" i="43"/>
  <c r="AN47" i="43" s="1"/>
  <c r="AN77" i="43"/>
  <c r="AN79" i="43" s="1"/>
  <c r="AY79" i="42"/>
  <c r="AY82" i="42" s="1"/>
  <c r="AX84" i="42"/>
  <c r="AR51" i="42"/>
  <c r="AS44" i="42"/>
  <c r="AL75" i="41"/>
  <c r="AK81" i="41"/>
  <c r="AJ49" i="41"/>
  <c r="AK42" i="41"/>
  <c r="AI77" i="40"/>
  <c r="AI79" i="40" s="1"/>
  <c r="AJ47" i="40"/>
  <c r="AV84" i="39"/>
  <c r="AW79" i="39"/>
  <c r="AW82" i="39" s="1"/>
  <c r="AR46" i="39"/>
  <c r="C46" i="39" s="1"/>
  <c r="C49" i="39" s="1"/>
  <c r="AH77" i="38"/>
  <c r="AH79" i="38" s="1"/>
  <c r="AI49" i="38"/>
  <c r="AJ42" i="38"/>
  <c r="AP51" i="37"/>
  <c r="AQ44" i="37"/>
  <c r="AS84" i="37"/>
  <c r="AT79" i="37"/>
  <c r="AT82" i="37" s="1"/>
  <c r="AE51" i="36"/>
  <c r="AP79" i="36"/>
  <c r="AP82" i="36" s="1"/>
  <c r="AO84" i="36"/>
  <c r="AF42" i="36"/>
  <c r="AO44" i="36"/>
  <c r="AO49" i="36" s="1"/>
  <c r="AN51" i="36"/>
  <c r="AN5" i="36"/>
  <c r="AN13" i="36" s="1"/>
  <c r="AM15" i="36"/>
  <c r="I13" i="35"/>
  <c r="I15" i="35" s="1"/>
  <c r="AO15" i="35"/>
  <c r="AP5" i="35"/>
  <c r="AP13" i="35" s="1"/>
  <c r="AH44" i="35"/>
  <c r="AG77" i="35"/>
  <c r="D77" i="35" s="1"/>
  <c r="AX3" i="32"/>
  <c r="H13" i="34"/>
  <c r="H15" i="34" s="1"/>
  <c r="AJ51" i="34"/>
  <c r="AK44" i="34"/>
  <c r="AK49" i="34" s="1"/>
  <c r="H46" i="34"/>
  <c r="H49" i="34" s="1"/>
  <c r="H51" i="34" s="1"/>
  <c r="AM15" i="34"/>
  <c r="AN5" i="34"/>
  <c r="AN13" i="34" s="1"/>
  <c r="AL79" i="34"/>
  <c r="AL82" i="34" s="1"/>
  <c r="AK84" i="34"/>
  <c r="AN78" i="34"/>
  <c r="AP3" i="33"/>
  <c r="AO40" i="33"/>
  <c r="AF49" i="33"/>
  <c r="AG42" i="33"/>
  <c r="AK15" i="33"/>
  <c r="AL5" i="33"/>
  <c r="AL13" i="33" s="1"/>
  <c r="AE77" i="33"/>
  <c r="H15" i="33"/>
  <c r="I5" i="33"/>
  <c r="AC51" i="31"/>
  <c r="AD42" i="31"/>
  <c r="AD77" i="32"/>
  <c r="AD79" i="32" s="1"/>
  <c r="G13" i="32"/>
  <c r="AE44" i="32"/>
  <c r="AE47" i="32" s="1"/>
  <c r="AH15" i="32"/>
  <c r="AI5" i="32"/>
  <c r="AI13" i="32" s="1"/>
  <c r="AR40" i="32"/>
  <c r="H79" i="31"/>
  <c r="H82" i="31" s="1"/>
  <c r="H84" i="31" s="1"/>
  <c r="G84" i="31"/>
  <c r="AI84" i="31"/>
  <c r="AJ79" i="31"/>
  <c r="AJ82" i="31" s="1"/>
  <c r="AG15" i="31"/>
  <c r="AH5" i="31"/>
  <c r="AH13" i="31" s="1"/>
  <c r="F46" i="31"/>
  <c r="F49" i="31" s="1"/>
  <c r="G5" i="31"/>
  <c r="F15" i="31"/>
  <c r="AG44" i="31"/>
  <c r="AG49" i="31" s="1"/>
  <c r="AO78" i="31"/>
  <c r="BL10" i="17"/>
  <c r="BL47" i="17"/>
  <c r="BK10" i="16"/>
  <c r="BD48" i="32"/>
  <c r="AF50" i="36"/>
  <c r="AP14" i="33"/>
  <c r="AO83" i="31"/>
  <c r="AX14" i="32"/>
  <c r="AS14" i="16"/>
  <c r="AR48" i="32"/>
  <c r="AD50" i="31"/>
  <c r="AO48" i="33"/>
  <c r="AN83" i="34"/>
  <c r="BB46" i="49" l="1"/>
  <c r="BB49" i="49" s="1"/>
  <c r="AT75" i="48"/>
  <c r="AS81" i="48"/>
  <c r="AS47" i="48"/>
  <c r="BE40" i="32"/>
  <c r="AZ44" i="47"/>
  <c r="AY51" i="47"/>
  <c r="AR49" i="46"/>
  <c r="AS42" i="46"/>
  <c r="AR77" i="46"/>
  <c r="AR79" i="46" s="1"/>
  <c r="BC84" i="44"/>
  <c r="BD79" i="44"/>
  <c r="BD82" i="44" s="1"/>
  <c r="BD84" i="44" s="1"/>
  <c r="AU46" i="44"/>
  <c r="AU49" i="44"/>
  <c r="AO75" i="43"/>
  <c r="AN81" i="43"/>
  <c r="AN49" i="43"/>
  <c r="AO42" i="43"/>
  <c r="AS46" i="42"/>
  <c r="AS49" i="42" s="1"/>
  <c r="AY84" i="42"/>
  <c r="AZ79" i="42"/>
  <c r="AZ82" i="42" s="1"/>
  <c r="AK44" i="41"/>
  <c r="AK47" i="41" s="1"/>
  <c r="AL77" i="41"/>
  <c r="AL79" i="41"/>
  <c r="AI81" i="40"/>
  <c r="AJ75" i="40"/>
  <c r="AJ49" i="40"/>
  <c r="AK42" i="40"/>
  <c r="AR49" i="39"/>
  <c r="AW84" i="39"/>
  <c r="AX79" i="39"/>
  <c r="AX82" i="39" s="1"/>
  <c r="AI75" i="38"/>
  <c r="AH81" i="38"/>
  <c r="AJ44" i="38"/>
  <c r="AU79" i="37"/>
  <c r="AU82" i="37" s="1"/>
  <c r="AT84" i="37"/>
  <c r="AQ46" i="37"/>
  <c r="AF51" i="36"/>
  <c r="BJ44" i="36"/>
  <c r="BK44" i="36"/>
  <c r="BK41" i="36"/>
  <c r="AN15" i="36"/>
  <c r="AO5" i="36"/>
  <c r="AO13" i="36" s="1"/>
  <c r="AQ79" i="36"/>
  <c r="AQ82" i="36" s="1"/>
  <c r="AP84" i="36"/>
  <c r="AO51" i="36"/>
  <c r="AP44" i="36"/>
  <c r="AP49" i="36" s="1"/>
  <c r="AH47" i="35"/>
  <c r="AG79" i="35"/>
  <c r="AP15" i="35"/>
  <c r="AQ5" i="35"/>
  <c r="AQ13" i="35" s="1"/>
  <c r="AY3" i="32"/>
  <c r="AM79" i="34"/>
  <c r="AM82" i="34" s="1"/>
  <c r="AL84" i="34"/>
  <c r="AO5" i="34"/>
  <c r="AO13" i="34" s="1"/>
  <c r="AN15" i="34"/>
  <c r="AK51" i="34"/>
  <c r="AL44" i="34"/>
  <c r="AL49" i="34" s="1"/>
  <c r="AO78" i="34"/>
  <c r="I8" i="33"/>
  <c r="E8" i="33" s="1"/>
  <c r="AG44" i="33"/>
  <c r="AG47" i="33" s="1"/>
  <c r="AQ3" i="33"/>
  <c r="E77" i="33"/>
  <c r="AE79" i="33"/>
  <c r="AL15" i="33"/>
  <c r="AM5" i="33"/>
  <c r="AM13" i="33" s="1"/>
  <c r="AP40" i="33"/>
  <c r="AD51" i="31"/>
  <c r="AE42" i="31"/>
  <c r="AE49" i="32"/>
  <c r="AF42" i="32"/>
  <c r="G15" i="32"/>
  <c r="H5" i="32"/>
  <c r="AS40" i="32"/>
  <c r="AD81" i="32"/>
  <c r="AE75" i="32"/>
  <c r="AJ5" i="32"/>
  <c r="AJ13" i="32" s="1"/>
  <c r="AI15" i="32"/>
  <c r="F51" i="31"/>
  <c r="G44" i="31"/>
  <c r="AP78" i="31"/>
  <c r="AK79" i="31"/>
  <c r="AK82" i="31" s="1"/>
  <c r="AJ84" i="31"/>
  <c r="AH15" i="31"/>
  <c r="AI5" i="31"/>
  <c r="AI13" i="31" s="1"/>
  <c r="AG51" i="31"/>
  <c r="AH44" i="31"/>
  <c r="AH49" i="31" s="1"/>
  <c r="G8" i="31"/>
  <c r="AS18" i="16"/>
  <c r="BE48" i="32"/>
  <c r="AE50" i="31"/>
  <c r="AP83" i="31"/>
  <c r="AS48" i="32"/>
  <c r="AQ14" i="33"/>
  <c r="AO83" i="34"/>
  <c r="AY14" i="32"/>
  <c r="AP48" i="33"/>
  <c r="BB51" i="49" l="1"/>
  <c r="BC44" i="49"/>
  <c r="AT42" i="48"/>
  <c r="AS49" i="48"/>
  <c r="AT77" i="48"/>
  <c r="AT79" i="48" s="1"/>
  <c r="AZ46" i="47"/>
  <c r="BJ42" i="47" s="1"/>
  <c r="AS75" i="46"/>
  <c r="AR81" i="46"/>
  <c r="AS44" i="46"/>
  <c r="D44" i="46" s="1"/>
  <c r="AU51" i="44"/>
  <c r="AV44" i="44"/>
  <c r="AO44" i="43"/>
  <c r="AO47" i="43" s="1"/>
  <c r="AO77" i="43"/>
  <c r="AO79" i="43" s="1"/>
  <c r="AS51" i="42"/>
  <c r="AT44" i="42"/>
  <c r="AZ84" i="42"/>
  <c r="BA79" i="42"/>
  <c r="BA82" i="42" s="1"/>
  <c r="AK49" i="41"/>
  <c r="AL42" i="41"/>
  <c r="AL81" i="41"/>
  <c r="AM75" i="41"/>
  <c r="AK44" i="40"/>
  <c r="AK47" i="40" s="1"/>
  <c r="AJ77" i="40"/>
  <c r="AJ79" i="40" s="1"/>
  <c r="AR51" i="39"/>
  <c r="AS44" i="39"/>
  <c r="AY79" i="39"/>
  <c r="AY82" i="39" s="1"/>
  <c r="AX84" i="39"/>
  <c r="AJ47" i="38"/>
  <c r="AI77" i="38"/>
  <c r="AI79" i="38" s="1"/>
  <c r="AQ49" i="37"/>
  <c r="AV79" i="37"/>
  <c r="AV82" i="37" s="1"/>
  <c r="AU84" i="37"/>
  <c r="AQ84" i="36"/>
  <c r="AR79" i="36"/>
  <c r="AR82" i="36" s="1"/>
  <c r="AQ44" i="36"/>
  <c r="AP51" i="36"/>
  <c r="AO15" i="36"/>
  <c r="AP5" i="36"/>
  <c r="AP13" i="36" s="1"/>
  <c r="AH75" i="35"/>
  <c r="AG81" i="35"/>
  <c r="AH49" i="35"/>
  <c r="AI42" i="35"/>
  <c r="AQ15" i="35"/>
  <c r="AR5" i="35"/>
  <c r="AZ3" i="32"/>
  <c r="AP78" i="34"/>
  <c r="AO15" i="34"/>
  <c r="AP5" i="34"/>
  <c r="AP13" i="34" s="1"/>
  <c r="AM44" i="34"/>
  <c r="AM49" i="34" s="1"/>
  <c r="AL51" i="34"/>
  <c r="AM84" i="34"/>
  <c r="AN79" i="34"/>
  <c r="AN82" i="34" s="1"/>
  <c r="AG49" i="33"/>
  <c r="AH42" i="33"/>
  <c r="AF75" i="33"/>
  <c r="AE81" i="33"/>
  <c r="AQ40" i="33"/>
  <c r="I13" i="33"/>
  <c r="I15" i="33" s="1"/>
  <c r="AM15" i="33"/>
  <c r="AN5" i="33"/>
  <c r="AN13" i="33" s="1"/>
  <c r="AR3" i="33"/>
  <c r="AE51" i="31"/>
  <c r="AF42" i="31"/>
  <c r="BK41" i="31" s="1"/>
  <c r="BK44" i="31"/>
  <c r="AE77" i="32"/>
  <c r="AF44" i="32"/>
  <c r="AJ15" i="32"/>
  <c r="AK5" i="32"/>
  <c r="AK13" i="32" s="1"/>
  <c r="H8" i="32"/>
  <c r="G13" i="31"/>
  <c r="AH51" i="31"/>
  <c r="AI44" i="31"/>
  <c r="AI49" i="31" s="1"/>
  <c r="AL79" i="31"/>
  <c r="AL82" i="31" s="1"/>
  <c r="AK84" i="31"/>
  <c r="AQ78" i="31"/>
  <c r="G46" i="31"/>
  <c r="G49" i="31" s="1"/>
  <c r="AJ5" i="31"/>
  <c r="AJ13" i="31" s="1"/>
  <c r="AI15" i="31"/>
  <c r="C53" i="5"/>
  <c r="C42" i="5"/>
  <c r="C37" i="5"/>
  <c r="AP83" i="34"/>
  <c r="AQ48" i="33"/>
  <c r="AZ14" i="32"/>
  <c r="AQ83" i="31"/>
  <c r="AR14" i="33"/>
  <c r="AF50" i="31"/>
  <c r="BC46" i="49" l="1"/>
  <c r="BC49" i="49" s="1"/>
  <c r="AT81" i="48"/>
  <c r="AU75" i="48"/>
  <c r="AT44" i="48"/>
  <c r="AT47" i="48" s="1"/>
  <c r="BK43" i="47"/>
  <c r="BJ43" i="47"/>
  <c r="AZ49" i="47"/>
  <c r="AS47" i="46"/>
  <c r="AS77" i="46"/>
  <c r="AS79" i="46" s="1"/>
  <c r="AV46" i="44"/>
  <c r="AV49" i="44" s="1"/>
  <c r="AP75" i="43"/>
  <c r="AO81" i="43"/>
  <c r="AO49" i="43"/>
  <c r="AP42" i="43"/>
  <c r="BB79" i="42"/>
  <c r="BB82" i="42" s="1"/>
  <c r="BA84" i="42"/>
  <c r="AT46" i="42"/>
  <c r="AT49" i="42" s="1"/>
  <c r="AL44" i="41"/>
  <c r="AL47" i="41" s="1"/>
  <c r="AM77" i="41"/>
  <c r="AM79" i="41" s="1"/>
  <c r="AK75" i="40"/>
  <c r="AJ81" i="40"/>
  <c r="AL42" i="40"/>
  <c r="AK49" i="40"/>
  <c r="AZ79" i="39"/>
  <c r="AZ82" i="39" s="1"/>
  <c r="AY84" i="39"/>
  <c r="AS46" i="39"/>
  <c r="AS49" i="39" s="1"/>
  <c r="AI81" i="38"/>
  <c r="AJ75" i="38"/>
  <c r="AJ49" i="38"/>
  <c r="AK42" i="38"/>
  <c r="AR44" i="37"/>
  <c r="AQ51" i="37"/>
  <c r="AW79" i="37"/>
  <c r="AW82" i="37" s="1"/>
  <c r="AV84" i="37"/>
  <c r="AQ46" i="36"/>
  <c r="AQ49" i="36" s="1"/>
  <c r="AP15" i="36"/>
  <c r="AQ5" i="36"/>
  <c r="AR84" i="36"/>
  <c r="AS79" i="36"/>
  <c r="AS82" i="36" s="1"/>
  <c r="AI44" i="35"/>
  <c r="AH77" i="35"/>
  <c r="AH79" i="35" s="1"/>
  <c r="BA3" i="32"/>
  <c r="AM51" i="34"/>
  <c r="AN44" i="34"/>
  <c r="AN49" i="34" s="1"/>
  <c r="AN84" i="34"/>
  <c r="AO79" i="34"/>
  <c r="AO82" i="34" s="1"/>
  <c r="AP15" i="34"/>
  <c r="AQ5" i="34"/>
  <c r="AQ78" i="34"/>
  <c r="AF77" i="33"/>
  <c r="AF79" i="33"/>
  <c r="AN15" i="33"/>
  <c r="AO5" i="33"/>
  <c r="AO13" i="33" s="1"/>
  <c r="AS3" i="33"/>
  <c r="AR40" i="33"/>
  <c r="AH44" i="33"/>
  <c r="AF51" i="31"/>
  <c r="BJ44" i="31"/>
  <c r="E77" i="32"/>
  <c r="H13" i="32"/>
  <c r="AE79" i="32"/>
  <c r="AK15" i="32"/>
  <c r="AL5" i="32"/>
  <c r="AL13" i="32" s="1"/>
  <c r="AF47" i="32"/>
  <c r="G51" i="31"/>
  <c r="H44" i="31"/>
  <c r="AI51" i="31"/>
  <c r="AJ44" i="31"/>
  <c r="AJ49" i="31" s="1"/>
  <c r="AJ15" i="31"/>
  <c r="AK5" i="31"/>
  <c r="AK13" i="31" s="1"/>
  <c r="AR78" i="31"/>
  <c r="BJ76" i="31" s="1"/>
  <c r="G15" i="31"/>
  <c r="H5" i="31"/>
  <c r="AM79" i="31"/>
  <c r="AM82" i="31" s="1"/>
  <c r="AL84" i="31"/>
  <c r="C19" i="5"/>
  <c r="C5" i="5"/>
  <c r="C9" i="5"/>
  <c r="C15" i="5"/>
  <c r="C12" i="5"/>
  <c r="C18" i="5"/>
  <c r="AR83" i="31"/>
  <c r="AS14" i="33"/>
  <c r="AR48" i="33"/>
  <c r="AQ83" i="34"/>
  <c r="BA14" i="32"/>
  <c r="BC51" i="49" l="1"/>
  <c r="BD44" i="49"/>
  <c r="AU77" i="48"/>
  <c r="AU79" i="48" s="1"/>
  <c r="AT49" i="48"/>
  <c r="AU42" i="48"/>
  <c r="AZ51" i="47"/>
  <c r="BA44" i="47"/>
  <c r="AT75" i="46"/>
  <c r="AS81" i="46"/>
  <c r="AT42" i="46"/>
  <c r="AS49" i="46"/>
  <c r="AV51" i="44"/>
  <c r="AW44" i="44"/>
  <c r="AP44" i="43"/>
  <c r="AP47" i="43" s="1"/>
  <c r="AP77" i="43"/>
  <c r="AP79" i="43" s="1"/>
  <c r="AT51" i="42"/>
  <c r="AU44" i="42"/>
  <c r="BC79" i="42"/>
  <c r="BC82" i="42" s="1"/>
  <c r="BB84" i="42"/>
  <c r="AM81" i="41"/>
  <c r="AN75" i="41"/>
  <c r="AL49" i="41"/>
  <c r="AM42" i="41"/>
  <c r="AL44" i="40"/>
  <c r="AL47" i="40" s="1"/>
  <c r="AK77" i="40"/>
  <c r="AK79" i="40" s="1"/>
  <c r="AT44" i="39"/>
  <c r="AS51" i="39"/>
  <c r="AZ84" i="39"/>
  <c r="BA79" i="39"/>
  <c r="BA82" i="39" s="1"/>
  <c r="AK44" i="38"/>
  <c r="AK47" i="38"/>
  <c r="AJ77" i="38"/>
  <c r="AJ79" i="38" s="1"/>
  <c r="AW84" i="37"/>
  <c r="AX79" i="37"/>
  <c r="AX82" i="37" s="1"/>
  <c r="AR46" i="37"/>
  <c r="C46" i="37" s="1"/>
  <c r="C49" i="37" s="1"/>
  <c r="AQ51" i="36"/>
  <c r="AR44" i="36"/>
  <c r="AT79" i="36"/>
  <c r="AT82" i="36" s="1"/>
  <c r="AS84" i="36"/>
  <c r="AH81" i="35"/>
  <c r="AI75" i="35"/>
  <c r="AI47" i="35"/>
  <c r="BB3" i="32"/>
  <c r="AP79" i="34"/>
  <c r="AP82" i="34" s="1"/>
  <c r="AO84" i="34"/>
  <c r="AR78" i="34"/>
  <c r="AN51" i="34"/>
  <c r="AO44" i="34"/>
  <c r="AO49" i="34" s="1"/>
  <c r="AS40" i="33"/>
  <c r="AO15" i="33"/>
  <c r="AP5" i="33"/>
  <c r="AP13" i="33" s="1"/>
  <c r="AG75" i="33"/>
  <c r="AF81" i="33"/>
  <c r="AH47" i="33"/>
  <c r="AE81" i="32"/>
  <c r="AF75" i="32"/>
  <c r="AF49" i="32"/>
  <c r="AG42" i="32"/>
  <c r="H15" i="32"/>
  <c r="I5" i="32"/>
  <c r="AL15" i="32"/>
  <c r="AM5" i="32"/>
  <c r="AM13" i="32" s="1"/>
  <c r="BK77" i="31"/>
  <c r="AM84" i="31"/>
  <c r="AN79" i="31"/>
  <c r="AN82" i="31" s="1"/>
  <c r="H8" i="31"/>
  <c r="D8" i="31" s="1"/>
  <c r="BK76" i="31"/>
  <c r="AJ51" i="31"/>
  <c r="AK44" i="31"/>
  <c r="AK49" i="31" s="1"/>
  <c r="BJ77" i="31"/>
  <c r="AK15" i="31"/>
  <c r="AL5" i="31"/>
  <c r="AL13" i="31" s="1"/>
  <c r="H46" i="31"/>
  <c r="H49" i="31" s="1"/>
  <c r="H51" i="31" s="1"/>
  <c r="C33" i="5"/>
  <c r="C52" i="5" s="1"/>
  <c r="C21" i="5"/>
  <c r="C6" i="5"/>
  <c r="C4" i="5"/>
  <c r="AS48" i="33"/>
  <c r="AR83" i="34"/>
  <c r="BB14" i="32"/>
  <c r="BD46" i="49" l="1"/>
  <c r="BD49" i="49" s="1"/>
  <c r="BD51" i="49" s="1"/>
  <c r="AV75" i="48"/>
  <c r="AU81" i="48"/>
  <c r="BA46" i="47"/>
  <c r="BA49" i="47" s="1"/>
  <c r="AT44" i="46"/>
  <c r="AT47" i="46" s="1"/>
  <c r="AT77" i="46"/>
  <c r="AT79" i="46" s="1"/>
  <c r="AW46" i="44"/>
  <c r="AW49" i="44" s="1"/>
  <c r="AP81" i="43"/>
  <c r="AQ75" i="43"/>
  <c r="AP49" i="43"/>
  <c r="AQ42" i="43"/>
  <c r="AU46" i="42"/>
  <c r="AU49" i="42" s="1"/>
  <c r="BC84" i="42"/>
  <c r="BD79" i="42"/>
  <c r="BD82" i="42" s="1"/>
  <c r="BD84" i="42" s="1"/>
  <c r="AN77" i="41"/>
  <c r="AN79" i="41" s="1"/>
  <c r="AM44" i="41"/>
  <c r="AM47" i="41" s="1"/>
  <c r="AL75" i="40"/>
  <c r="AK81" i="40"/>
  <c r="AM42" i="40"/>
  <c r="AL49" i="40"/>
  <c r="BA84" i="39"/>
  <c r="BB79" i="39"/>
  <c r="BB82" i="39" s="1"/>
  <c r="AT46" i="39"/>
  <c r="AT49" i="39" s="1"/>
  <c r="AK75" i="38"/>
  <c r="AJ81" i="38"/>
  <c r="AK49" i="38"/>
  <c r="AL42" i="38"/>
  <c r="AR49" i="37"/>
  <c r="AY79" i="37"/>
  <c r="AY82" i="37" s="1"/>
  <c r="AX84" i="37"/>
  <c r="AR46" i="36"/>
  <c r="C46" i="36" s="1"/>
  <c r="C49" i="36" s="1"/>
  <c r="AU79" i="36"/>
  <c r="AU82" i="36" s="1"/>
  <c r="AT84" i="36"/>
  <c r="AI49" i="35"/>
  <c r="AJ42" i="35"/>
  <c r="AI77" i="35"/>
  <c r="AI79" i="35" s="1"/>
  <c r="BC3" i="32"/>
  <c r="AO51" i="34"/>
  <c r="AP44" i="34"/>
  <c r="AP49" i="34" s="1"/>
  <c r="BK76" i="34"/>
  <c r="BK77" i="34"/>
  <c r="BJ77" i="34"/>
  <c r="BJ76" i="34"/>
  <c r="AQ79" i="34"/>
  <c r="AQ82" i="34" s="1"/>
  <c r="AP84" i="34"/>
  <c r="AH49" i="33"/>
  <c r="AI42" i="33"/>
  <c r="AG77" i="33"/>
  <c r="D77" i="33" s="1"/>
  <c r="AP15" i="33"/>
  <c r="AQ5" i="33"/>
  <c r="AQ13" i="33" s="1"/>
  <c r="BK80" i="31"/>
  <c r="AM15" i="32"/>
  <c r="AN5" i="32"/>
  <c r="AN13" i="32" s="1"/>
  <c r="AG44" i="32"/>
  <c r="I8" i="32"/>
  <c r="E8" i="32" s="1"/>
  <c r="AF77" i="32"/>
  <c r="AL15" i="31"/>
  <c r="AM5" i="31"/>
  <c r="AM13" i="31" s="1"/>
  <c r="AN84" i="31"/>
  <c r="AO79" i="31"/>
  <c r="AO82" i="31" s="1"/>
  <c r="AK51" i="31"/>
  <c r="AL44" i="31"/>
  <c r="AL49" i="31" s="1"/>
  <c r="H13" i="31"/>
  <c r="H15" i="31" s="1"/>
  <c r="C44" i="5"/>
  <c r="BC14" i="32"/>
  <c r="AV77" i="48" l="1"/>
  <c r="AV79" i="48" s="1"/>
  <c r="BB44" i="47"/>
  <c r="BA51" i="47"/>
  <c r="AU42" i="46"/>
  <c r="AT49" i="46"/>
  <c r="AT81" i="46"/>
  <c r="AU75" i="46"/>
  <c r="AW51" i="44"/>
  <c r="AX44" i="44"/>
  <c r="AQ44" i="43"/>
  <c r="E44" i="43" s="1"/>
  <c r="AQ77" i="43"/>
  <c r="AQ79" i="43" s="1"/>
  <c r="AU51" i="42"/>
  <c r="AV44" i="42"/>
  <c r="AO75" i="41"/>
  <c r="AN81" i="41"/>
  <c r="AM49" i="41"/>
  <c r="AN42" i="41"/>
  <c r="AM44" i="40"/>
  <c r="AM47" i="40" s="1"/>
  <c r="AL77" i="40"/>
  <c r="AL79" i="40" s="1"/>
  <c r="AT51" i="39"/>
  <c r="AU44" i="39"/>
  <c r="BC79" i="39"/>
  <c r="BC82" i="39" s="1"/>
  <c r="BB84" i="39"/>
  <c r="AL44" i="38"/>
  <c r="AL47" i="38" s="1"/>
  <c r="AK77" i="38"/>
  <c r="AK79" i="38" s="1"/>
  <c r="AZ79" i="37"/>
  <c r="AZ82" i="37" s="1"/>
  <c r="AY84" i="37"/>
  <c r="AS44" i="37"/>
  <c r="AR51" i="37"/>
  <c r="AU84" i="36"/>
  <c r="AV79" i="36"/>
  <c r="AV82" i="36" s="1"/>
  <c r="AR49" i="36"/>
  <c r="AJ75" i="35"/>
  <c r="AI81" i="35"/>
  <c r="AJ44" i="35"/>
  <c r="AJ47" i="35" s="1"/>
  <c r="BD3" i="32"/>
  <c r="BK80" i="34"/>
  <c r="AQ44" i="34"/>
  <c r="AP51" i="34"/>
  <c r="AQ84" i="34"/>
  <c r="AR79" i="34"/>
  <c r="AR82" i="34" s="1"/>
  <c r="AG79" i="33"/>
  <c r="AQ15" i="33"/>
  <c r="AR5" i="33"/>
  <c r="AI44" i="33"/>
  <c r="AF79" i="32"/>
  <c r="AG47" i="32"/>
  <c r="AN15" i="32"/>
  <c r="AO5" i="32"/>
  <c r="AO13" i="32" s="1"/>
  <c r="I13" i="32"/>
  <c r="I15" i="32" s="1"/>
  <c r="AP79" i="31"/>
  <c r="AP82" i="31" s="1"/>
  <c r="AO84" i="31"/>
  <c r="AM44" i="31"/>
  <c r="AM49" i="31" s="1"/>
  <c r="AL51" i="31"/>
  <c r="AN5" i="31"/>
  <c r="AN13" i="31" s="1"/>
  <c r="AM15" i="31"/>
  <c r="BC63" i="16"/>
  <c r="BB63" i="16"/>
  <c r="BA63" i="16"/>
  <c r="AZ63" i="16"/>
  <c r="AY63" i="16"/>
  <c r="AX63" i="16"/>
  <c r="AW63" i="16"/>
  <c r="BC62" i="16"/>
  <c r="BB62" i="16"/>
  <c r="BA62" i="16"/>
  <c r="AZ62" i="16"/>
  <c r="AY62" i="16"/>
  <c r="AX62" i="16"/>
  <c r="AW62" i="16"/>
  <c r="BD61" i="16"/>
  <c r="BC61" i="16"/>
  <c r="BB61" i="16"/>
  <c r="BA61" i="16"/>
  <c r="AZ61" i="16"/>
  <c r="AY61" i="16"/>
  <c r="AX61" i="16"/>
  <c r="AW61" i="16"/>
  <c r="BC60" i="16"/>
  <c r="BB60" i="16"/>
  <c r="BA60" i="16"/>
  <c r="AZ60" i="16"/>
  <c r="AY60" i="16"/>
  <c r="AX60" i="16"/>
  <c r="AW60" i="16"/>
  <c r="BC59" i="16"/>
  <c r="BB59" i="16"/>
  <c r="BA59" i="16"/>
  <c r="AZ59" i="16"/>
  <c r="AY59" i="16"/>
  <c r="AX59" i="16"/>
  <c r="AW59" i="16"/>
  <c r="BC58" i="16"/>
  <c r="BB58" i="16"/>
  <c r="BA58" i="16"/>
  <c r="AZ58" i="16"/>
  <c r="AY58" i="16"/>
  <c r="AX58" i="16"/>
  <c r="AW58" i="16"/>
  <c r="BC57" i="16"/>
  <c r="BB57" i="16"/>
  <c r="BA57" i="16"/>
  <c r="AZ57" i="16"/>
  <c r="AY57" i="16"/>
  <c r="AX57" i="16"/>
  <c r="AW57" i="16"/>
  <c r="BC56" i="16"/>
  <c r="BB56" i="16"/>
  <c r="BA56" i="16"/>
  <c r="AZ56" i="16"/>
  <c r="AY56" i="16"/>
  <c r="AX56" i="16"/>
  <c r="AW56" i="16"/>
  <c r="BC55" i="16"/>
  <c r="BA55" i="16"/>
  <c r="AZ55" i="16"/>
  <c r="AY55" i="16"/>
  <c r="AX55" i="16"/>
  <c r="AW55" i="16"/>
  <c r="BD55" i="16"/>
  <c r="BD56" i="16"/>
  <c r="BD57" i="16"/>
  <c r="BD58" i="16"/>
  <c r="BD59" i="16"/>
  <c r="BD60" i="16"/>
  <c r="BD62" i="16"/>
  <c r="BD63" i="16"/>
  <c r="AS78" i="16"/>
  <c r="AS67" i="16"/>
  <c r="AS54" i="16"/>
  <c r="AT54" i="16" s="1"/>
  <c r="AU54" i="16" s="1"/>
  <c r="AV54" i="16" s="1"/>
  <c r="AW54" i="16" s="1"/>
  <c r="AX54" i="16" s="1"/>
  <c r="AY54" i="16" s="1"/>
  <c r="AZ54" i="16" s="1"/>
  <c r="BA54" i="16" s="1"/>
  <c r="BB54" i="16" s="1"/>
  <c r="BC54" i="16" s="1"/>
  <c r="BD54" i="16" s="1"/>
  <c r="AS42" i="16"/>
  <c r="AT42" i="16" s="1"/>
  <c r="AU42" i="16" s="1"/>
  <c r="AS31" i="16"/>
  <c r="AT73" i="17"/>
  <c r="AU73" i="17" s="1"/>
  <c r="AV73" i="17" s="1"/>
  <c r="AW73" i="17" s="1"/>
  <c r="AX73" i="17" s="1"/>
  <c r="AY73" i="17" s="1"/>
  <c r="AZ73" i="17" s="1"/>
  <c r="BA73" i="17" s="1"/>
  <c r="BB73" i="17" s="1"/>
  <c r="BC73" i="17" s="1"/>
  <c r="BD73" i="17" s="1"/>
  <c r="BE73" i="17" s="1"/>
  <c r="AT63" i="17"/>
  <c r="AU63" i="17" s="1"/>
  <c r="AV63" i="17" s="1"/>
  <c r="AW63" i="17" s="1"/>
  <c r="AX63" i="17" s="1"/>
  <c r="AY63" i="17" s="1"/>
  <c r="AZ63" i="17" s="1"/>
  <c r="BA63" i="17" s="1"/>
  <c r="BB63" i="17" s="1"/>
  <c r="BC63" i="17" s="1"/>
  <c r="BD63" i="17" s="1"/>
  <c r="BE63" i="17" s="1"/>
  <c r="AT51" i="17"/>
  <c r="AU51" i="17" s="1"/>
  <c r="AV51" i="17" s="1"/>
  <c r="AW51" i="17" s="1"/>
  <c r="AX51" i="17" s="1"/>
  <c r="AY51" i="17" s="1"/>
  <c r="AZ51" i="17" s="1"/>
  <c r="BA51" i="17" s="1"/>
  <c r="BB51" i="17" s="1"/>
  <c r="BC51" i="17" s="1"/>
  <c r="BD51" i="17" s="1"/>
  <c r="BE51" i="17" s="1"/>
  <c r="AT40" i="17"/>
  <c r="AT30" i="17"/>
  <c r="AU30" i="17" s="1"/>
  <c r="AV30" i="17" s="1"/>
  <c r="AW30" i="17" s="1"/>
  <c r="AX30" i="17" s="1"/>
  <c r="AY30" i="17" s="1"/>
  <c r="AZ30" i="17" s="1"/>
  <c r="BA30" i="17" s="1"/>
  <c r="BB30" i="17" s="1"/>
  <c r="BC30" i="17" s="1"/>
  <c r="BD30" i="17" s="1"/>
  <c r="BE30" i="17" s="1"/>
  <c r="AT18" i="17"/>
  <c r="AU18" i="17" s="1"/>
  <c r="AV18" i="17" s="1"/>
  <c r="AW18" i="17" s="1"/>
  <c r="AX18" i="17" s="1"/>
  <c r="AY18" i="17" s="1"/>
  <c r="AZ18" i="17" s="1"/>
  <c r="BA18" i="17" s="1"/>
  <c r="BB18" i="17" s="1"/>
  <c r="BC18" i="17" s="1"/>
  <c r="BD18" i="17" s="1"/>
  <c r="BE18" i="17" s="1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BE54" i="17"/>
  <c r="BE53" i="17"/>
  <c r="BE52" i="17"/>
  <c r="AU40" i="17"/>
  <c r="AV40" i="17" s="1"/>
  <c r="AW40" i="17" s="1"/>
  <c r="AX40" i="17" s="1"/>
  <c r="AY40" i="17" s="1"/>
  <c r="AZ40" i="17" s="1"/>
  <c r="BA40" i="17" s="1"/>
  <c r="BB40" i="17" s="1"/>
  <c r="BC40" i="17" s="1"/>
  <c r="BD40" i="17" s="1"/>
  <c r="BE40" i="17" s="1"/>
  <c r="AY24" i="17"/>
  <c r="AX24" i="17"/>
  <c r="AW24" i="17"/>
  <c r="AV24" i="17"/>
  <c r="AU24" i="17"/>
  <c r="AT24" i="17"/>
  <c r="BE20" i="17"/>
  <c r="BE19" i="17"/>
  <c r="AU3" i="17"/>
  <c r="AV3" i="17" s="1"/>
  <c r="AW3" i="17" s="1"/>
  <c r="AX3" i="17" s="1"/>
  <c r="AY3" i="17" s="1"/>
  <c r="AZ3" i="17" s="1"/>
  <c r="BA3" i="17" s="1"/>
  <c r="BB3" i="17" s="1"/>
  <c r="BC3" i="17" s="1"/>
  <c r="BD3" i="17" s="1"/>
  <c r="BE3" i="17" s="1"/>
  <c r="AT78" i="16"/>
  <c r="AU78" i="16" s="1"/>
  <c r="AV78" i="16" s="1"/>
  <c r="AW78" i="16" s="1"/>
  <c r="AX78" i="16" s="1"/>
  <c r="AY78" i="16" s="1"/>
  <c r="AT67" i="16"/>
  <c r="AU67" i="16" s="1"/>
  <c r="AV67" i="16" s="1"/>
  <c r="AW67" i="16" s="1"/>
  <c r="AX67" i="16" s="1"/>
  <c r="AY67" i="16" s="1"/>
  <c r="AZ67" i="16" s="1"/>
  <c r="BA67" i="16" s="1"/>
  <c r="BB67" i="16" s="1"/>
  <c r="BC67" i="16" s="1"/>
  <c r="BD67" i="16" s="1"/>
  <c r="AV63" i="16"/>
  <c r="AU63" i="16"/>
  <c r="AT63" i="16"/>
  <c r="AS63" i="16"/>
  <c r="AV62" i="16"/>
  <c r="AU62" i="16"/>
  <c r="AT62" i="16"/>
  <c r="AS62" i="16"/>
  <c r="AV61" i="16"/>
  <c r="AU61" i="16"/>
  <c r="AT61" i="16"/>
  <c r="AS61" i="16"/>
  <c r="AV60" i="16"/>
  <c r="AU60" i="16"/>
  <c r="AT60" i="16"/>
  <c r="AS60" i="16"/>
  <c r="AV59" i="16"/>
  <c r="AU59" i="16"/>
  <c r="AT59" i="16"/>
  <c r="AS59" i="16"/>
  <c r="AV58" i="16"/>
  <c r="AU58" i="16"/>
  <c r="AT58" i="16"/>
  <c r="AS58" i="16"/>
  <c r="AV57" i="16"/>
  <c r="AU57" i="16"/>
  <c r="AT57" i="16"/>
  <c r="AS57" i="16"/>
  <c r="AV56" i="16"/>
  <c r="AU56" i="16"/>
  <c r="AT56" i="16"/>
  <c r="AS56" i="16"/>
  <c r="AV55" i="16"/>
  <c r="AV80" i="16" s="1"/>
  <c r="AU55" i="16"/>
  <c r="AU80" i="16" s="1"/>
  <c r="AT55" i="16"/>
  <c r="AT80" i="16" s="1"/>
  <c r="AS55" i="16"/>
  <c r="AS80" i="16" s="1"/>
  <c r="BD45" i="16"/>
  <c r="AT31" i="16"/>
  <c r="AU31" i="16" s="1"/>
  <c r="AV31" i="16" s="1"/>
  <c r="AW31" i="16" s="1"/>
  <c r="AX31" i="16" s="1"/>
  <c r="AY31" i="16" s="1"/>
  <c r="AZ31" i="16" s="1"/>
  <c r="BA31" i="16" s="1"/>
  <c r="BB31" i="16" s="1"/>
  <c r="BC31" i="16" s="1"/>
  <c r="BD31" i="16" s="1"/>
  <c r="BD27" i="16"/>
  <c r="BC27" i="16"/>
  <c r="AZ27" i="16"/>
  <c r="AY27" i="16"/>
  <c r="AX27" i="16"/>
  <c r="AW27" i="16"/>
  <c r="AV27" i="16"/>
  <c r="AU27" i="16"/>
  <c r="AT27" i="16"/>
  <c r="AS27" i="16"/>
  <c r="BD25" i="16"/>
  <c r="BC25" i="16"/>
  <c r="AZ25" i="16"/>
  <c r="AY25" i="16"/>
  <c r="AX25" i="16"/>
  <c r="AW25" i="16"/>
  <c r="AV25" i="16"/>
  <c r="AU25" i="16"/>
  <c r="AT25" i="16"/>
  <c r="AS25" i="16"/>
  <c r="BD23" i="16"/>
  <c r="BC23" i="16"/>
  <c r="AZ23" i="16"/>
  <c r="AY23" i="16"/>
  <c r="AX23" i="16"/>
  <c r="AW23" i="16"/>
  <c r="AV23" i="16"/>
  <c r="AU23" i="16"/>
  <c r="AT23" i="16"/>
  <c r="AS23" i="16"/>
  <c r="BD21" i="16"/>
  <c r="BC21" i="16"/>
  <c r="AZ21" i="16"/>
  <c r="AY21" i="16"/>
  <c r="AX21" i="16"/>
  <c r="AW21" i="16"/>
  <c r="AV21" i="16"/>
  <c r="AU21" i="16"/>
  <c r="AT21" i="16"/>
  <c r="AS21" i="16"/>
  <c r="BD20" i="16"/>
  <c r="BC20" i="16"/>
  <c r="BA45" i="16"/>
  <c r="AZ20" i="16"/>
  <c r="AY20" i="16"/>
  <c r="AX20" i="16"/>
  <c r="AW20" i="16"/>
  <c r="AV20" i="16"/>
  <c r="AU20" i="16"/>
  <c r="AT20" i="16"/>
  <c r="AT45" i="16" s="1"/>
  <c r="AS20" i="16"/>
  <c r="BD19" i="16"/>
  <c r="BD28" i="16" s="1"/>
  <c r="BC19" i="16"/>
  <c r="BC28" i="16" s="1"/>
  <c r="AZ19" i="16"/>
  <c r="AZ45" i="16" s="1"/>
  <c r="AY19" i="16"/>
  <c r="AY45" i="16" s="1"/>
  <c r="AX19" i="16"/>
  <c r="AW19" i="16"/>
  <c r="AW45" i="16" s="1"/>
  <c r="AV19" i="16"/>
  <c r="AV45" i="16" s="1"/>
  <c r="AU19" i="16"/>
  <c r="AU45" i="16" s="1"/>
  <c r="AT28" i="16"/>
  <c r="AS19" i="16"/>
  <c r="AS45" i="16" s="1"/>
  <c r="AT18" i="16"/>
  <c r="AU18" i="16" s="1"/>
  <c r="AV18" i="16" s="1"/>
  <c r="AW18" i="16" s="1"/>
  <c r="AX18" i="16" s="1"/>
  <c r="AY18" i="16" s="1"/>
  <c r="AZ18" i="16" s="1"/>
  <c r="BA18" i="16" s="1"/>
  <c r="BB18" i="16" s="1"/>
  <c r="BC18" i="16" s="1"/>
  <c r="BD18" i="16" s="1"/>
  <c r="AT3" i="16"/>
  <c r="AU3" i="16" s="1"/>
  <c r="AV3" i="16" s="1"/>
  <c r="AW3" i="16" s="1"/>
  <c r="AX3" i="16" s="1"/>
  <c r="BD48" i="17"/>
  <c r="BA48" i="17"/>
  <c r="AY14" i="17"/>
  <c r="BD14" i="17"/>
  <c r="AS83" i="16"/>
  <c r="AV83" i="16"/>
  <c r="AV14" i="16"/>
  <c r="AY80" i="17"/>
  <c r="AX80" i="17"/>
  <c r="AT14" i="16"/>
  <c r="BD80" i="17"/>
  <c r="BB80" i="17"/>
  <c r="AU83" i="16"/>
  <c r="BB14" i="17"/>
  <c r="AX48" i="17"/>
  <c r="AU80" i="17"/>
  <c r="AX14" i="16"/>
  <c r="AY83" i="16"/>
  <c r="AU50" i="16"/>
  <c r="AZ14" i="17"/>
  <c r="BE14" i="17"/>
  <c r="BC80" i="17"/>
  <c r="AW83" i="16"/>
  <c r="AW14" i="16"/>
  <c r="AT48" i="17"/>
  <c r="AZ80" i="17"/>
  <c r="BB48" i="17"/>
  <c r="AU14" i="17"/>
  <c r="AY48" i="17"/>
  <c r="AW80" i="17"/>
  <c r="BA80" i="17"/>
  <c r="AU14" i="16"/>
  <c r="AS50" i="16"/>
  <c r="AV48" i="17"/>
  <c r="AT50" i="16"/>
  <c r="AW14" i="17"/>
  <c r="AX83" i="16"/>
  <c r="AW48" i="17"/>
  <c r="BA14" i="17"/>
  <c r="BC14" i="17"/>
  <c r="AZ48" i="17"/>
  <c r="AT83" i="16"/>
  <c r="AU48" i="17"/>
  <c r="AT14" i="17"/>
  <c r="AV80" i="17"/>
  <c r="AT80" i="17"/>
  <c r="BE80" i="17"/>
  <c r="BE48" i="17"/>
  <c r="BC48" i="17"/>
  <c r="AV14" i="17"/>
  <c r="AX14" i="17"/>
  <c r="BD14" i="32"/>
  <c r="BB80" i="16" l="1"/>
  <c r="BB28" i="16"/>
  <c r="AW75" i="48"/>
  <c r="AV81" i="48"/>
  <c r="AX80" i="16"/>
  <c r="BB46" i="47"/>
  <c r="BB49" i="47" s="1"/>
  <c r="AU77" i="46"/>
  <c r="AU79" i="46" s="1"/>
  <c r="BE27" i="17"/>
  <c r="AX46" i="44"/>
  <c r="AX49" i="44" s="1"/>
  <c r="AR75" i="43"/>
  <c r="AQ81" i="43"/>
  <c r="AQ47" i="43"/>
  <c r="AY80" i="16"/>
  <c r="AZ78" i="16"/>
  <c r="AV46" i="42"/>
  <c r="AV49" i="42" s="1"/>
  <c r="AN44" i="41"/>
  <c r="AN47" i="41" s="1"/>
  <c r="AO77" i="41"/>
  <c r="AO79" i="41" s="1"/>
  <c r="AY3" i="16"/>
  <c r="AX28" i="16"/>
  <c r="AX45" i="16"/>
  <c r="AL81" i="40"/>
  <c r="AM75" i="40"/>
  <c r="AM49" i="40"/>
  <c r="AN42" i="40"/>
  <c r="AU46" i="39"/>
  <c r="AU49" i="39" s="1"/>
  <c r="BC84" i="39"/>
  <c r="BD79" i="39"/>
  <c r="BD82" i="39" s="1"/>
  <c r="BD84" i="39" s="1"/>
  <c r="AW28" i="16"/>
  <c r="AL75" i="38"/>
  <c r="AK81" i="38"/>
  <c r="AM42" i="38"/>
  <c r="AL49" i="38"/>
  <c r="AZ84" i="37"/>
  <c r="BA79" i="37"/>
  <c r="BA82" i="37" s="1"/>
  <c r="AS46" i="37"/>
  <c r="AS49" i="37" s="1"/>
  <c r="AR51" i="36"/>
  <c r="AS44" i="36"/>
  <c r="AV84" i="36"/>
  <c r="AW79" i="36"/>
  <c r="AW82" i="36" s="1"/>
  <c r="AJ49" i="35"/>
  <c r="AK42" i="35"/>
  <c r="AJ77" i="35"/>
  <c r="AJ79" i="35" s="1"/>
  <c r="BE3" i="32"/>
  <c r="AV42" i="16"/>
  <c r="AR84" i="34"/>
  <c r="AS79" i="34"/>
  <c r="AS82" i="34" s="1"/>
  <c r="AQ46" i="34"/>
  <c r="AQ49" i="34" s="1"/>
  <c r="AI47" i="33"/>
  <c r="AG81" i="33"/>
  <c r="AH75" i="33"/>
  <c r="AT64" i="16"/>
  <c r="AG49" i="32"/>
  <c r="AH42" i="32"/>
  <c r="AF81" i="32"/>
  <c r="AG75" i="32"/>
  <c r="AO15" i="32"/>
  <c r="AP5" i="32"/>
  <c r="AP13" i="32" s="1"/>
  <c r="AN44" i="31"/>
  <c r="AN49" i="31" s="1"/>
  <c r="AM51" i="31"/>
  <c r="AN15" i="31"/>
  <c r="AO5" i="31"/>
  <c r="AO13" i="31" s="1"/>
  <c r="AQ79" i="31"/>
  <c r="AQ82" i="31" s="1"/>
  <c r="AP84" i="31"/>
  <c r="AS28" i="16"/>
  <c r="AS64" i="16"/>
  <c r="BB45" i="16"/>
  <c r="AU64" i="16"/>
  <c r="BD64" i="16"/>
  <c r="AW64" i="16"/>
  <c r="AW80" i="16"/>
  <c r="BC64" i="16"/>
  <c r="AX64" i="16"/>
  <c r="BA80" i="16"/>
  <c r="AZ80" i="16"/>
  <c r="BA64" i="16"/>
  <c r="BB64" i="16"/>
  <c r="AY28" i="16"/>
  <c r="AZ28" i="16"/>
  <c r="AY64" i="16"/>
  <c r="AU28" i="16"/>
  <c r="AV28" i="16"/>
  <c r="AV64" i="16"/>
  <c r="AZ64" i="16"/>
  <c r="AZ83" i="16"/>
  <c r="AV50" i="16"/>
  <c r="AY14" i="16"/>
  <c r="BE14" i="32"/>
  <c r="AW77" i="48" l="1"/>
  <c r="AW79" i="48" s="1"/>
  <c r="BB51" i="47"/>
  <c r="BC44" i="47"/>
  <c r="AU81" i="46"/>
  <c r="AV75" i="46"/>
  <c r="AX51" i="44"/>
  <c r="AY44" i="44"/>
  <c r="AQ49" i="43"/>
  <c r="AR42" i="43"/>
  <c r="AR77" i="43"/>
  <c r="AR79" i="43" s="1"/>
  <c r="BA78" i="16"/>
  <c r="AV51" i="42"/>
  <c r="AW44" i="42"/>
  <c r="AP75" i="41"/>
  <c r="AO81" i="41"/>
  <c r="AN49" i="41"/>
  <c r="AO42" i="41"/>
  <c r="AZ3" i="16"/>
  <c r="AN44" i="40"/>
  <c r="AN47" i="40" s="1"/>
  <c r="AM77" i="40"/>
  <c r="AM79" i="40" s="1"/>
  <c r="AU51" i="39"/>
  <c r="AV44" i="39"/>
  <c r="AM44" i="38"/>
  <c r="AM47" i="38" s="1"/>
  <c r="AL77" i="38"/>
  <c r="AL79" i="38" s="1"/>
  <c r="BA84" i="37"/>
  <c r="BB79" i="37"/>
  <c r="BB82" i="37" s="1"/>
  <c r="AS51" i="37"/>
  <c r="AT44" i="37"/>
  <c r="AS46" i="36"/>
  <c r="AS49" i="36" s="1"/>
  <c r="AX79" i="36"/>
  <c r="AX82" i="36" s="1"/>
  <c r="AW84" i="36"/>
  <c r="AJ81" i="35"/>
  <c r="AK75" i="35"/>
  <c r="AK44" i="35"/>
  <c r="AK47" i="35" s="1"/>
  <c r="AW42" i="16"/>
  <c r="AQ51" i="34"/>
  <c r="AR44" i="34"/>
  <c r="AT79" i="34"/>
  <c r="AT82" i="34" s="1"/>
  <c r="AS84" i="34"/>
  <c r="AJ42" i="33"/>
  <c r="AI49" i="33"/>
  <c r="AH77" i="33"/>
  <c r="AH79" i="33" s="1"/>
  <c r="AG77" i="32"/>
  <c r="D77" i="32" s="1"/>
  <c r="AP15" i="32"/>
  <c r="AQ5" i="32"/>
  <c r="AQ13" i="32" s="1"/>
  <c r="AH44" i="32"/>
  <c r="AO15" i="31"/>
  <c r="AP5" i="31"/>
  <c r="AP13" i="31" s="1"/>
  <c r="AQ84" i="31"/>
  <c r="AR79" i="31"/>
  <c r="AR82" i="31" s="1"/>
  <c r="AN51" i="31"/>
  <c r="AO44" i="31"/>
  <c r="AO49" i="31" s="1"/>
  <c r="AS20" i="17"/>
  <c r="AS19" i="17"/>
  <c r="AR63" i="16"/>
  <c r="AR62" i="16"/>
  <c r="AR61" i="16"/>
  <c r="AR60" i="16"/>
  <c r="AR59" i="16"/>
  <c r="AR58" i="16"/>
  <c r="AR57" i="16"/>
  <c r="AR56" i="16"/>
  <c r="AR55" i="16"/>
  <c r="BA83" i="16"/>
  <c r="AZ14" i="16"/>
  <c r="AW50" i="16"/>
  <c r="AW81" i="48" l="1"/>
  <c r="AX75" i="48"/>
  <c r="BC46" i="47"/>
  <c r="BC49" i="47" s="1"/>
  <c r="AV77" i="46"/>
  <c r="AV79" i="46" s="1"/>
  <c r="AY46" i="44"/>
  <c r="AY49" i="44" s="1"/>
  <c r="AS75" i="43"/>
  <c r="AR81" i="43"/>
  <c r="AR44" i="43"/>
  <c r="AR47" i="43" s="1"/>
  <c r="BB78" i="16"/>
  <c r="AW46" i="42"/>
  <c r="AW49" i="42" s="1"/>
  <c r="AO44" i="41"/>
  <c r="AO47" i="41" s="1"/>
  <c r="AP77" i="41"/>
  <c r="AP79" i="41" s="1"/>
  <c r="BA3" i="16"/>
  <c r="AN49" i="40"/>
  <c r="AO42" i="40"/>
  <c r="AM81" i="40"/>
  <c r="AN75" i="40"/>
  <c r="AV46" i="39"/>
  <c r="AV49" i="39" s="1"/>
  <c r="AM75" i="38"/>
  <c r="AL81" i="38"/>
  <c r="AM49" i="38"/>
  <c r="AN42" i="38"/>
  <c r="AT46" i="37"/>
  <c r="AT49" i="37" s="1"/>
  <c r="BC79" i="37"/>
  <c r="BC82" i="37" s="1"/>
  <c r="BB84" i="37"/>
  <c r="AY79" i="36"/>
  <c r="AY82" i="36" s="1"/>
  <c r="AX84" i="36"/>
  <c r="AS51" i="36"/>
  <c r="AT44" i="36"/>
  <c r="AK77" i="35"/>
  <c r="AK79" i="35" s="1"/>
  <c r="AK49" i="35"/>
  <c r="AL42" i="35"/>
  <c r="AX42" i="16"/>
  <c r="AU79" i="34"/>
  <c r="AU82" i="34" s="1"/>
  <c r="AT84" i="34"/>
  <c r="AR46" i="34"/>
  <c r="C46" i="34" s="1"/>
  <c r="C49" i="34" s="1"/>
  <c r="AH81" i="33"/>
  <c r="AI75" i="33"/>
  <c r="AJ44" i="33"/>
  <c r="AJ47" i="33" s="1"/>
  <c r="AR5" i="32"/>
  <c r="AQ15" i="32"/>
  <c r="AG79" i="32"/>
  <c r="AH47" i="32"/>
  <c r="AS79" i="31"/>
  <c r="AS82" i="31" s="1"/>
  <c r="AR84" i="31"/>
  <c r="AO51" i="31"/>
  <c r="AP44" i="31"/>
  <c r="AP49" i="31" s="1"/>
  <c r="AP15" i="31"/>
  <c r="AQ5" i="31"/>
  <c r="AR45" i="16"/>
  <c r="AR19" i="16"/>
  <c r="AF12" i="16"/>
  <c r="AQ10" i="16" s="1"/>
  <c r="AX50" i="16"/>
  <c r="BA14" i="16"/>
  <c r="BB83" i="16"/>
  <c r="AX77" i="48" l="1"/>
  <c r="AX79" i="48" s="1"/>
  <c r="BC51" i="47"/>
  <c r="BD44" i="47"/>
  <c r="AV81" i="46"/>
  <c r="AW75" i="46"/>
  <c r="BJ42" i="44"/>
  <c r="BK43" i="44"/>
  <c r="BJ43" i="44"/>
  <c r="AY51" i="44"/>
  <c r="AZ44" i="44"/>
  <c r="AR49" i="43"/>
  <c r="AS42" i="43"/>
  <c r="AS77" i="43"/>
  <c r="AS79" i="43" s="1"/>
  <c r="BC78" i="16"/>
  <c r="AX44" i="42"/>
  <c r="AW51" i="42"/>
  <c r="AP81" i="41"/>
  <c r="AQ75" i="41"/>
  <c r="AP42" i="41"/>
  <c r="AO49" i="41"/>
  <c r="BB3" i="16"/>
  <c r="AN77" i="40"/>
  <c r="AN79" i="40" s="1"/>
  <c r="AO44" i="40"/>
  <c r="AO47" i="40" s="1"/>
  <c r="AV51" i="39"/>
  <c r="AW44" i="39"/>
  <c r="AN44" i="38"/>
  <c r="AN47" i="38" s="1"/>
  <c r="AM77" i="38"/>
  <c r="AM79" i="38" s="1"/>
  <c r="AT51" i="37"/>
  <c r="AU44" i="37"/>
  <c r="BD79" i="37"/>
  <c r="BD82" i="37" s="1"/>
  <c r="BD84" i="37" s="1"/>
  <c r="BC84" i="37"/>
  <c r="AT46" i="36"/>
  <c r="AT49" i="36" s="1"/>
  <c r="AY84" i="36"/>
  <c r="AZ79" i="36"/>
  <c r="AZ82" i="36" s="1"/>
  <c r="AL75" i="35"/>
  <c r="AK81" i="35"/>
  <c r="AL44" i="35"/>
  <c r="AL47" i="35" s="1"/>
  <c r="AY42" i="16"/>
  <c r="AU84" i="34"/>
  <c r="AV79" i="34"/>
  <c r="AV82" i="34" s="1"/>
  <c r="AR49" i="34"/>
  <c r="AI77" i="33"/>
  <c r="AI79" i="33" s="1"/>
  <c r="AJ49" i="33"/>
  <c r="AK42" i="33"/>
  <c r="AI42" i="32"/>
  <c r="AH49" i="32"/>
  <c r="AH75" i="32"/>
  <c r="AG81" i="32"/>
  <c r="AP51" i="31"/>
  <c r="AQ44" i="31"/>
  <c r="AT79" i="31"/>
  <c r="AT82" i="31" s="1"/>
  <c r="AS84" i="31"/>
  <c r="AF28" i="16"/>
  <c r="AF64" i="16"/>
  <c r="BB14" i="16"/>
  <c r="AY50" i="16"/>
  <c r="BC83" i="16"/>
  <c r="AX81" i="48" l="1"/>
  <c r="AY75" i="48"/>
  <c r="BD46" i="47"/>
  <c r="BK47" i="47" s="1"/>
  <c r="AW77" i="46"/>
  <c r="AW79" i="46" s="1"/>
  <c r="AZ46" i="44"/>
  <c r="AZ49" i="44" s="1"/>
  <c r="BK47" i="44"/>
  <c r="AS44" i="43"/>
  <c r="D44" i="43" s="1"/>
  <c r="AT75" i="43"/>
  <c r="AS81" i="43"/>
  <c r="BD78" i="16"/>
  <c r="AX46" i="42"/>
  <c r="AQ77" i="41"/>
  <c r="AQ79" i="41" s="1"/>
  <c r="AP44" i="41"/>
  <c r="AP47" i="41" s="1"/>
  <c r="BC3" i="16"/>
  <c r="AN81" i="40"/>
  <c r="AO75" i="40"/>
  <c r="AP42" i="40"/>
  <c r="AO49" i="40"/>
  <c r="AW46" i="39"/>
  <c r="AW49" i="39" s="1"/>
  <c r="AM81" i="38"/>
  <c r="AN75" i="38"/>
  <c r="AN49" i="38"/>
  <c r="AO42" i="38"/>
  <c r="AU46" i="37"/>
  <c r="AU49" i="37" s="1"/>
  <c r="AU44" i="36"/>
  <c r="AT51" i="36"/>
  <c r="AZ84" i="36"/>
  <c r="BA79" i="36"/>
  <c r="BA82" i="36" s="1"/>
  <c r="AL49" i="35"/>
  <c r="AM42" i="35"/>
  <c r="AL77" i="35"/>
  <c r="AL79" i="35" s="1"/>
  <c r="AZ42" i="16"/>
  <c r="AV84" i="34"/>
  <c r="AW79" i="34"/>
  <c r="AW82" i="34" s="1"/>
  <c r="AR51" i="34"/>
  <c r="AS44" i="34"/>
  <c r="AJ75" i="33"/>
  <c r="AI81" i="33"/>
  <c r="AK44" i="33"/>
  <c r="AK47" i="33" s="1"/>
  <c r="AH77" i="32"/>
  <c r="AH79" i="32" s="1"/>
  <c r="AI44" i="32"/>
  <c r="AQ46" i="31"/>
  <c r="AU79" i="31"/>
  <c r="AU82" i="31" s="1"/>
  <c r="AT84" i="31"/>
  <c r="C5" i="29"/>
  <c r="C9" i="29"/>
  <c r="C15" i="29"/>
  <c r="C12" i="29"/>
  <c r="C18" i="29"/>
  <c r="C21" i="29"/>
  <c r="C6" i="29"/>
  <c r="C10" i="29"/>
  <c r="C8" i="29"/>
  <c r="C53" i="29"/>
  <c r="BC14" i="16"/>
  <c r="AZ50" i="16"/>
  <c r="BD83" i="16"/>
  <c r="AY77" i="48" l="1"/>
  <c r="AY79" i="48" s="1"/>
  <c r="BD49" i="47"/>
  <c r="BD51" i="47" s="1"/>
  <c r="AX75" i="46"/>
  <c r="AW81" i="46"/>
  <c r="AZ51" i="44"/>
  <c r="BA44" i="44"/>
  <c r="AS47" i="43"/>
  <c r="AT77" i="43"/>
  <c r="AT79" i="43" s="1"/>
  <c r="BJ43" i="42"/>
  <c r="BJ42" i="42"/>
  <c r="BK43" i="42"/>
  <c r="AX49" i="42"/>
  <c r="AP49" i="41"/>
  <c r="AQ42" i="41"/>
  <c r="AQ81" i="41"/>
  <c r="AR75" i="41"/>
  <c r="BD3" i="16"/>
  <c r="AO77" i="40"/>
  <c r="AO79" i="40" s="1"/>
  <c r="AP44" i="40"/>
  <c r="AP47" i="40" s="1"/>
  <c r="AW51" i="39"/>
  <c r="AX44" i="39"/>
  <c r="BJ42" i="39"/>
  <c r="BJ43" i="39"/>
  <c r="BK43" i="39"/>
  <c r="AO44" i="38"/>
  <c r="AO47" i="38" s="1"/>
  <c r="AN77" i="38"/>
  <c r="AN79" i="38" s="1"/>
  <c r="AU51" i="37"/>
  <c r="AV44" i="37"/>
  <c r="AU46" i="36"/>
  <c r="AU49" i="36" s="1"/>
  <c r="BB79" i="36"/>
  <c r="BB82" i="36" s="1"/>
  <c r="BA84" i="36"/>
  <c r="AM44" i="35"/>
  <c r="AM47" i="35" s="1"/>
  <c r="AL81" i="35"/>
  <c r="AM75" i="35"/>
  <c r="BA42" i="16"/>
  <c r="AX79" i="34"/>
  <c r="AX82" i="34" s="1"/>
  <c r="AW84" i="34"/>
  <c r="AS46" i="34"/>
  <c r="AS49" i="34" s="1"/>
  <c r="AK49" i="33"/>
  <c r="AL42" i="33"/>
  <c r="AJ77" i="33"/>
  <c r="AJ79" i="33" s="1"/>
  <c r="AH81" i="32"/>
  <c r="AI75" i="32"/>
  <c r="AI47" i="32"/>
  <c r="AU84" i="31"/>
  <c r="AV79" i="31"/>
  <c r="AV82" i="31" s="1"/>
  <c r="AQ49" i="31"/>
  <c r="C33" i="29"/>
  <c r="C52" i="29" s="1"/>
  <c r="C31" i="29"/>
  <c r="BA50" i="16"/>
  <c r="BD14" i="16"/>
  <c r="AZ75" i="48" l="1"/>
  <c r="AY81" i="48"/>
  <c r="AX77" i="46"/>
  <c r="AX79" i="46" s="1"/>
  <c r="BA46" i="44"/>
  <c r="BA49" i="44" s="1"/>
  <c r="AT81" i="43"/>
  <c r="AU75" i="43"/>
  <c r="AT42" i="43"/>
  <c r="AS49" i="43"/>
  <c r="AX51" i="42"/>
  <c r="AY44" i="42"/>
  <c r="BK47" i="42"/>
  <c r="AQ44" i="41"/>
  <c r="E44" i="41" s="1"/>
  <c r="AR77" i="41"/>
  <c r="AR79" i="41" s="1"/>
  <c r="AP75" i="40"/>
  <c r="AO81" i="40"/>
  <c r="AQ42" i="40"/>
  <c r="AP49" i="40"/>
  <c r="BK47" i="39"/>
  <c r="AX46" i="39"/>
  <c r="AX49" i="39" s="1"/>
  <c r="AN81" i="38"/>
  <c r="AO75" i="38"/>
  <c r="AP42" i="38"/>
  <c r="AO49" i="38"/>
  <c r="AV46" i="37"/>
  <c r="AV49" i="37" s="1"/>
  <c r="AU51" i="36"/>
  <c r="AV44" i="36"/>
  <c r="BC79" i="36"/>
  <c r="BC82" i="36" s="1"/>
  <c r="BB84" i="36"/>
  <c r="BJ42" i="36"/>
  <c r="BK43" i="36"/>
  <c r="BJ43" i="36"/>
  <c r="AM49" i="35"/>
  <c r="AN42" i="35"/>
  <c r="AM77" i="35"/>
  <c r="AM79" i="35" s="1"/>
  <c r="BB42" i="16"/>
  <c r="AS51" i="34"/>
  <c r="AT44" i="34"/>
  <c r="AY79" i="34"/>
  <c r="AY82" i="34" s="1"/>
  <c r="AX84" i="34"/>
  <c r="AK75" i="33"/>
  <c r="AJ81" i="33"/>
  <c r="AL44" i="33"/>
  <c r="AL47" i="33" s="1"/>
  <c r="AI49" i="32"/>
  <c r="AJ42" i="32"/>
  <c r="AI77" i="32"/>
  <c r="AI79" i="32" s="1"/>
  <c r="AQ51" i="31"/>
  <c r="AR44" i="31"/>
  <c r="AV84" i="31"/>
  <c r="AW79" i="31"/>
  <c r="AW82" i="31" s="1"/>
  <c r="C44" i="29"/>
  <c r="AS58" i="17"/>
  <c r="BB50" i="16"/>
  <c r="AZ77" i="48" l="1"/>
  <c r="AZ79" i="48" s="1"/>
  <c r="AX81" i="46"/>
  <c r="AY75" i="46"/>
  <c r="BA51" i="44"/>
  <c r="BB44" i="44"/>
  <c r="AU77" i="43"/>
  <c r="AU79" i="43" s="1"/>
  <c r="AT44" i="43"/>
  <c r="AT47" i="43" s="1"/>
  <c r="AY46" i="42"/>
  <c r="AY49" i="42" s="1"/>
  <c r="AS75" i="41"/>
  <c r="AR81" i="41"/>
  <c r="AQ47" i="41"/>
  <c r="AQ44" i="40"/>
  <c r="E44" i="40" s="1"/>
  <c r="AP77" i="40"/>
  <c r="AP79" i="40"/>
  <c r="AX51" i="39"/>
  <c r="AY44" i="39"/>
  <c r="AO77" i="38"/>
  <c r="AO79" i="38" s="1"/>
  <c r="AP44" i="38"/>
  <c r="AP47" i="38" s="1"/>
  <c r="AW44" i="37"/>
  <c r="AV51" i="37"/>
  <c r="BK43" i="37"/>
  <c r="BJ43" i="37"/>
  <c r="AV46" i="36"/>
  <c r="AV49" i="36" s="1"/>
  <c r="BK47" i="36"/>
  <c r="BC84" i="36"/>
  <c r="BD79" i="36"/>
  <c r="BD82" i="36" s="1"/>
  <c r="BD84" i="36" s="1"/>
  <c r="AN75" i="35"/>
  <c r="AM81" i="35"/>
  <c r="AN44" i="35"/>
  <c r="AN47" i="35" s="1"/>
  <c r="BC42" i="16"/>
  <c r="AT46" i="34"/>
  <c r="AY84" i="34"/>
  <c r="AZ79" i="34"/>
  <c r="AZ82" i="34" s="1"/>
  <c r="AL49" i="33"/>
  <c r="AM42" i="33"/>
  <c r="AK77" i="33"/>
  <c r="AK79" i="33" s="1"/>
  <c r="AI81" i="32"/>
  <c r="AJ75" i="32"/>
  <c r="AJ44" i="32"/>
  <c r="AX79" i="31"/>
  <c r="AX82" i="31" s="1"/>
  <c r="AW84" i="31"/>
  <c r="AR46" i="31"/>
  <c r="C46" i="31" s="1"/>
  <c r="C49" i="31" s="1"/>
  <c r="AR27" i="16"/>
  <c r="AR25" i="16"/>
  <c r="AR23" i="16"/>
  <c r="AR21" i="16"/>
  <c r="AR20" i="16"/>
  <c r="BC50" i="16"/>
  <c r="BA75" i="48" l="1"/>
  <c r="AZ81" i="48"/>
  <c r="AY77" i="46"/>
  <c r="AY79" i="46"/>
  <c r="BB46" i="44"/>
  <c r="BB49" i="44" s="1"/>
  <c r="AU81" i="43"/>
  <c r="AV75" i="43"/>
  <c r="AT49" i="43"/>
  <c r="AU42" i="43"/>
  <c r="AY51" i="42"/>
  <c r="AZ44" i="42"/>
  <c r="AQ49" i="41"/>
  <c r="AR42" i="41"/>
  <c r="AS77" i="41"/>
  <c r="AS79" i="41" s="1"/>
  <c r="AP81" i="40"/>
  <c r="AQ75" i="40"/>
  <c r="AQ47" i="40"/>
  <c r="AY46" i="39"/>
  <c r="AY49" i="39" s="1"/>
  <c r="AQ42" i="38"/>
  <c r="AP49" i="38"/>
  <c r="AP75" i="38"/>
  <c r="AO81" i="38"/>
  <c r="AW46" i="37"/>
  <c r="AW49" i="37" s="1"/>
  <c r="AW44" i="36"/>
  <c r="AV51" i="36"/>
  <c r="AO42" i="35"/>
  <c r="AN49" i="35"/>
  <c r="AN77" i="35"/>
  <c r="AN79" i="35" s="1"/>
  <c r="BD42" i="16"/>
  <c r="BJ42" i="34"/>
  <c r="BK43" i="34"/>
  <c r="BJ43" i="34"/>
  <c r="AT49" i="34"/>
  <c r="AZ84" i="34"/>
  <c r="BA79" i="34"/>
  <c r="BA82" i="34" s="1"/>
  <c r="AK81" i="33"/>
  <c r="AL75" i="33"/>
  <c r="AM44" i="33"/>
  <c r="AM47" i="33" s="1"/>
  <c r="AJ47" i="32"/>
  <c r="AJ77" i="32"/>
  <c r="AJ79" i="32" s="1"/>
  <c r="AR49" i="31"/>
  <c r="AY79" i="31"/>
  <c r="AY82" i="31" s="1"/>
  <c r="AX84" i="31"/>
  <c r="AQ56" i="16"/>
  <c r="AQ57" i="16"/>
  <c r="AQ58" i="16"/>
  <c r="AQ59" i="16"/>
  <c r="AQ60" i="16"/>
  <c r="AQ61" i="16"/>
  <c r="AQ62" i="16"/>
  <c r="AQ63" i="16"/>
  <c r="AQ55" i="16"/>
  <c r="K38" i="28"/>
  <c r="BD50" i="16"/>
  <c r="BD54" i="48" l="1"/>
  <c r="AR54" i="48"/>
  <c r="BA77" i="48"/>
  <c r="BA79" i="48" s="1"/>
  <c r="BD54" i="46"/>
  <c r="AR54" i="46"/>
  <c r="AY81" i="46"/>
  <c r="AZ75" i="46"/>
  <c r="BD54" i="43"/>
  <c r="AR54" i="43"/>
  <c r="BB51" i="44"/>
  <c r="BC44" i="44"/>
  <c r="AV77" i="43"/>
  <c r="AV79" i="43" s="1"/>
  <c r="BD54" i="41"/>
  <c r="AR54" i="41"/>
  <c r="AZ46" i="42"/>
  <c r="AZ49" i="42" s="1"/>
  <c r="AT75" i="41"/>
  <c r="AS81" i="41"/>
  <c r="AR44" i="41"/>
  <c r="AR47" i="41" s="1"/>
  <c r="BD54" i="40"/>
  <c r="AR54" i="40"/>
  <c r="AQ49" i="40"/>
  <c r="AR42" i="40"/>
  <c r="AQ77" i="40"/>
  <c r="AQ79" i="40" s="1"/>
  <c r="AZ44" i="39"/>
  <c r="AY51" i="39"/>
  <c r="BD54" i="38"/>
  <c r="AR54" i="38"/>
  <c r="AP77" i="38"/>
  <c r="AP79" i="38" s="1"/>
  <c r="AQ44" i="38"/>
  <c r="E44" i="38" s="1"/>
  <c r="AW51" i="37"/>
  <c r="AX44" i="37"/>
  <c r="BD54" i="35"/>
  <c r="AR54" i="35"/>
  <c r="AW46" i="36"/>
  <c r="AW49" i="36" s="1"/>
  <c r="AN81" i="35"/>
  <c r="AO75" i="35"/>
  <c r="AO44" i="35"/>
  <c r="AO47" i="35" s="1"/>
  <c r="BD54" i="33"/>
  <c r="AR54" i="33"/>
  <c r="BB79" i="34"/>
  <c r="BB82" i="34" s="1"/>
  <c r="BA84" i="34"/>
  <c r="AU44" i="34"/>
  <c r="AT51" i="34"/>
  <c r="BK47" i="34"/>
  <c r="AL77" i="33"/>
  <c r="AL79" i="33" s="1"/>
  <c r="AN42" i="33"/>
  <c r="AM49" i="33"/>
  <c r="BD54" i="17"/>
  <c r="BD54" i="32"/>
  <c r="AR54" i="32"/>
  <c r="AJ81" i="32"/>
  <c r="AK75" i="32"/>
  <c r="AJ49" i="32"/>
  <c r="AK42" i="32"/>
  <c r="AY84" i="31"/>
  <c r="AZ79" i="31"/>
  <c r="AZ82" i="31" s="1"/>
  <c r="AR51" i="31"/>
  <c r="AS44" i="31"/>
  <c r="C4" i="28"/>
  <c r="BB75" i="48" l="1"/>
  <c r="BA81" i="48"/>
  <c r="AZ77" i="46"/>
  <c r="AZ79" i="46" s="1"/>
  <c r="BC46" i="44"/>
  <c r="BC49" i="44" s="1"/>
  <c r="AW75" i="43"/>
  <c r="AV81" i="43"/>
  <c r="AQ47" i="38"/>
  <c r="AZ51" i="42"/>
  <c r="BA44" i="42"/>
  <c r="AR49" i="41"/>
  <c r="AS42" i="41"/>
  <c r="AT77" i="41"/>
  <c r="AT79" i="41" s="1"/>
  <c r="AQ81" i="40"/>
  <c r="AR75" i="40"/>
  <c r="AR44" i="40"/>
  <c r="AR47" i="40" s="1"/>
  <c r="AZ46" i="39"/>
  <c r="AZ49" i="39" s="1"/>
  <c r="AQ75" i="38"/>
  <c r="AP81" i="38"/>
  <c r="AQ49" i="38"/>
  <c r="AR42" i="38"/>
  <c r="AX46" i="37"/>
  <c r="AX49" i="37" s="1"/>
  <c r="AW51" i="36"/>
  <c r="AX44" i="36"/>
  <c r="AO49" i="35"/>
  <c r="AP42" i="35"/>
  <c r="AO77" i="35"/>
  <c r="AO79" i="35" s="1"/>
  <c r="BC79" i="34"/>
  <c r="BC82" i="34" s="1"/>
  <c r="BB84" i="34"/>
  <c r="AU46" i="34"/>
  <c r="AU49" i="34" s="1"/>
  <c r="AL81" i="33"/>
  <c r="AM75" i="33"/>
  <c r="AN44" i="33"/>
  <c r="AN47" i="33" s="1"/>
  <c r="AK44" i="32"/>
  <c r="AK47" i="32" s="1"/>
  <c r="AK77" i="32"/>
  <c r="AK79" i="32" s="1"/>
  <c r="AS46" i="31"/>
  <c r="BA79" i="31"/>
  <c r="BA82" i="31" s="1"/>
  <c r="AZ84" i="31"/>
  <c r="G37" i="28"/>
  <c r="C6" i="28"/>
  <c r="C12" i="28"/>
  <c r="C53" i="28"/>
  <c r="C44" i="28"/>
  <c r="BB77" i="48" l="1"/>
  <c r="BB79" i="48" s="1"/>
  <c r="BA75" i="46"/>
  <c r="AZ81" i="46"/>
  <c r="BC51" i="44"/>
  <c r="BD44" i="44"/>
  <c r="AW77" i="43"/>
  <c r="AW79" i="43" s="1"/>
  <c r="BA46" i="42"/>
  <c r="BA49" i="42" s="1"/>
  <c r="AT81" i="41"/>
  <c r="AU75" i="41"/>
  <c r="AS44" i="41"/>
  <c r="D44" i="41" s="1"/>
  <c r="AR49" i="40"/>
  <c r="AS42" i="40"/>
  <c r="AR77" i="40"/>
  <c r="AR79" i="40" s="1"/>
  <c r="AZ51" i="39"/>
  <c r="BA44" i="39"/>
  <c r="AR44" i="38"/>
  <c r="AR47" i="38" s="1"/>
  <c r="AQ77" i="38"/>
  <c r="AQ79" i="38" s="1"/>
  <c r="AY44" i="37"/>
  <c r="AX51" i="37"/>
  <c r="AX46" i="36"/>
  <c r="AX49" i="36" s="1"/>
  <c r="AP44" i="35"/>
  <c r="AP47" i="35" s="1"/>
  <c r="AP75" i="35"/>
  <c r="AO81" i="35"/>
  <c r="AU51" i="34"/>
  <c r="AV44" i="34"/>
  <c r="BC84" i="34"/>
  <c r="BD79" i="34"/>
  <c r="BD82" i="34" s="1"/>
  <c r="BD84" i="34" s="1"/>
  <c r="AN49" i="33"/>
  <c r="AO42" i="33"/>
  <c r="AM77" i="33"/>
  <c r="AM79" i="33" s="1"/>
  <c r="AK49" i="32"/>
  <c r="AL42" i="32"/>
  <c r="AL75" i="32"/>
  <c r="AK81" i="32"/>
  <c r="BJ42" i="31"/>
  <c r="BJ43" i="31"/>
  <c r="BK43" i="31"/>
  <c r="AS49" i="31"/>
  <c r="BB79" i="31"/>
  <c r="BB82" i="31" s="1"/>
  <c r="BA84" i="31"/>
  <c r="C18" i="28"/>
  <c r="C15" i="28"/>
  <c r="C9" i="28"/>
  <c r="C8" i="28"/>
  <c r="C5" i="28"/>
  <c r="BK77" i="48" l="1"/>
  <c r="BL77" i="48"/>
  <c r="BL75" i="48"/>
  <c r="BK76" i="48"/>
  <c r="BB81" i="48"/>
  <c r="BC75" i="48"/>
  <c r="BA77" i="46"/>
  <c r="BA79" i="46" s="1"/>
  <c r="BD46" i="44"/>
  <c r="BD49" i="44" s="1"/>
  <c r="BD51" i="44" s="1"/>
  <c r="AX75" i="43"/>
  <c r="AW81" i="43"/>
  <c r="BA51" i="42"/>
  <c r="BB44" i="42"/>
  <c r="AU77" i="41"/>
  <c r="AU79" i="41" s="1"/>
  <c r="AS47" i="41"/>
  <c r="AS44" i="40"/>
  <c r="D44" i="40" s="1"/>
  <c r="AS75" i="40"/>
  <c r="AR81" i="40"/>
  <c r="BA46" i="39"/>
  <c r="BA49" i="39" s="1"/>
  <c r="AQ81" i="38"/>
  <c r="AR75" i="38"/>
  <c r="AR49" i="38"/>
  <c r="AS42" i="38"/>
  <c r="AY46" i="37"/>
  <c r="AY49" i="37" s="1"/>
  <c r="AX51" i="36"/>
  <c r="AY44" i="36"/>
  <c r="AP49" i="35"/>
  <c r="AQ42" i="35"/>
  <c r="AP77" i="35"/>
  <c r="AP79" i="35" s="1"/>
  <c r="AV46" i="34"/>
  <c r="AV49" i="34" s="1"/>
  <c r="AN75" i="33"/>
  <c r="AM81" i="33"/>
  <c r="AO44" i="33"/>
  <c r="AO47" i="33" s="1"/>
  <c r="AL77" i="32"/>
  <c r="AL79" i="32" s="1"/>
  <c r="AL44" i="32"/>
  <c r="AL47" i="32" s="1"/>
  <c r="AS51" i="31"/>
  <c r="AT44" i="31"/>
  <c r="BC79" i="31"/>
  <c r="BC82" i="31" s="1"/>
  <c r="BB84" i="31"/>
  <c r="BK47" i="31"/>
  <c r="AR58" i="17"/>
  <c r="BL81" i="48" l="1"/>
  <c r="BC77" i="48"/>
  <c r="BC79" i="48" s="1"/>
  <c r="BL75" i="46"/>
  <c r="BK76" i="46"/>
  <c r="BK77" i="46"/>
  <c r="BL77" i="46"/>
  <c r="BB75" i="46"/>
  <c r="BA81" i="46"/>
  <c r="AX77" i="43"/>
  <c r="AX79" i="43" s="1"/>
  <c r="BB46" i="42"/>
  <c r="BB49" i="42" s="1"/>
  <c r="AU81" i="41"/>
  <c r="AV75" i="41"/>
  <c r="AS49" i="41"/>
  <c r="AT42" i="41"/>
  <c r="AS77" i="40"/>
  <c r="AS79" i="40" s="1"/>
  <c r="AS47" i="40"/>
  <c r="BB44" i="39"/>
  <c r="BA51" i="39"/>
  <c r="AS44" i="38"/>
  <c r="D44" i="38" s="1"/>
  <c r="AR77" i="38"/>
  <c r="AR79" i="38" s="1"/>
  <c r="AY51" i="37"/>
  <c r="AZ44" i="37"/>
  <c r="AY46" i="36"/>
  <c r="AY49" i="36" s="1"/>
  <c r="AQ44" i="35"/>
  <c r="E44" i="35" s="1"/>
  <c r="AP81" i="35"/>
  <c r="AQ75" i="35"/>
  <c r="AV51" i="34"/>
  <c r="AW44" i="34"/>
  <c r="AO49" i="33"/>
  <c r="AP42" i="33"/>
  <c r="AN77" i="33"/>
  <c r="AN79" i="33" s="1"/>
  <c r="AM42" i="32"/>
  <c r="AL49" i="32"/>
  <c r="AL81" i="32"/>
  <c r="AM75" i="32"/>
  <c r="BC84" i="31"/>
  <c r="BD79" i="31"/>
  <c r="BD82" i="31" s="1"/>
  <c r="BD84" i="31" s="1"/>
  <c r="AT46" i="31"/>
  <c r="AT49" i="31" s="1"/>
  <c r="M43" i="28"/>
  <c r="I45" i="28"/>
  <c r="I32" i="28"/>
  <c r="AQ27" i="16"/>
  <c r="AQ25" i="16"/>
  <c r="AQ23" i="16"/>
  <c r="AQ21" i="16"/>
  <c r="AQ20" i="16"/>
  <c r="AQ19" i="16"/>
  <c r="BD75" i="48" l="1"/>
  <c r="BC81" i="48"/>
  <c r="BL81" i="46"/>
  <c r="BB77" i="46"/>
  <c r="BB79" i="46" s="1"/>
  <c r="AX81" i="43"/>
  <c r="AY75" i="43"/>
  <c r="BB51" i="42"/>
  <c r="BC44" i="42"/>
  <c r="AV77" i="41"/>
  <c r="AV79" i="41" s="1"/>
  <c r="AT44" i="41"/>
  <c r="AT47" i="41" s="1"/>
  <c r="AT75" i="40"/>
  <c r="AS81" i="40"/>
  <c r="AS49" i="40"/>
  <c r="AT42" i="40"/>
  <c r="BB46" i="39"/>
  <c r="BB49" i="39" s="1"/>
  <c r="AR81" i="38"/>
  <c r="AS75" i="38"/>
  <c r="AS47" i="38"/>
  <c r="AZ46" i="37"/>
  <c r="AZ49" i="37" s="1"/>
  <c r="AQ47" i="35"/>
  <c r="AQ49" i="35" s="1"/>
  <c r="AY51" i="36"/>
  <c r="AZ44" i="36"/>
  <c r="AQ77" i="35"/>
  <c r="AQ79" i="35" s="1"/>
  <c r="AW46" i="34"/>
  <c r="AW49" i="34" s="1"/>
  <c r="AO75" i="33"/>
  <c r="AN81" i="33"/>
  <c r="AP44" i="33"/>
  <c r="AP47" i="33" s="1"/>
  <c r="AM77" i="32"/>
  <c r="AM79" i="32" s="1"/>
  <c r="AM44" i="32"/>
  <c r="AM47" i="32" s="1"/>
  <c r="AU44" i="31"/>
  <c r="AT51" i="31"/>
  <c r="N43" i="28"/>
  <c r="H53" i="28"/>
  <c r="K36" i="27"/>
  <c r="BC52" i="48" l="1"/>
  <c r="BC19" i="48"/>
  <c r="BD77" i="48"/>
  <c r="BD79" i="48" s="1"/>
  <c r="AR42" i="35"/>
  <c r="BC52" i="46"/>
  <c r="BC19" i="46"/>
  <c r="BB81" i="46"/>
  <c r="BC75" i="46"/>
  <c r="BC52" i="43"/>
  <c r="BC19" i="43"/>
  <c r="AY77" i="43"/>
  <c r="AY79" i="43" s="1"/>
  <c r="BC52" i="41"/>
  <c r="BC19" i="41"/>
  <c r="BC46" i="42"/>
  <c r="BC49" i="42" s="1"/>
  <c r="AW75" i="41"/>
  <c r="AV81" i="41"/>
  <c r="AT49" i="41"/>
  <c r="AU42" i="41"/>
  <c r="BC52" i="40"/>
  <c r="BC19" i="40"/>
  <c r="AT44" i="40"/>
  <c r="AT47" i="40" s="1"/>
  <c r="AT77" i="40"/>
  <c r="AT79" i="40" s="1"/>
  <c r="BB51" i="39"/>
  <c r="BC44" i="39"/>
  <c r="BC52" i="38"/>
  <c r="BC19" i="38"/>
  <c r="AS49" i="38"/>
  <c r="AT42" i="38"/>
  <c r="AS77" i="38"/>
  <c r="AS79" i="38" s="1"/>
  <c r="AZ51" i="37"/>
  <c r="BA44" i="37"/>
  <c r="BC52" i="35"/>
  <c r="BC19" i="35"/>
  <c r="AZ46" i="36"/>
  <c r="AZ49" i="36" s="1"/>
  <c r="AR75" i="35"/>
  <c r="AQ81" i="35"/>
  <c r="AR44" i="35"/>
  <c r="AR47" i="35" s="1"/>
  <c r="BC52" i="33"/>
  <c r="BC19" i="33"/>
  <c r="AX44" i="34"/>
  <c r="AW51" i="34"/>
  <c r="AP49" i="33"/>
  <c r="AQ42" i="33"/>
  <c r="AO77" i="33"/>
  <c r="AO79" i="33" s="1"/>
  <c r="BC19" i="32"/>
  <c r="AM49" i="32"/>
  <c r="AN42" i="32"/>
  <c r="AM81" i="32"/>
  <c r="AN75" i="32"/>
  <c r="AU46" i="31"/>
  <c r="AU49" i="31" s="1"/>
  <c r="BC19" i="17"/>
  <c r="BC52" i="17"/>
  <c r="AP19" i="16"/>
  <c r="BE75" i="48" l="1"/>
  <c r="BD81" i="48"/>
  <c r="BC77" i="46"/>
  <c r="BC79" i="46" s="1"/>
  <c r="AZ75" i="43"/>
  <c r="AY81" i="43"/>
  <c r="BC51" i="42"/>
  <c r="BD44" i="42"/>
  <c r="AW77" i="41"/>
  <c r="AW79" i="41" s="1"/>
  <c r="AT81" i="40"/>
  <c r="AU75" i="40"/>
  <c r="AU42" i="40"/>
  <c r="AT49" i="40"/>
  <c r="BC46" i="39"/>
  <c r="BC49" i="39" s="1"/>
  <c r="AT75" i="38"/>
  <c r="AS81" i="38"/>
  <c r="AT44" i="38"/>
  <c r="AT47" i="38" s="1"/>
  <c r="BA46" i="37"/>
  <c r="BA49" i="37" s="1"/>
  <c r="BA44" i="36"/>
  <c r="AZ51" i="36"/>
  <c r="AR49" i="35"/>
  <c r="AS42" i="35"/>
  <c r="AR77" i="35"/>
  <c r="AR79" i="35" s="1"/>
  <c r="AX46" i="34"/>
  <c r="AX49" i="34" s="1"/>
  <c r="AO81" i="33"/>
  <c r="AP75" i="33"/>
  <c r="AQ44" i="33"/>
  <c r="E44" i="33" s="1"/>
  <c r="AN77" i="32"/>
  <c r="AN79" i="32" s="1"/>
  <c r="AN44" i="32"/>
  <c r="AN47" i="32" s="1"/>
  <c r="AV44" i="31"/>
  <c r="AU51" i="31"/>
  <c r="BE77" i="48" l="1"/>
  <c r="BE79" i="48" s="1"/>
  <c r="BE81" i="48" s="1"/>
  <c r="BC81" i="46"/>
  <c r="BD75" i="46"/>
  <c r="AZ77" i="43"/>
  <c r="AZ79" i="43" s="1"/>
  <c r="BD46" i="42"/>
  <c r="BD49" i="42" s="1"/>
  <c r="BD51" i="42" s="1"/>
  <c r="AX75" i="41"/>
  <c r="AW81" i="41"/>
  <c r="AU77" i="40"/>
  <c r="AU79" i="40" s="1"/>
  <c r="BC51" i="39"/>
  <c r="BD44" i="39"/>
  <c r="AU42" i="38"/>
  <c r="AT49" i="38"/>
  <c r="AT77" i="38"/>
  <c r="AT79" i="38" s="1"/>
  <c r="BA51" i="37"/>
  <c r="BB44" i="37"/>
  <c r="BA46" i="36"/>
  <c r="BA49" i="36" s="1"/>
  <c r="AR81" i="35"/>
  <c r="AS75" i="35"/>
  <c r="AS44" i="35"/>
  <c r="D44" i="35" s="1"/>
  <c r="AX51" i="34"/>
  <c r="AY44" i="34"/>
  <c r="AP77" i="33"/>
  <c r="AP79" i="33" s="1"/>
  <c r="AQ47" i="33"/>
  <c r="AO42" i="32"/>
  <c r="AN49" i="32"/>
  <c r="AN81" i="32"/>
  <c r="AO75" i="32"/>
  <c r="AV46" i="31"/>
  <c r="AV49" i="31" s="1"/>
  <c r="BD77" i="46" l="1"/>
  <c r="BD79" i="46" s="1"/>
  <c r="BA75" i="43"/>
  <c r="AZ81" i="43"/>
  <c r="BL75" i="43"/>
  <c r="BL77" i="43"/>
  <c r="BK77" i="43"/>
  <c r="BK76" i="43"/>
  <c r="AX77" i="41"/>
  <c r="AX79" i="41" s="1"/>
  <c r="AU81" i="40"/>
  <c r="AV75" i="40"/>
  <c r="BD46" i="39"/>
  <c r="BD49" i="39" s="1"/>
  <c r="BD51" i="39" s="1"/>
  <c r="AU75" i="38"/>
  <c r="AT81" i="38"/>
  <c r="BB46" i="37"/>
  <c r="BB49" i="37" s="1"/>
  <c r="AS47" i="35"/>
  <c r="AS49" i="35" s="1"/>
  <c r="BB44" i="36"/>
  <c r="BA51" i="36"/>
  <c r="AS77" i="35"/>
  <c r="AS79" i="35" s="1"/>
  <c r="AY46" i="34"/>
  <c r="AY49" i="34" s="1"/>
  <c r="AQ75" i="33"/>
  <c r="AP81" i="33"/>
  <c r="AR42" i="33"/>
  <c r="AQ49" i="33"/>
  <c r="AO77" i="32"/>
  <c r="AO79" i="32" s="1"/>
  <c r="AO44" i="32"/>
  <c r="AO47" i="32" s="1"/>
  <c r="AV51" i="31"/>
  <c r="AW44" i="31"/>
  <c r="BD81" i="46" l="1"/>
  <c r="BE75" i="46"/>
  <c r="AT42" i="35"/>
  <c r="BL81" i="43"/>
  <c r="BA77" i="43"/>
  <c r="BA79" i="43" s="1"/>
  <c r="AX81" i="41"/>
  <c r="AY75" i="41"/>
  <c r="AV77" i="40"/>
  <c r="AV79" i="40" s="1"/>
  <c r="AU77" i="38"/>
  <c r="AU79" i="38" s="1"/>
  <c r="BB51" i="37"/>
  <c r="BC44" i="37"/>
  <c r="BB46" i="36"/>
  <c r="BB49" i="36" s="1"/>
  <c r="AT44" i="35"/>
  <c r="AT47" i="35" s="1"/>
  <c r="AT75" i="35"/>
  <c r="AS81" i="35"/>
  <c r="AY51" i="34"/>
  <c r="AZ44" i="34"/>
  <c r="AR44" i="33"/>
  <c r="AR47" i="33" s="1"/>
  <c r="AQ77" i="33"/>
  <c r="AQ79" i="33" s="1"/>
  <c r="AP75" i="32"/>
  <c r="AO81" i="32"/>
  <c r="AO49" i="32"/>
  <c r="AP42" i="32"/>
  <c r="AW46" i="31"/>
  <c r="AW49" i="31" s="1"/>
  <c r="AP63" i="16"/>
  <c r="AP62" i="16"/>
  <c r="AP61" i="16"/>
  <c r="AP60" i="16"/>
  <c r="AP59" i="16"/>
  <c r="AP58" i="16"/>
  <c r="AP57" i="16"/>
  <c r="AP56" i="16"/>
  <c r="AP55" i="16"/>
  <c r="AP27" i="16"/>
  <c r="AP25" i="16"/>
  <c r="AP23" i="16"/>
  <c r="AP21" i="16"/>
  <c r="AP20" i="16"/>
  <c r="BE77" i="46" l="1"/>
  <c r="BE79" i="46" s="1"/>
  <c r="BE81" i="46" s="1"/>
  <c r="BB75" i="43"/>
  <c r="BA81" i="43"/>
  <c r="AY77" i="41"/>
  <c r="AV81" i="40"/>
  <c r="AW75" i="40"/>
  <c r="AU81" i="38"/>
  <c r="AV75" i="38"/>
  <c r="BC46" i="37"/>
  <c r="BC49" i="37" s="1"/>
  <c r="BB51" i="36"/>
  <c r="BC44" i="36"/>
  <c r="AT49" i="35"/>
  <c r="AU42" i="35"/>
  <c r="AT77" i="35"/>
  <c r="AT79" i="35" s="1"/>
  <c r="AZ46" i="34"/>
  <c r="AZ49" i="34" s="1"/>
  <c r="AR49" i="33"/>
  <c r="AS42" i="33"/>
  <c r="AR75" i="33"/>
  <c r="AQ81" i="33"/>
  <c r="AP44" i="32"/>
  <c r="AP47" i="32" s="1"/>
  <c r="AP77" i="32"/>
  <c r="AP79" i="32" s="1"/>
  <c r="AW51" i="31"/>
  <c r="AX44" i="31"/>
  <c r="AP64" i="16"/>
  <c r="AO63" i="16"/>
  <c r="AO62" i="16"/>
  <c r="AO61" i="16"/>
  <c r="AO60" i="16"/>
  <c r="AO59" i="16"/>
  <c r="AO58" i="16"/>
  <c r="AO57" i="16"/>
  <c r="AO56" i="16"/>
  <c r="AO55" i="16"/>
  <c r="AO27" i="16"/>
  <c r="AO25" i="16"/>
  <c r="AO23" i="16"/>
  <c r="AO21" i="16"/>
  <c r="AO20" i="16"/>
  <c r="AO19" i="16"/>
  <c r="G37" i="26"/>
  <c r="C43" i="26"/>
  <c r="C11" i="26"/>
  <c r="BB77" i="43" l="1"/>
  <c r="BB79" i="43" s="1"/>
  <c r="BL75" i="41"/>
  <c r="BL77" i="41"/>
  <c r="BK77" i="41"/>
  <c r="BK76" i="41"/>
  <c r="AY79" i="41"/>
  <c r="AW77" i="40"/>
  <c r="AW79" i="40" s="1"/>
  <c r="AV77" i="38"/>
  <c r="AV79" i="38" s="1"/>
  <c r="BD44" i="37"/>
  <c r="BC51" i="37"/>
  <c r="BC46" i="36"/>
  <c r="BC49" i="36" s="1"/>
  <c r="AT81" i="35"/>
  <c r="AU75" i="35"/>
  <c r="AZ51" i="34"/>
  <c r="BA44" i="34"/>
  <c r="AR77" i="33"/>
  <c r="AR79" i="33" s="1"/>
  <c r="AS44" i="33"/>
  <c r="D44" i="33" s="1"/>
  <c r="AP81" i="32"/>
  <c r="AQ75" i="32"/>
  <c r="AQ42" i="32"/>
  <c r="AP49" i="32"/>
  <c r="AX46" i="31"/>
  <c r="AX49" i="31" s="1"/>
  <c r="C20" i="26"/>
  <c r="C7" i="26"/>
  <c r="AO28" i="16"/>
  <c r="C33" i="26"/>
  <c r="C52" i="26" s="1"/>
  <c r="C56" i="26" s="1"/>
  <c r="C59" i="26" s="1"/>
  <c r="AN63" i="16"/>
  <c r="AN62" i="16"/>
  <c r="AN61" i="16"/>
  <c r="AN60" i="16"/>
  <c r="AN59" i="16"/>
  <c r="AN58" i="16"/>
  <c r="AN57" i="16"/>
  <c r="AN56" i="16"/>
  <c r="AN55" i="16"/>
  <c r="BB81" i="43" l="1"/>
  <c r="BC75" i="43"/>
  <c r="AY81" i="41"/>
  <c r="AZ75" i="41"/>
  <c r="BL81" i="41"/>
  <c r="AX75" i="40"/>
  <c r="AW81" i="40"/>
  <c r="AW75" i="38"/>
  <c r="AV81" i="38"/>
  <c r="BD46" i="37"/>
  <c r="BJ42" i="37" s="1"/>
  <c r="BK47" i="37" s="1"/>
  <c r="BC51" i="36"/>
  <c r="BD44" i="36"/>
  <c r="AU77" i="35"/>
  <c r="AU79" i="35" s="1"/>
  <c r="BA46" i="34"/>
  <c r="BA49" i="34" s="1"/>
  <c r="AS75" i="33"/>
  <c r="AR81" i="33"/>
  <c r="AS47" i="33"/>
  <c r="AQ77" i="32"/>
  <c r="AQ79" i="32" s="1"/>
  <c r="AQ44" i="32"/>
  <c r="E44" i="32" s="1"/>
  <c r="AX51" i="31"/>
  <c r="AY44" i="31"/>
  <c r="C52" i="25"/>
  <c r="AN27" i="16"/>
  <c r="AN25" i="16"/>
  <c r="AN23" i="16"/>
  <c r="AN21" i="16"/>
  <c r="AN20" i="16"/>
  <c r="AN19" i="16"/>
  <c r="BC77" i="43" l="1"/>
  <c r="BC79" i="43" s="1"/>
  <c r="AZ77" i="41"/>
  <c r="AZ79" i="41" s="1"/>
  <c r="AX77" i="40"/>
  <c r="AX79" i="40" s="1"/>
  <c r="AW77" i="38"/>
  <c r="AW79" i="38" s="1"/>
  <c r="BD49" i="37"/>
  <c r="BD51" i="37" s="1"/>
  <c r="BD46" i="36"/>
  <c r="BD49" i="36" s="1"/>
  <c r="BD51" i="36" s="1"/>
  <c r="AV75" i="35"/>
  <c r="AU81" i="35"/>
  <c r="BA51" i="34"/>
  <c r="BB44" i="34"/>
  <c r="AS49" i="33"/>
  <c r="AT42" i="33"/>
  <c r="AS77" i="33"/>
  <c r="AS79" i="33" s="1"/>
  <c r="AQ81" i="32"/>
  <c r="AR75" i="32"/>
  <c r="AQ47" i="32"/>
  <c r="AY46" i="31"/>
  <c r="AY49" i="31" s="1"/>
  <c r="BC81" i="43" l="1"/>
  <c r="BD75" i="43"/>
  <c r="BA75" i="41"/>
  <c r="AZ81" i="41"/>
  <c r="AX81" i="40"/>
  <c r="AY75" i="40"/>
  <c r="BK76" i="40"/>
  <c r="BL77" i="40"/>
  <c r="BK77" i="40"/>
  <c r="BL75" i="40"/>
  <c r="AW81" i="38"/>
  <c r="AX75" i="38"/>
  <c r="BL77" i="38"/>
  <c r="BL75" i="38"/>
  <c r="BK76" i="38"/>
  <c r="BK77" i="38"/>
  <c r="AV77" i="35"/>
  <c r="AV79" i="35" s="1"/>
  <c r="BB46" i="34"/>
  <c r="BB49" i="34" s="1"/>
  <c r="AS81" i="33"/>
  <c r="AT75" i="33"/>
  <c r="AT44" i="33"/>
  <c r="AT47" i="33" s="1"/>
  <c r="AQ49" i="32"/>
  <c r="AR42" i="32"/>
  <c r="AR77" i="32"/>
  <c r="AR79" i="32" s="1"/>
  <c r="AY51" i="31"/>
  <c r="AZ44" i="31"/>
  <c r="BD77" i="43" l="1"/>
  <c r="BD79" i="43" s="1"/>
  <c r="BA77" i="41"/>
  <c r="BA79" i="41" s="1"/>
  <c r="BL81" i="40"/>
  <c r="AY77" i="40"/>
  <c r="AY79" i="40" s="1"/>
  <c r="BL81" i="38"/>
  <c r="AX77" i="38"/>
  <c r="AX79" i="38" s="1"/>
  <c r="AV81" i="35"/>
  <c r="AW75" i="35"/>
  <c r="BK76" i="35"/>
  <c r="BL75" i="35"/>
  <c r="BL77" i="35"/>
  <c r="BK77" i="35"/>
  <c r="BC44" i="34"/>
  <c r="BB51" i="34"/>
  <c r="AT49" i="33"/>
  <c r="AU42" i="33"/>
  <c r="AT77" i="33"/>
  <c r="AT79" i="33" s="1"/>
  <c r="AR81" i="32"/>
  <c r="AS75" i="32"/>
  <c r="AR44" i="32"/>
  <c r="AR47" i="32" s="1"/>
  <c r="AZ46" i="31"/>
  <c r="AZ49" i="31" s="1"/>
  <c r="C33" i="24"/>
  <c r="C52" i="24" s="1"/>
  <c r="K36" i="22"/>
  <c r="AM56" i="16"/>
  <c r="AM57" i="16"/>
  <c r="AM58" i="16"/>
  <c r="AM59" i="16"/>
  <c r="AM60" i="16"/>
  <c r="AM61" i="16"/>
  <c r="AM62" i="16"/>
  <c r="AM63" i="16"/>
  <c r="AM55" i="16"/>
  <c r="AM27" i="16"/>
  <c r="AM25" i="16"/>
  <c r="AM23" i="16"/>
  <c r="AM21" i="16"/>
  <c r="AM20" i="16"/>
  <c r="AM19" i="16"/>
  <c r="AL58" i="16"/>
  <c r="AL57" i="16"/>
  <c r="AL56" i="16"/>
  <c r="AL55" i="16"/>
  <c r="AL27" i="16"/>
  <c r="AL25" i="16"/>
  <c r="AL23" i="16"/>
  <c r="AL21" i="16"/>
  <c r="AL20" i="16"/>
  <c r="AL19" i="16"/>
  <c r="AL63" i="16"/>
  <c r="AL62" i="16"/>
  <c r="AL61" i="16"/>
  <c r="AL60" i="16"/>
  <c r="AL59" i="16"/>
  <c r="AM24" i="17"/>
  <c r="AY52" i="48" l="1"/>
  <c r="AY19" i="48"/>
  <c r="AY52" i="46"/>
  <c r="AY19" i="46"/>
  <c r="AY52" i="43"/>
  <c r="AY19" i="43"/>
  <c r="BE75" i="43"/>
  <c r="BD81" i="43"/>
  <c r="AY52" i="41"/>
  <c r="AY19" i="41"/>
  <c r="BB75" i="41"/>
  <c r="BA81" i="41"/>
  <c r="AY52" i="40"/>
  <c r="AY19" i="40"/>
  <c r="AY81" i="40"/>
  <c r="AZ75" i="40"/>
  <c r="AY52" i="38"/>
  <c r="AY19" i="38"/>
  <c r="AY75" i="38"/>
  <c r="AX81" i="38"/>
  <c r="AY52" i="35"/>
  <c r="AY19" i="35"/>
  <c r="AW77" i="35"/>
  <c r="AW79" i="35" s="1"/>
  <c r="BL81" i="35"/>
  <c r="AY52" i="33"/>
  <c r="AY19" i="33"/>
  <c r="BC46" i="34"/>
  <c r="BC49" i="34" s="1"/>
  <c r="AT81" i="33"/>
  <c r="AU75" i="33"/>
  <c r="AY52" i="32"/>
  <c r="AY19" i="32"/>
  <c r="AR49" i="32"/>
  <c r="AS42" i="32"/>
  <c r="AS77" i="32"/>
  <c r="AS79" i="32" s="1"/>
  <c r="AZ51" i="31"/>
  <c r="BA44" i="31"/>
  <c r="AY19" i="17"/>
  <c r="AY52" i="17"/>
  <c r="AM28" i="16"/>
  <c r="AM64" i="16"/>
  <c r="I23" i="22"/>
  <c r="AL24" i="17"/>
  <c r="AK24" i="17"/>
  <c r="BE77" i="43" l="1"/>
  <c r="BE79" i="43" s="1"/>
  <c r="BE81" i="43" s="1"/>
  <c r="BB77" i="41"/>
  <c r="BB79" i="41" s="1"/>
  <c r="AZ77" i="40"/>
  <c r="AZ79" i="40" s="1"/>
  <c r="AY77" i="38"/>
  <c r="AY79" i="38" s="1"/>
  <c r="AX75" i="35"/>
  <c r="AW81" i="35"/>
  <c r="BC51" i="34"/>
  <c r="BD44" i="34"/>
  <c r="AU77" i="33"/>
  <c r="AS44" i="32"/>
  <c r="D44" i="32" s="1"/>
  <c r="AT75" i="32"/>
  <c r="AS81" i="32"/>
  <c r="BA46" i="31"/>
  <c r="BA49" i="31" s="1"/>
  <c r="BB81" i="41" l="1"/>
  <c r="BC75" i="41"/>
  <c r="BA75" i="40"/>
  <c r="AZ81" i="40"/>
  <c r="AY81" i="38"/>
  <c r="AZ75" i="38"/>
  <c r="AX77" i="35"/>
  <c r="AX79" i="35" s="1"/>
  <c r="BD46" i="34"/>
  <c r="BD49" i="34" s="1"/>
  <c r="BD51" i="34" s="1"/>
  <c r="BK76" i="33"/>
  <c r="BL77" i="33"/>
  <c r="BL75" i="33"/>
  <c r="BK77" i="33"/>
  <c r="AU79" i="33"/>
  <c r="AS47" i="32"/>
  <c r="AT77" i="32"/>
  <c r="AT79" i="32"/>
  <c r="AU75" i="32" s="1"/>
  <c r="AU77" i="32" s="1"/>
  <c r="BA51" i="31"/>
  <c r="BB44" i="31"/>
  <c r="AL28" i="16"/>
  <c r="BC77" i="41" l="1"/>
  <c r="BC79" i="41" s="1"/>
  <c r="BA77" i="40"/>
  <c r="BA79" i="40" s="1"/>
  <c r="AZ77" i="38"/>
  <c r="AZ79" i="38" s="1"/>
  <c r="AX81" i="35"/>
  <c r="AY75" i="35"/>
  <c r="AV75" i="33"/>
  <c r="AU81" i="33"/>
  <c r="BL81" i="33"/>
  <c r="AT81" i="32"/>
  <c r="AS49" i="32"/>
  <c r="AT42" i="32"/>
  <c r="BB46" i="31"/>
  <c r="BB49" i="31" s="1"/>
  <c r="C33" i="22"/>
  <c r="C52" i="22" s="1"/>
  <c r="C56" i="22" s="1"/>
  <c r="H9" i="22" s="1"/>
  <c r="BC81" i="41" l="1"/>
  <c r="BD75" i="41"/>
  <c r="C59" i="22"/>
  <c r="BB75" i="40"/>
  <c r="BA81" i="40"/>
  <c r="BA75" i="38"/>
  <c r="AZ81" i="38"/>
  <c r="AY77" i="35"/>
  <c r="AY79" i="35" s="1"/>
  <c r="AV77" i="33"/>
  <c r="AV79" i="33" s="1"/>
  <c r="AT44" i="32"/>
  <c r="AT47" i="32" s="1"/>
  <c r="BC44" i="31"/>
  <c r="BB51" i="31"/>
  <c r="BD77" i="41" l="1"/>
  <c r="BD79" i="41" s="1"/>
  <c r="BB77" i="40"/>
  <c r="BB79" i="40" s="1"/>
  <c r="BA77" i="38"/>
  <c r="BA79" i="38" s="1"/>
  <c r="AZ75" i="35"/>
  <c r="AY81" i="35"/>
  <c r="AW75" i="33"/>
  <c r="AV81" i="33"/>
  <c r="AU79" i="32"/>
  <c r="AT49" i="32"/>
  <c r="AU42" i="32"/>
  <c r="BC46" i="31"/>
  <c r="BC49" i="31" s="1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8" i="23"/>
  <c r="BE75" i="41" l="1"/>
  <c r="BD81" i="41"/>
  <c r="BB81" i="40"/>
  <c r="BC75" i="40"/>
  <c r="BB75" i="38"/>
  <c r="BA81" i="38"/>
  <c r="AZ77" i="35"/>
  <c r="AZ79" i="35" s="1"/>
  <c r="AU81" i="32"/>
  <c r="AV75" i="32"/>
  <c r="AW77" i="33"/>
  <c r="AW79" i="33" s="1"/>
  <c r="BD44" i="31"/>
  <c r="BC51" i="31"/>
  <c r="AJ63" i="16"/>
  <c r="AJ62" i="16"/>
  <c r="AJ61" i="16"/>
  <c r="AJ60" i="16"/>
  <c r="AJ59" i="16"/>
  <c r="AJ58" i="16"/>
  <c r="AJ57" i="16"/>
  <c r="AJ56" i="16"/>
  <c r="AJ55" i="16"/>
  <c r="BE77" i="41" l="1"/>
  <c r="BE79" i="41" s="1"/>
  <c r="BE81" i="41" s="1"/>
  <c r="BC77" i="40"/>
  <c r="BC79" i="40" s="1"/>
  <c r="BB77" i="38"/>
  <c r="BB79" i="38" s="1"/>
  <c r="AZ81" i="35"/>
  <c r="BA75" i="35"/>
  <c r="AV77" i="32"/>
  <c r="AW81" i="33"/>
  <c r="AX75" i="33"/>
  <c r="BD46" i="31"/>
  <c r="BD49" i="31" s="1"/>
  <c r="BD51" i="31" s="1"/>
  <c r="AJ27" i="16"/>
  <c r="AJ25" i="16"/>
  <c r="AJ23" i="16"/>
  <c r="AJ21" i="16"/>
  <c r="AJ20" i="16"/>
  <c r="AJ19" i="16"/>
  <c r="I24" i="20"/>
  <c r="BC81" i="40" l="1"/>
  <c r="BD75" i="40"/>
  <c r="BC75" i="38"/>
  <c r="BB81" i="38"/>
  <c r="BA77" i="35"/>
  <c r="BA79" i="35" s="1"/>
  <c r="AV79" i="32"/>
  <c r="AX77" i="33"/>
  <c r="AX79" i="33" s="1"/>
  <c r="BD77" i="40" l="1"/>
  <c r="BD79" i="40" s="1"/>
  <c r="BC77" i="38"/>
  <c r="BC79" i="38" s="1"/>
  <c r="BB75" i="35"/>
  <c r="BA81" i="35"/>
  <c r="AV81" i="32"/>
  <c r="AW75" i="32"/>
  <c r="AW77" i="32" s="1"/>
  <c r="AX81" i="33"/>
  <c r="AY75" i="33"/>
  <c r="AJ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BD81" i="40" l="1"/>
  <c r="BE75" i="40"/>
  <c r="BC81" i="38"/>
  <c r="BD75" i="38"/>
  <c r="AW79" i="32"/>
  <c r="BB77" i="35"/>
  <c r="BB79" i="35" s="1"/>
  <c r="AY77" i="33"/>
  <c r="AY79" i="33" s="1"/>
  <c r="BE77" i="40" l="1"/>
  <c r="BE79" i="40" s="1"/>
  <c r="BE81" i="40" s="1"/>
  <c r="BD77" i="38"/>
  <c r="BD79" i="38" s="1"/>
  <c r="AW81" i="32"/>
  <c r="AX75" i="32"/>
  <c r="AX77" i="32" s="1"/>
  <c r="BB81" i="35"/>
  <c r="BC75" i="35"/>
  <c r="AZ75" i="33"/>
  <c r="AY81" i="33"/>
  <c r="AX79" i="32" l="1"/>
  <c r="AY75" i="32" s="1"/>
  <c r="BE75" i="38"/>
  <c r="BD81" i="38"/>
  <c r="BC77" i="35"/>
  <c r="BC79" i="35" s="1"/>
  <c r="AZ77" i="33"/>
  <c r="AZ79" i="33" s="1"/>
  <c r="AY77" i="32"/>
  <c r="AY79" i="32" s="1"/>
  <c r="AX81" i="32" l="1"/>
  <c r="BE77" i="38"/>
  <c r="BE79" i="38" s="1"/>
  <c r="BE81" i="38" s="1"/>
  <c r="BD75" i="35"/>
  <c r="BC81" i="35"/>
  <c r="BA75" i="33"/>
  <c r="AZ81" i="33"/>
  <c r="AY81" i="32"/>
  <c r="AZ75" i="32"/>
  <c r="AH23" i="16"/>
  <c r="G38" i="26"/>
  <c r="G38" i="25"/>
  <c r="G38" i="22"/>
  <c r="G38" i="23"/>
  <c r="G38" i="20"/>
  <c r="I38" i="20" s="1"/>
  <c r="G38" i="21"/>
  <c r="BD77" i="35" l="1"/>
  <c r="BD79" i="35" s="1"/>
  <c r="BA77" i="33"/>
  <c r="BA79" i="33" s="1"/>
  <c r="AZ77" i="32"/>
  <c r="AZ79" i="32" l="1"/>
  <c r="AZ81" i="32" s="1"/>
  <c r="BD81" i="35"/>
  <c r="BE75" i="35"/>
  <c r="BA81" i="33"/>
  <c r="BB75" i="33"/>
  <c r="AI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BA75" i="32" l="1"/>
  <c r="BE77" i="35"/>
  <c r="BE79" i="35" s="1"/>
  <c r="BE81" i="35" s="1"/>
  <c r="BB77" i="33"/>
  <c r="BB79" i="33" s="1"/>
  <c r="BA77" i="32"/>
  <c r="G29" i="18"/>
  <c r="H29" i="18"/>
  <c r="I29" i="18"/>
  <c r="K29" i="18"/>
  <c r="L29" i="18"/>
  <c r="M29" i="18"/>
  <c r="G30" i="18"/>
  <c r="H30" i="18"/>
  <c r="I30" i="18"/>
  <c r="K30" i="18"/>
  <c r="L30" i="18"/>
  <c r="M30" i="18"/>
  <c r="BA79" i="32" l="1"/>
  <c r="BB75" i="32" s="1"/>
  <c r="BB81" i="33"/>
  <c r="BC75" i="33"/>
  <c r="BA81" i="32"/>
  <c r="AH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H80" i="17"/>
  <c r="BC77" i="33" l="1"/>
  <c r="BC79" i="33" s="1"/>
  <c r="BB77" i="32"/>
  <c r="AP28" i="16"/>
  <c r="AR28" i="16"/>
  <c r="AI73" i="17"/>
  <c r="AI63" i="17"/>
  <c r="AJ63" i="17" s="1"/>
  <c r="AK63" i="17" s="1"/>
  <c r="AL63" i="17" s="1"/>
  <c r="AM63" i="17" s="1"/>
  <c r="AN63" i="17" s="1"/>
  <c r="AO63" i="17" s="1"/>
  <c r="AP63" i="17" s="1"/>
  <c r="AQ63" i="17" s="1"/>
  <c r="AR63" i="17" s="1"/>
  <c r="AS63" i="17" s="1"/>
  <c r="AI51" i="17"/>
  <c r="AJ51" i="17" s="1"/>
  <c r="AK51" i="17" s="1"/>
  <c r="AL51" i="17" s="1"/>
  <c r="AM51" i="17" s="1"/>
  <c r="AN51" i="17" s="1"/>
  <c r="AO51" i="17" s="1"/>
  <c r="AP51" i="17" s="1"/>
  <c r="AQ51" i="17" s="1"/>
  <c r="AR51" i="17" s="1"/>
  <c r="AS51" i="17" s="1"/>
  <c r="AI80" i="17"/>
  <c r="BB79" i="32" l="1"/>
  <c r="BD75" i="33"/>
  <c r="BC81" i="33"/>
  <c r="BB81" i="32"/>
  <c r="BC75" i="32"/>
  <c r="BC77" i="32" s="1"/>
  <c r="AJ73" i="17"/>
  <c r="AI40" i="17"/>
  <c r="AI30" i="17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I18" i="17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D45" i="17"/>
  <c r="D46" i="17"/>
  <c r="AI48" i="17"/>
  <c r="AH14" i="17"/>
  <c r="AJ80" i="17"/>
  <c r="BD77" i="33" l="1"/>
  <c r="BD79" i="33" s="1"/>
  <c r="AJ40" i="17"/>
  <c r="AK73" i="17"/>
  <c r="E21" i="17"/>
  <c r="E22" i="17"/>
  <c r="E23" i="17"/>
  <c r="D21" i="17"/>
  <c r="D22" i="17"/>
  <c r="D23" i="17"/>
  <c r="D24" i="17"/>
  <c r="D12" i="17"/>
  <c r="AI3" i="17"/>
  <c r="C29" i="16"/>
  <c r="C81" i="16"/>
  <c r="C56" i="16"/>
  <c r="C57" i="16"/>
  <c r="C58" i="16"/>
  <c r="C59" i="16"/>
  <c r="C60" i="16"/>
  <c r="C61" i="16"/>
  <c r="C62" i="16"/>
  <c r="C55" i="16"/>
  <c r="C47" i="16"/>
  <c r="C48" i="16"/>
  <c r="AJ48" i="17"/>
  <c r="AK80" i="17"/>
  <c r="AG83" i="16"/>
  <c r="AI14" i="17"/>
  <c r="BC79" i="32" l="1"/>
  <c r="BK76" i="32"/>
  <c r="BL77" i="32"/>
  <c r="BL75" i="32"/>
  <c r="BK77" i="32"/>
  <c r="BE75" i="33"/>
  <c r="BD81" i="33"/>
  <c r="BC81" i="32"/>
  <c r="BD75" i="32"/>
  <c r="AJ3" i="17"/>
  <c r="AL73" i="17"/>
  <c r="AK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L80" i="17"/>
  <c r="AK48" i="17"/>
  <c r="AH83" i="16"/>
  <c r="AG50" i="16"/>
  <c r="AJ14" i="17"/>
  <c r="BL81" i="32" l="1"/>
  <c r="BE77" i="33"/>
  <c r="BE79" i="33" s="1"/>
  <c r="BE81" i="33" s="1"/>
  <c r="BD77" i="32"/>
  <c r="BD79" i="32" s="1"/>
  <c r="AL40" i="17"/>
  <c r="AI78" i="16"/>
  <c r="AM73" i="17"/>
  <c r="AK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H50" i="16"/>
  <c r="AK14" i="17"/>
  <c r="AI83" i="16"/>
  <c r="AL48" i="17"/>
  <c r="AM80" i="17"/>
  <c r="BD81" i="32" l="1"/>
  <c r="BE75" i="32"/>
  <c r="AG28" i="16"/>
  <c r="AJ78" i="16"/>
  <c r="AL3" i="17"/>
  <c r="AN73" i="17"/>
  <c r="AI42" i="16"/>
  <c r="AM40" i="17"/>
  <c r="C19" i="16"/>
  <c r="C25" i="16"/>
  <c r="C21" i="16"/>
  <c r="C12" i="16"/>
  <c r="AH3" i="16"/>
  <c r="AL14" i="17"/>
  <c r="AI50" i="16"/>
  <c r="AJ83" i="16"/>
  <c r="AM48" i="17"/>
  <c r="AN80" i="17"/>
  <c r="AH14" i="16"/>
  <c r="BE77" i="32" l="1"/>
  <c r="BE79" i="32" s="1"/>
  <c r="BE81" i="32" s="1"/>
  <c r="AK78" i="16"/>
  <c r="AJ42" i="16"/>
  <c r="AI3" i="16"/>
  <c r="AM3" i="17"/>
  <c r="AN40" i="17"/>
  <c r="AO73" i="17"/>
  <c r="AO80" i="17"/>
  <c r="AJ50" i="16"/>
  <c r="AK83" i="16"/>
  <c r="AM14" i="17"/>
  <c r="AN48" i="17"/>
  <c r="AI14" i="16"/>
  <c r="AN3" i="17" l="1"/>
  <c r="AJ3" i="16"/>
  <c r="AP73" i="17"/>
  <c r="AK42" i="16"/>
  <c r="AO40" i="17"/>
  <c r="AL78" i="16"/>
  <c r="AN14" i="17"/>
  <c r="AL83" i="16"/>
  <c r="AO48" i="17"/>
  <c r="AJ14" i="16"/>
  <c r="AP80" i="17"/>
  <c r="AK50" i="16"/>
  <c r="AM78" i="16" l="1"/>
  <c r="AL42" i="16"/>
  <c r="AQ73" i="17"/>
  <c r="AK3" i="16"/>
  <c r="AP40" i="17"/>
  <c r="AO3" i="17"/>
  <c r="AO14" i="17"/>
  <c r="AL50" i="16"/>
  <c r="AK14" i="16"/>
  <c r="AP48" i="17"/>
  <c r="AQ80" i="17"/>
  <c r="AM83" i="16"/>
  <c r="AP3" i="17" l="1"/>
  <c r="AM42" i="16"/>
  <c r="AL3" i="16"/>
  <c r="AR73" i="17"/>
  <c r="AQ40" i="17"/>
  <c r="AN78" i="16"/>
  <c r="AR80" i="17"/>
  <c r="AL14" i="16"/>
  <c r="AN83" i="16"/>
  <c r="AM50" i="16"/>
  <c r="AQ48" i="17"/>
  <c r="AP14" i="17"/>
  <c r="AS73" i="17" l="1"/>
  <c r="AM3" i="16"/>
  <c r="AO78" i="16"/>
  <c r="AN42" i="16"/>
  <c r="AR40" i="17"/>
  <c r="AQ3" i="17"/>
  <c r="D56" i="16"/>
  <c r="D20" i="16"/>
  <c r="AQ14" i="17"/>
  <c r="AO83" i="16"/>
  <c r="AS80" i="17"/>
  <c r="AR48" i="17"/>
  <c r="AM14" i="16"/>
  <c r="AN50" i="16"/>
  <c r="AO42" i="16" l="1"/>
  <c r="AP78" i="16"/>
  <c r="AR3" i="17"/>
  <c r="AN3" i="16"/>
  <c r="AS40" i="17"/>
  <c r="AS48" i="17"/>
  <c r="AR14" i="17"/>
  <c r="AO50" i="16"/>
  <c r="AN14" i="16"/>
  <c r="AP83" i="16"/>
  <c r="AS3" i="17" l="1"/>
  <c r="AQ78" i="16"/>
  <c r="AO3" i="16"/>
  <c r="AP42" i="16"/>
  <c r="M27" i="29"/>
  <c r="AS14" i="17"/>
  <c r="AQ83" i="16"/>
  <c r="AO14" i="16"/>
  <c r="AP50" i="16"/>
  <c r="AQ42" i="16" l="1"/>
  <c r="AP3" i="16"/>
  <c r="AR78" i="16"/>
  <c r="AR83" i="16"/>
  <c r="AP14" i="16"/>
  <c r="AQ50" i="16"/>
  <c r="AQ3" i="16" l="1"/>
  <c r="AR42" i="16"/>
  <c r="AR50" i="16"/>
  <c r="AQ14" i="16"/>
  <c r="AR3" i="16" l="1"/>
  <c r="AR14" i="16"/>
  <c r="G38" i="28" l="1"/>
  <c r="C33" i="28" l="1"/>
  <c r="C52" i="28" s="1"/>
  <c r="D29" i="16" l="1"/>
  <c r="G38" i="27" l="1"/>
  <c r="I38" i="27" l="1"/>
  <c r="I24" i="27"/>
  <c r="T13" i="17" l="1"/>
  <c r="U5" i="17" s="1"/>
  <c r="U13" i="17" s="1"/>
  <c r="U46" i="17"/>
  <c r="T14" i="17"/>
  <c r="U14" i="17"/>
  <c r="U15" i="17" l="1"/>
  <c r="T15" i="17"/>
  <c r="T48" i="17"/>
  <c r="U48" i="17"/>
  <c r="T44" i="17" l="1"/>
  <c r="T47" i="17" s="1"/>
  <c r="U42" i="17" s="1"/>
  <c r="T49" i="17" l="1"/>
  <c r="E61" i="17" l="1"/>
  <c r="D65" i="16"/>
  <c r="U47" i="17" l="1"/>
  <c r="U49" i="17" l="1"/>
  <c r="V48" i="17"/>
  <c r="V76" i="17" l="1"/>
  <c r="E76" i="17" s="1"/>
  <c r="D78" i="17" l="1"/>
  <c r="D61" i="17"/>
  <c r="D56" i="17"/>
  <c r="D57" i="17"/>
  <c r="D28" i="17"/>
  <c r="W73" i="17" l="1"/>
  <c r="X73" i="17" s="1"/>
  <c r="Y73" i="17" s="1"/>
  <c r="W63" i="17"/>
  <c r="X63" i="17" s="1"/>
  <c r="Y63" i="17" s="1"/>
  <c r="Z63" i="17" s="1"/>
  <c r="AA63" i="17" s="1"/>
  <c r="AB63" i="17" s="1"/>
  <c r="AC63" i="17" s="1"/>
  <c r="AD63" i="17" s="1"/>
  <c r="AE63" i="17" s="1"/>
  <c r="AF63" i="17" s="1"/>
  <c r="AG63" i="17" s="1"/>
  <c r="V60" i="17"/>
  <c r="AG58" i="17"/>
  <c r="W51" i="17"/>
  <c r="X51" i="17" s="1"/>
  <c r="Y51" i="17" s="1"/>
  <c r="Z51" i="17" s="1"/>
  <c r="AA51" i="17" s="1"/>
  <c r="AB51" i="17" s="1"/>
  <c r="AC51" i="17" s="1"/>
  <c r="AD51" i="17" s="1"/>
  <c r="AE51" i="17" s="1"/>
  <c r="AF51" i="17" s="1"/>
  <c r="AG51" i="17" s="1"/>
  <c r="Y80" i="17"/>
  <c r="W80" i="17"/>
  <c r="X80" i="17"/>
  <c r="E58" i="17" l="1"/>
  <c r="D58" i="17"/>
  <c r="Z73" i="17"/>
  <c r="W40" i="17"/>
  <c r="W30" i="17"/>
  <c r="X30" i="17" s="1"/>
  <c r="Y30" i="17" s="1"/>
  <c r="Z30" i="17" s="1"/>
  <c r="AA30" i="17" s="1"/>
  <c r="AB30" i="17" s="1"/>
  <c r="AC30" i="17" s="1"/>
  <c r="AD30" i="17" s="1"/>
  <c r="AE30" i="17" s="1"/>
  <c r="AF30" i="17" s="1"/>
  <c r="AG30" i="17" s="1"/>
  <c r="AG24" i="17"/>
  <c r="E24" i="17" s="1"/>
  <c r="AB24" i="17"/>
  <c r="W18" i="17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V14" i="17"/>
  <c r="W48" i="17"/>
  <c r="Z80" i="17"/>
  <c r="X40" i="17" l="1"/>
  <c r="Y40" i="17" s="1"/>
  <c r="AA73" i="17"/>
  <c r="W3" i="17"/>
  <c r="AA80" i="17"/>
  <c r="X48" i="17"/>
  <c r="Y48" i="17"/>
  <c r="W14" i="17"/>
  <c r="X3" i="17" l="1"/>
  <c r="AB73" i="17"/>
  <c r="Z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D62" i="16"/>
  <c r="D61" i="16"/>
  <c r="D60" i="16"/>
  <c r="D59" i="16"/>
  <c r="D58" i="16"/>
  <c r="D57" i="16"/>
  <c r="D55" i="16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X14" i="17"/>
  <c r="AB80" i="17"/>
  <c r="V83" i="16"/>
  <c r="Z48" i="17"/>
  <c r="Y3" i="17" l="1"/>
  <c r="Z3" i="17" s="1"/>
  <c r="AC64" i="16"/>
  <c r="Y64" i="16"/>
  <c r="X64" i="16"/>
  <c r="AB64" i="16"/>
  <c r="AE64" i="16"/>
  <c r="AD64" i="16"/>
  <c r="AA64" i="16"/>
  <c r="Z64" i="16"/>
  <c r="W64" i="16"/>
  <c r="V64" i="16"/>
  <c r="AA40" i="17"/>
  <c r="AC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D25" i="16"/>
  <c r="D23" i="16"/>
  <c r="D21" i="16"/>
  <c r="D19" i="16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AC80" i="17"/>
  <c r="W83" i="16"/>
  <c r="Z14" i="17"/>
  <c r="V50" i="16"/>
  <c r="Y14" i="17"/>
  <c r="AA48" i="17"/>
  <c r="W42" i="16" l="1"/>
  <c r="D64" i="16"/>
  <c r="V28" i="16"/>
  <c r="Z28" i="16"/>
  <c r="AE28" i="16"/>
  <c r="AD28" i="16"/>
  <c r="AC28" i="16"/>
  <c r="AA28" i="16"/>
  <c r="W28" i="16"/>
  <c r="AB40" i="17"/>
  <c r="AA3" i="17"/>
  <c r="AD73" i="17"/>
  <c r="X78" i="16"/>
  <c r="Y28" i="16"/>
  <c r="X28" i="16"/>
  <c r="AB28" i="16"/>
  <c r="X42" i="16"/>
  <c r="V3" i="16"/>
  <c r="AB48" i="17"/>
  <c r="AD80" i="17"/>
  <c r="AA14" i="17"/>
  <c r="X83" i="16"/>
  <c r="W50" i="16"/>
  <c r="V14" i="16"/>
  <c r="X50" i="16"/>
  <c r="W3" i="16" l="1"/>
  <c r="D28" i="16"/>
  <c r="AC40" i="17"/>
  <c r="AB3" i="17"/>
  <c r="AE73" i="17"/>
  <c r="Y78" i="16"/>
  <c r="Y42" i="16"/>
  <c r="AB14" i="17"/>
  <c r="AE80" i="17"/>
  <c r="Y83" i="16"/>
  <c r="AC48" i="17"/>
  <c r="W14" i="16"/>
  <c r="Y50" i="16"/>
  <c r="X3" i="16" l="1"/>
  <c r="AD40" i="17"/>
  <c r="AC3" i="17"/>
  <c r="AF73" i="17"/>
  <c r="Z42" i="16"/>
  <c r="Z78" i="16"/>
  <c r="AD48" i="17"/>
  <c r="AF80" i="17"/>
  <c r="Z50" i="16"/>
  <c r="X14" i="16"/>
  <c r="AC14" i="17"/>
  <c r="Z83" i="16"/>
  <c r="Y3" i="16" l="1"/>
  <c r="Z3" i="16" s="1"/>
  <c r="AE40" i="17"/>
  <c r="AD3" i="17"/>
  <c r="AG73" i="17"/>
  <c r="AA42" i="16"/>
  <c r="AA78" i="16"/>
  <c r="BG10" i="17"/>
  <c r="BH45" i="16"/>
  <c r="BI45" i="16"/>
  <c r="BH46" i="16"/>
  <c r="BI46" i="16"/>
  <c r="BG46" i="16"/>
  <c r="BG45" i="16"/>
  <c r="BF46" i="16"/>
  <c r="BJ47" i="17"/>
  <c r="BI47" i="17"/>
  <c r="BH47" i="17"/>
  <c r="BJ46" i="17"/>
  <c r="BI46" i="17"/>
  <c r="BH46" i="17"/>
  <c r="BG47" i="17"/>
  <c r="BM45" i="16"/>
  <c r="AA83" i="16"/>
  <c r="AG80" i="17"/>
  <c r="AE48" i="17"/>
  <c r="Z14" i="16"/>
  <c r="AD14" i="17"/>
  <c r="Y14" i="16"/>
  <c r="BM46" i="16"/>
  <c r="AA50" i="16"/>
  <c r="AF40" i="17" l="1"/>
  <c r="AE3" i="17"/>
  <c r="AB42" i="16"/>
  <c r="AB78" i="16"/>
  <c r="AA3" i="16"/>
  <c r="BJ10" i="17"/>
  <c r="BI10" i="17"/>
  <c r="BH10" i="17"/>
  <c r="BI10" i="16"/>
  <c r="BH10" i="16"/>
  <c r="BG10" i="16"/>
  <c r="BF10" i="16"/>
  <c r="AA14" i="16"/>
  <c r="AB83" i="16"/>
  <c r="AB50" i="16"/>
  <c r="BM10" i="16"/>
  <c r="AF48" i="17"/>
  <c r="AE14" i="17"/>
  <c r="AG40" i="17" l="1"/>
  <c r="AF3" i="17"/>
  <c r="AC42" i="16"/>
  <c r="AC78" i="16"/>
  <c r="AB3" i="16"/>
  <c r="AB14" i="16"/>
  <c r="AF14" i="17"/>
  <c r="AC50" i="16"/>
  <c r="AG48" i="17"/>
  <c r="AC83" i="16"/>
  <c r="AG3" i="17" l="1"/>
  <c r="AD42" i="16"/>
  <c r="AD78" i="16"/>
  <c r="AC3" i="16"/>
  <c r="AD83" i="16"/>
  <c r="AD50" i="16"/>
  <c r="AC14" i="16"/>
  <c r="AG14" i="17"/>
  <c r="AE42" i="16" l="1"/>
  <c r="AF42" i="16" s="1"/>
  <c r="AE78" i="16"/>
  <c r="AF78" i="16" s="1"/>
  <c r="AD3" i="16"/>
  <c r="AE50" i="16"/>
  <c r="AF83" i="16"/>
  <c r="AD14" i="16"/>
  <c r="AF50" i="16"/>
  <c r="AE83" i="16"/>
  <c r="AE3" i="16" l="1"/>
  <c r="AE14" i="16"/>
  <c r="AF3" i="16" l="1"/>
  <c r="C33" i="27"/>
  <c r="C52" i="27" s="1"/>
  <c r="AF14" i="16"/>
  <c r="B12" i="30" l="1"/>
  <c r="B9" i="30"/>
  <c r="F14" i="17"/>
  <c r="C129" i="3"/>
  <c r="E83" i="16"/>
  <c r="F48" i="17"/>
  <c r="E14" i="16"/>
  <c r="C162" i="6"/>
  <c r="E50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BG74" i="17"/>
  <c r="BG41" i="17"/>
  <c r="BF75" i="16"/>
  <c r="BF40" i="16"/>
  <c r="C43" i="29"/>
  <c r="C27" i="29"/>
  <c r="C22" i="29"/>
  <c r="C20" i="29"/>
  <c r="C17" i="29"/>
  <c r="C14" i="29"/>
  <c r="C11" i="29"/>
  <c r="C7" i="29"/>
  <c r="C43" i="28"/>
  <c r="C55" i="28" s="1"/>
  <c r="C58" i="28" s="1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30" i="22" s="1"/>
  <c r="C32" i="22" s="1"/>
  <c r="C34" i="22" s="1"/>
  <c r="C52" i="23"/>
  <c r="C56" i="23" s="1"/>
  <c r="C27" i="23"/>
  <c r="C22" i="23"/>
  <c r="C20" i="23"/>
  <c r="C17" i="23"/>
  <c r="C14" i="23"/>
  <c r="C11" i="23"/>
  <c r="C7" i="23"/>
  <c r="C30" i="23" s="1"/>
  <c r="C32" i="23" s="1"/>
  <c r="C34" i="23" s="1"/>
  <c r="H7" i="23" s="1"/>
  <c r="I7" i="23" s="1"/>
  <c r="I14" i="23" s="1"/>
  <c r="I52" i="23" s="1"/>
  <c r="C43" i="20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4" i="29"/>
  <c r="G43" i="29"/>
  <c r="K40" i="29"/>
  <c r="K39" i="29"/>
  <c r="AS54" i="17"/>
  <c r="G40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AR54" i="17"/>
  <c r="G40" i="28"/>
  <c r="K37" i="28"/>
  <c r="G39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4" i="19"/>
  <c r="M42" i="19"/>
  <c r="I44" i="19"/>
  <c r="M41" i="19"/>
  <c r="G43" i="19"/>
  <c r="I43" i="19" s="1"/>
  <c r="K40" i="19"/>
  <c r="M40" i="19" s="1"/>
  <c r="I42" i="19"/>
  <c r="K39" i="19"/>
  <c r="I41" i="19"/>
  <c r="K38" i="19"/>
  <c r="G40" i="19"/>
  <c r="I40" i="19" s="1"/>
  <c r="K37" i="19"/>
  <c r="I39" i="19"/>
  <c r="K36" i="19"/>
  <c r="I37" i="19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L11" i="19"/>
  <c r="C11" i="19"/>
  <c r="C7" i="19"/>
  <c r="AU52" i="48" l="1"/>
  <c r="AU19" i="48"/>
  <c r="AU53" i="48"/>
  <c r="AU20" i="48"/>
  <c r="AU54" i="46"/>
  <c r="AU54" i="48"/>
  <c r="AU55" i="46"/>
  <c r="AU55" i="48"/>
  <c r="AW52" i="48"/>
  <c r="AW19" i="48"/>
  <c r="AW53" i="48"/>
  <c r="AW20" i="48"/>
  <c r="AW54" i="46"/>
  <c r="AW54" i="48"/>
  <c r="AW55" i="46"/>
  <c r="AW55" i="48"/>
  <c r="AW60" i="48" s="1"/>
  <c r="AV52" i="48"/>
  <c r="AV19" i="48"/>
  <c r="AV53" i="48"/>
  <c r="AV20" i="48"/>
  <c r="AV54" i="46"/>
  <c r="AV54" i="48"/>
  <c r="AV55" i="46"/>
  <c r="AV55" i="48"/>
  <c r="AY53" i="48"/>
  <c r="AY20" i="48"/>
  <c r="AY54" i="46"/>
  <c r="AY54" i="48"/>
  <c r="AY55" i="46"/>
  <c r="AY55" i="48"/>
  <c r="AX52" i="48"/>
  <c r="AX19" i="48"/>
  <c r="AX53" i="48"/>
  <c r="AX20" i="48"/>
  <c r="AX27" i="48" s="1"/>
  <c r="AX54" i="46"/>
  <c r="AX54" i="48"/>
  <c r="AX55" i="46"/>
  <c r="AX55" i="48"/>
  <c r="AZ52" i="48"/>
  <c r="AZ19" i="48"/>
  <c r="AB19" i="48"/>
  <c r="AZ53" i="48"/>
  <c r="AZ20" i="48"/>
  <c r="AB20" i="48"/>
  <c r="AZ54" i="46"/>
  <c r="AZ54" i="48"/>
  <c r="AZ55" i="46"/>
  <c r="AZ55" i="48"/>
  <c r="BA53" i="48"/>
  <c r="BA20" i="48"/>
  <c r="BA55" i="46"/>
  <c r="BA55" i="48"/>
  <c r="BA60" i="48" s="1"/>
  <c r="BB52" i="48"/>
  <c r="BB19" i="48"/>
  <c r="BB53" i="48"/>
  <c r="BB20" i="48"/>
  <c r="BB43" i="48" s="1"/>
  <c r="BB54" i="46"/>
  <c r="BB54" i="48"/>
  <c r="BB55" i="46"/>
  <c r="BB55" i="48"/>
  <c r="BC53" i="48"/>
  <c r="BC20" i="48"/>
  <c r="BC54" i="46"/>
  <c r="BC54" i="48"/>
  <c r="BC55" i="46"/>
  <c r="BC55" i="48"/>
  <c r="BD52" i="48"/>
  <c r="AR52" i="48"/>
  <c r="BD19" i="48"/>
  <c r="AR19" i="48"/>
  <c r="BD53" i="48"/>
  <c r="AR53" i="48"/>
  <c r="BD20" i="48"/>
  <c r="AR20" i="48"/>
  <c r="D20" i="48" s="1"/>
  <c r="BD55" i="48"/>
  <c r="AR55" i="48"/>
  <c r="BE55" i="48"/>
  <c r="BE60" i="48" s="1"/>
  <c r="AS55" i="48"/>
  <c r="AS60" i="48" s="1"/>
  <c r="AG55" i="48"/>
  <c r="C30" i="25"/>
  <c r="C32" i="25" s="1"/>
  <c r="BK44" i="16"/>
  <c r="BJ44" i="16"/>
  <c r="AU52" i="46"/>
  <c r="AU19" i="46"/>
  <c r="AU53" i="46"/>
  <c r="AU20" i="46"/>
  <c r="AW52" i="46"/>
  <c r="AW19" i="46"/>
  <c r="AW53" i="46"/>
  <c r="AW20" i="46"/>
  <c r="AV52" i="46"/>
  <c r="AV19" i="46"/>
  <c r="AV53" i="46"/>
  <c r="AV20" i="46"/>
  <c r="AY53" i="46"/>
  <c r="AY60" i="46" s="1"/>
  <c r="AY20" i="46"/>
  <c r="AX52" i="46"/>
  <c r="AX19" i="46"/>
  <c r="AX53" i="46"/>
  <c r="AX20" i="46"/>
  <c r="AZ52" i="46"/>
  <c r="AZ19" i="46"/>
  <c r="AB19" i="46"/>
  <c r="AZ53" i="46"/>
  <c r="AZ20" i="46"/>
  <c r="AB20" i="46"/>
  <c r="BA53" i="46"/>
  <c r="BA60" i="46" s="1"/>
  <c r="BA20" i="46"/>
  <c r="BB52" i="46"/>
  <c r="BB19" i="46"/>
  <c r="BB53" i="46"/>
  <c r="BB20" i="46"/>
  <c r="BC53" i="46"/>
  <c r="BC20" i="46"/>
  <c r="BD52" i="46"/>
  <c r="AR52" i="46"/>
  <c r="BD19" i="46"/>
  <c r="AR19" i="46"/>
  <c r="BD53" i="46"/>
  <c r="AR53" i="46"/>
  <c r="BD20" i="46"/>
  <c r="AR20" i="46"/>
  <c r="D20" i="46" s="1"/>
  <c r="BD55" i="46"/>
  <c r="AR55" i="46"/>
  <c r="BE55" i="46"/>
  <c r="BE60" i="46" s="1"/>
  <c r="AS55" i="46"/>
  <c r="AS60" i="46" s="1"/>
  <c r="AG55" i="46"/>
  <c r="C30" i="24"/>
  <c r="C32" i="24" s="1"/>
  <c r="C34" i="24" s="1"/>
  <c r="H7" i="24" s="1"/>
  <c r="AU52" i="43"/>
  <c r="AU19" i="43"/>
  <c r="AU53" i="43"/>
  <c r="AU20" i="43"/>
  <c r="AU54" i="41"/>
  <c r="AU54" i="43"/>
  <c r="AU55" i="41"/>
  <c r="AU55" i="43"/>
  <c r="AW52" i="43"/>
  <c r="AW19" i="43"/>
  <c r="AW53" i="43"/>
  <c r="AW20" i="43"/>
  <c r="AW54" i="41"/>
  <c r="AW54" i="43"/>
  <c r="AW55" i="41"/>
  <c r="AW55" i="43"/>
  <c r="AV52" i="43"/>
  <c r="AV19" i="43"/>
  <c r="AV53" i="43"/>
  <c r="AV20" i="43"/>
  <c r="AV54" i="41"/>
  <c r="AV54" i="43"/>
  <c r="AV55" i="41"/>
  <c r="AV55" i="43"/>
  <c r="AY53" i="43"/>
  <c r="AY20" i="43"/>
  <c r="AY54" i="41"/>
  <c r="AY54" i="43"/>
  <c r="AY55" i="41"/>
  <c r="AY55" i="43"/>
  <c r="AX52" i="43"/>
  <c r="AX19" i="43"/>
  <c r="AX53" i="43"/>
  <c r="AX20" i="43"/>
  <c r="AX54" i="41"/>
  <c r="AX54" i="43"/>
  <c r="AX55" i="41"/>
  <c r="AX55" i="43"/>
  <c r="AZ52" i="43"/>
  <c r="AZ19" i="43"/>
  <c r="AB19" i="43"/>
  <c r="AZ53" i="43"/>
  <c r="AZ20" i="43"/>
  <c r="AB20" i="43"/>
  <c r="AZ54" i="41"/>
  <c r="AZ54" i="43"/>
  <c r="AZ55" i="41"/>
  <c r="AZ55" i="43"/>
  <c r="BA52" i="43"/>
  <c r="BA19" i="43"/>
  <c r="BA53" i="43"/>
  <c r="BA20" i="43"/>
  <c r="BA54" i="41"/>
  <c r="BA54" i="43"/>
  <c r="BA55" i="41"/>
  <c r="BA55" i="43"/>
  <c r="BB52" i="43"/>
  <c r="BB19" i="43"/>
  <c r="BB53" i="43"/>
  <c r="BB20" i="43"/>
  <c r="BB54" i="41"/>
  <c r="BB54" i="43"/>
  <c r="BB55" i="41"/>
  <c r="BB55" i="43"/>
  <c r="BC53" i="43"/>
  <c r="BC20" i="43"/>
  <c r="BC54" i="41"/>
  <c r="BC54" i="43"/>
  <c r="BC55" i="41"/>
  <c r="BC55" i="43"/>
  <c r="BD52" i="43"/>
  <c r="AR52" i="43"/>
  <c r="BD19" i="43"/>
  <c r="AR19" i="43"/>
  <c r="BD53" i="43"/>
  <c r="AR53" i="43"/>
  <c r="BD20" i="43"/>
  <c r="AR20" i="43"/>
  <c r="D20" i="43" s="1"/>
  <c r="BD55" i="43"/>
  <c r="AR55" i="43"/>
  <c r="BE55" i="43"/>
  <c r="BE60" i="43" s="1"/>
  <c r="AS55" i="43"/>
  <c r="AS60" i="43" s="1"/>
  <c r="AG55" i="43"/>
  <c r="H7" i="22"/>
  <c r="C61" i="22"/>
  <c r="AU52" i="41"/>
  <c r="AU19" i="41"/>
  <c r="AU53" i="41"/>
  <c r="AU20" i="41"/>
  <c r="AW52" i="41"/>
  <c r="AW19" i="41"/>
  <c r="AW53" i="41"/>
  <c r="AW20" i="41"/>
  <c r="AV52" i="41"/>
  <c r="AV19" i="41"/>
  <c r="AV53" i="41"/>
  <c r="AV20" i="41"/>
  <c r="AY53" i="41"/>
  <c r="AY20" i="41"/>
  <c r="AX52" i="41"/>
  <c r="AX19" i="41"/>
  <c r="AX53" i="41"/>
  <c r="AX20" i="41"/>
  <c r="AZ52" i="41"/>
  <c r="AZ19" i="41"/>
  <c r="AB19" i="41"/>
  <c r="AZ53" i="41"/>
  <c r="AZ20" i="41"/>
  <c r="AB20" i="41"/>
  <c r="BA52" i="41"/>
  <c r="BA19" i="41"/>
  <c r="BA53" i="41"/>
  <c r="BA20" i="41"/>
  <c r="BB52" i="41"/>
  <c r="BB19" i="41"/>
  <c r="BB53" i="41"/>
  <c r="BB20" i="41"/>
  <c r="BC53" i="41"/>
  <c r="BC20" i="41"/>
  <c r="BD52" i="41"/>
  <c r="AR52" i="41"/>
  <c r="BD19" i="41"/>
  <c r="AR19" i="41"/>
  <c r="BD53" i="41"/>
  <c r="AR53" i="41"/>
  <c r="BD20" i="41"/>
  <c r="AR20" i="41"/>
  <c r="D20" i="41" s="1"/>
  <c r="BD55" i="41"/>
  <c r="AR55" i="41"/>
  <c r="BE55" i="41"/>
  <c r="BE60" i="41" s="1"/>
  <c r="AS55" i="41"/>
  <c r="AS60" i="41" s="1"/>
  <c r="AG55" i="41"/>
  <c r="AU52" i="40"/>
  <c r="AU19" i="40"/>
  <c r="AU53" i="40"/>
  <c r="AU20" i="40"/>
  <c r="AU54" i="38"/>
  <c r="AU54" i="40"/>
  <c r="AU55" i="38"/>
  <c r="AU55" i="40"/>
  <c r="AW52" i="40"/>
  <c r="AW19" i="40"/>
  <c r="AW53" i="40"/>
  <c r="AW20" i="40"/>
  <c r="AW54" i="38"/>
  <c r="AW54" i="40"/>
  <c r="AW55" i="38"/>
  <c r="AW55" i="40"/>
  <c r="AV52" i="40"/>
  <c r="AV19" i="40"/>
  <c r="AV53" i="40"/>
  <c r="AV20" i="40"/>
  <c r="AV54" i="38"/>
  <c r="AV54" i="40"/>
  <c r="AV55" i="38"/>
  <c r="AV55" i="40"/>
  <c r="AY53" i="40"/>
  <c r="AY20" i="40"/>
  <c r="AY54" i="38"/>
  <c r="AY54" i="40"/>
  <c r="AY55" i="38"/>
  <c r="AY55" i="40"/>
  <c r="AX52" i="40"/>
  <c r="AX19" i="40"/>
  <c r="AX53" i="40"/>
  <c r="AX20" i="40"/>
  <c r="AX54" i="38"/>
  <c r="AX54" i="40"/>
  <c r="AX55" i="38"/>
  <c r="AX55" i="40"/>
  <c r="AZ52" i="40"/>
  <c r="AZ19" i="40"/>
  <c r="AB19" i="40"/>
  <c r="AZ53" i="40"/>
  <c r="AZ20" i="40"/>
  <c r="AB20" i="40"/>
  <c r="AZ54" i="38"/>
  <c r="AZ54" i="40"/>
  <c r="AZ55" i="38"/>
  <c r="AZ55" i="40"/>
  <c r="BA52" i="40"/>
  <c r="BA19" i="40"/>
  <c r="BA53" i="40"/>
  <c r="BA20" i="40"/>
  <c r="BA54" i="38"/>
  <c r="BA54" i="40"/>
  <c r="BA55" i="38"/>
  <c r="BA55" i="40"/>
  <c r="BB52" i="40"/>
  <c r="BB19" i="40"/>
  <c r="BB53" i="40"/>
  <c r="BB20" i="40"/>
  <c r="BB54" i="38"/>
  <c r="BB54" i="40"/>
  <c r="BB55" i="38"/>
  <c r="BB55" i="40"/>
  <c r="BC53" i="40"/>
  <c r="BC20" i="40"/>
  <c r="BC54" i="38"/>
  <c r="BC54" i="40"/>
  <c r="BC55" i="38"/>
  <c r="BC55" i="40"/>
  <c r="BD52" i="40"/>
  <c r="AR52" i="40"/>
  <c r="BD19" i="40"/>
  <c r="AR19" i="40"/>
  <c r="BD53" i="40"/>
  <c r="AR53" i="40"/>
  <c r="BD20" i="40"/>
  <c r="AR20" i="40"/>
  <c r="D20" i="40" s="1"/>
  <c r="BD55" i="40"/>
  <c r="AR55" i="40"/>
  <c r="BE55" i="40"/>
  <c r="BE60" i="40" s="1"/>
  <c r="AS55" i="40"/>
  <c r="AS60" i="40" s="1"/>
  <c r="AG55" i="40"/>
  <c r="AU52" i="38"/>
  <c r="AU19" i="38"/>
  <c r="AU53" i="38"/>
  <c r="AU20" i="38"/>
  <c r="AW52" i="38"/>
  <c r="AW19" i="38"/>
  <c r="AW53" i="38"/>
  <c r="AW20" i="38"/>
  <c r="AV52" i="38"/>
  <c r="AV19" i="38"/>
  <c r="AV53" i="38"/>
  <c r="AV20" i="38"/>
  <c r="AY53" i="38"/>
  <c r="AY20" i="38"/>
  <c r="AZ52" i="38"/>
  <c r="AZ19" i="38"/>
  <c r="AB19" i="38"/>
  <c r="AZ53" i="38"/>
  <c r="AZ20" i="38"/>
  <c r="AB20" i="38"/>
  <c r="BA52" i="38"/>
  <c r="BA19" i="38"/>
  <c r="BA53" i="38"/>
  <c r="BA20" i="38"/>
  <c r="BB52" i="38"/>
  <c r="BB19" i="38"/>
  <c r="BB53" i="38"/>
  <c r="BB20" i="38"/>
  <c r="BC53" i="38"/>
  <c r="BC20" i="38"/>
  <c r="BD52" i="38"/>
  <c r="AR52" i="38"/>
  <c r="BD19" i="38"/>
  <c r="AR19" i="38"/>
  <c r="BD53" i="38"/>
  <c r="AR53" i="38"/>
  <c r="BD20" i="38"/>
  <c r="AR20" i="38"/>
  <c r="D20" i="38" s="1"/>
  <c r="BD55" i="38"/>
  <c r="AR55" i="38"/>
  <c r="BE55" i="38"/>
  <c r="BE60" i="38" s="1"/>
  <c r="AS55" i="38"/>
  <c r="AS60" i="38" s="1"/>
  <c r="AG55" i="38"/>
  <c r="H9" i="23"/>
  <c r="AX52" i="38"/>
  <c r="AX19" i="38"/>
  <c r="AX53" i="38"/>
  <c r="AX20" i="38"/>
  <c r="AU52" i="35"/>
  <c r="AU19" i="35"/>
  <c r="AU53" i="35"/>
  <c r="AU20" i="35"/>
  <c r="AU54" i="33"/>
  <c r="AU54" i="35"/>
  <c r="AU55" i="33"/>
  <c r="AU55" i="35"/>
  <c r="AW52" i="35"/>
  <c r="AW19" i="35"/>
  <c r="AW53" i="35"/>
  <c r="AW20" i="35"/>
  <c r="AW54" i="33"/>
  <c r="AW54" i="35"/>
  <c r="AW55" i="33"/>
  <c r="AW55" i="35"/>
  <c r="AV52" i="35"/>
  <c r="AV19" i="35"/>
  <c r="AV53" i="35"/>
  <c r="AV20" i="35"/>
  <c r="AV54" i="33"/>
  <c r="AV54" i="35"/>
  <c r="AV55" i="33"/>
  <c r="AV55" i="35"/>
  <c r="AY53" i="35"/>
  <c r="AY20" i="35"/>
  <c r="AY54" i="33"/>
  <c r="AY54" i="35"/>
  <c r="AY55" i="33"/>
  <c r="AY55" i="35"/>
  <c r="AX52" i="35"/>
  <c r="AX19" i="35"/>
  <c r="AX53" i="35"/>
  <c r="AX20" i="35"/>
  <c r="AX54" i="33"/>
  <c r="AX54" i="35"/>
  <c r="AX55" i="33"/>
  <c r="AX55" i="35"/>
  <c r="AZ52" i="35"/>
  <c r="AZ19" i="35"/>
  <c r="AB19" i="35"/>
  <c r="AZ53" i="35"/>
  <c r="AZ20" i="35"/>
  <c r="AB20" i="35"/>
  <c r="AZ54" i="33"/>
  <c r="AZ54" i="35"/>
  <c r="AZ55" i="33"/>
  <c r="AZ55" i="35"/>
  <c r="BA52" i="35"/>
  <c r="BA19" i="35"/>
  <c r="BA53" i="35"/>
  <c r="BA20" i="35"/>
  <c r="BA54" i="33"/>
  <c r="BA54" i="35"/>
  <c r="BA55" i="33"/>
  <c r="BA55" i="35"/>
  <c r="BB52" i="35"/>
  <c r="BB19" i="35"/>
  <c r="BB53" i="35"/>
  <c r="BB20" i="35"/>
  <c r="BB54" i="33"/>
  <c r="BB54" i="35"/>
  <c r="BB55" i="33"/>
  <c r="BB55" i="35"/>
  <c r="BC53" i="35"/>
  <c r="BC20" i="35"/>
  <c r="BC54" i="33"/>
  <c r="BC54" i="35"/>
  <c r="BC55" i="33"/>
  <c r="BC55" i="35"/>
  <c r="BD52" i="35"/>
  <c r="AR52" i="35"/>
  <c r="BD19" i="35"/>
  <c r="AR19" i="35"/>
  <c r="BD53" i="35"/>
  <c r="AR53" i="35"/>
  <c r="BD20" i="35"/>
  <c r="AR20" i="35"/>
  <c r="D20" i="35" s="1"/>
  <c r="BD55" i="35"/>
  <c r="BD60" i="35" s="1"/>
  <c r="AR55" i="35"/>
  <c r="AR60" i="35" s="1"/>
  <c r="BE55" i="35"/>
  <c r="BE60" i="35" s="1"/>
  <c r="AS55" i="35"/>
  <c r="AS60" i="35" s="1"/>
  <c r="AG55" i="35"/>
  <c r="C30" i="21"/>
  <c r="C32" i="21" s="1"/>
  <c r="C34" i="21" s="1"/>
  <c r="H7" i="21" s="1"/>
  <c r="AV52" i="32"/>
  <c r="AV19" i="32"/>
  <c r="AU52" i="33"/>
  <c r="AU19" i="33"/>
  <c r="AU53" i="33"/>
  <c r="AU20" i="33"/>
  <c r="AW52" i="33"/>
  <c r="AW19" i="33"/>
  <c r="AW53" i="33"/>
  <c r="AW20" i="33"/>
  <c r="AV52" i="33"/>
  <c r="AV19" i="33"/>
  <c r="AV53" i="33"/>
  <c r="AV20" i="33"/>
  <c r="AY53" i="33"/>
  <c r="AY20" i="33"/>
  <c r="AX52" i="33"/>
  <c r="AX19" i="33"/>
  <c r="AX53" i="33"/>
  <c r="AX20" i="33"/>
  <c r="AZ52" i="33"/>
  <c r="AZ19" i="33"/>
  <c r="AB19" i="33"/>
  <c r="AZ53" i="33"/>
  <c r="AZ20" i="33"/>
  <c r="AB20" i="33"/>
  <c r="BA52" i="33"/>
  <c r="BA19" i="33"/>
  <c r="BA53" i="33"/>
  <c r="BA20" i="33"/>
  <c r="BB52" i="33"/>
  <c r="BB19" i="33"/>
  <c r="BB53" i="33"/>
  <c r="BB20" i="33"/>
  <c r="BC53" i="33"/>
  <c r="BC20" i="33"/>
  <c r="BD52" i="33"/>
  <c r="AR52" i="33"/>
  <c r="BD19" i="33"/>
  <c r="AR19" i="33"/>
  <c r="BD53" i="33"/>
  <c r="AR53" i="33"/>
  <c r="BD20" i="33"/>
  <c r="AR20" i="33"/>
  <c r="D20" i="33" s="1"/>
  <c r="BD55" i="33"/>
  <c r="AR55" i="33"/>
  <c r="BE55" i="33"/>
  <c r="BE60" i="33" s="1"/>
  <c r="AS55" i="33"/>
  <c r="AS60" i="33" s="1"/>
  <c r="AG55" i="33"/>
  <c r="C30" i="19"/>
  <c r="C32" i="19" s="1"/>
  <c r="C34" i="19" s="1"/>
  <c r="H7" i="19" s="1"/>
  <c r="AU19" i="32"/>
  <c r="AU52" i="32"/>
  <c r="AU53" i="32"/>
  <c r="AU20" i="32"/>
  <c r="AU54" i="17"/>
  <c r="AU54" i="32"/>
  <c r="AU55" i="17"/>
  <c r="AU55" i="32"/>
  <c r="AW52" i="32"/>
  <c r="AW19" i="32"/>
  <c r="AW53" i="32"/>
  <c r="AW20" i="32"/>
  <c r="AW54" i="17"/>
  <c r="AW54" i="32"/>
  <c r="AW55" i="17"/>
  <c r="AW55" i="32"/>
  <c r="AV53" i="32"/>
  <c r="AV20" i="32"/>
  <c r="AV54" i="17"/>
  <c r="AV54" i="32"/>
  <c r="AV55" i="17"/>
  <c r="AV55" i="32"/>
  <c r="AY53" i="32"/>
  <c r="AY20" i="32"/>
  <c r="AY43" i="32" s="1"/>
  <c r="AY54" i="17"/>
  <c r="AY54" i="32"/>
  <c r="AY55" i="17"/>
  <c r="AY55" i="32"/>
  <c r="AX52" i="32"/>
  <c r="AX19" i="32"/>
  <c r="AX53" i="32"/>
  <c r="AX20" i="32"/>
  <c r="AX54" i="17"/>
  <c r="AX54" i="32"/>
  <c r="AX55" i="17"/>
  <c r="AX55" i="32"/>
  <c r="AZ52" i="32"/>
  <c r="AZ19" i="32"/>
  <c r="AB19" i="32"/>
  <c r="AZ53" i="32"/>
  <c r="AZ20" i="32"/>
  <c r="AB20" i="32"/>
  <c r="AZ54" i="17"/>
  <c r="AZ54" i="32"/>
  <c r="AZ55" i="17"/>
  <c r="AZ55" i="32"/>
  <c r="BA52" i="32"/>
  <c r="BA19" i="32"/>
  <c r="BA53" i="32"/>
  <c r="BA20" i="32"/>
  <c r="BA54" i="17"/>
  <c r="BA54" i="32"/>
  <c r="BA55" i="17"/>
  <c r="BA55" i="32"/>
  <c r="BB52" i="32"/>
  <c r="BB19" i="32"/>
  <c r="BB53" i="32"/>
  <c r="BB20" i="32"/>
  <c r="BB54" i="17"/>
  <c r="BB54" i="32"/>
  <c r="BB55" i="17"/>
  <c r="BB55" i="32"/>
  <c r="BC20" i="32"/>
  <c r="BC54" i="17"/>
  <c r="BC55" i="17"/>
  <c r="BC55" i="32"/>
  <c r="BD52" i="32"/>
  <c r="AR52" i="32"/>
  <c r="BD19" i="32"/>
  <c r="AR19" i="32"/>
  <c r="BD53" i="32"/>
  <c r="AR53" i="32"/>
  <c r="BD20" i="32"/>
  <c r="AR20" i="32"/>
  <c r="D20" i="32" s="1"/>
  <c r="BD55" i="17"/>
  <c r="BD55" i="32"/>
  <c r="AR55" i="32"/>
  <c r="BE55" i="17"/>
  <c r="BE60" i="17" s="1"/>
  <c r="BE55" i="32"/>
  <c r="BE60" i="32" s="1"/>
  <c r="AS55" i="32"/>
  <c r="AS60" i="32" s="1"/>
  <c r="AG55" i="32"/>
  <c r="BK77" i="16"/>
  <c r="BJ76" i="16"/>
  <c r="BK76" i="16"/>
  <c r="BJ77" i="16"/>
  <c r="BK78" i="17"/>
  <c r="BL78" i="17"/>
  <c r="AU52" i="17"/>
  <c r="AU19" i="17"/>
  <c r="AU53" i="17"/>
  <c r="AU20" i="17"/>
  <c r="AW52" i="17"/>
  <c r="AW19" i="17"/>
  <c r="AW53" i="17"/>
  <c r="AW20" i="17"/>
  <c r="AV52" i="17"/>
  <c r="AV19" i="17"/>
  <c r="AV53" i="17"/>
  <c r="AV20" i="17"/>
  <c r="AY20" i="17"/>
  <c r="AY53" i="17"/>
  <c r="AX19" i="17"/>
  <c r="AX52" i="17"/>
  <c r="AX20" i="17"/>
  <c r="AX53" i="17"/>
  <c r="AZ19" i="17"/>
  <c r="AZ52" i="17"/>
  <c r="AZ20" i="17"/>
  <c r="AZ53" i="17"/>
  <c r="BA19" i="17"/>
  <c r="BA52" i="17"/>
  <c r="BA20" i="17"/>
  <c r="BA53" i="17"/>
  <c r="BB19" i="17"/>
  <c r="BB52" i="17"/>
  <c r="BB20" i="17"/>
  <c r="BB53" i="17"/>
  <c r="BC20" i="17"/>
  <c r="BC53" i="17"/>
  <c r="BD19" i="17"/>
  <c r="BD52" i="17"/>
  <c r="BD20" i="17"/>
  <c r="BD53" i="17"/>
  <c r="AS55" i="17"/>
  <c r="C30" i="28"/>
  <c r="C32" i="28" s="1"/>
  <c r="C34" i="28" s="1"/>
  <c r="AS52" i="17"/>
  <c r="AS53" i="17"/>
  <c r="AR55" i="17"/>
  <c r="AR52" i="17"/>
  <c r="AR19" i="17"/>
  <c r="AR53" i="17"/>
  <c r="AR20" i="17"/>
  <c r="C30" i="27"/>
  <c r="C32" i="27" s="1"/>
  <c r="C34" i="27" s="1"/>
  <c r="C30" i="26"/>
  <c r="C32" i="26" s="1"/>
  <c r="M39" i="26"/>
  <c r="M39" i="25"/>
  <c r="M40" i="22"/>
  <c r="C55" i="20"/>
  <c r="C58" i="20" s="1"/>
  <c r="G34" i="26"/>
  <c r="G34" i="25"/>
  <c r="G34" i="24"/>
  <c r="G34" i="22"/>
  <c r="G34" i="23"/>
  <c r="G34" i="20"/>
  <c r="AI28" i="16"/>
  <c r="AI64" i="16"/>
  <c r="G34" i="19"/>
  <c r="M39" i="27"/>
  <c r="AG55" i="17"/>
  <c r="E53" i="17"/>
  <c r="M37" i="26"/>
  <c r="M36" i="26"/>
  <c r="M38" i="26"/>
  <c r="M37" i="25"/>
  <c r="M38" i="25"/>
  <c r="AB19" i="17"/>
  <c r="M37" i="24"/>
  <c r="AB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K30" i="28"/>
  <c r="F1" i="19"/>
  <c r="C58" i="21"/>
  <c r="C60" i="21" s="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5" i="29"/>
  <c r="C58" i="29" s="1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I32" i="29"/>
  <c r="K43" i="28"/>
  <c r="K45" i="28" s="1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37" i="21"/>
  <c r="I45" i="21" s="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1"/>
  <c r="M36" i="20"/>
  <c r="M36" i="19"/>
  <c r="G45" i="19"/>
  <c r="BC60" i="46" l="1"/>
  <c r="AG60" i="48"/>
  <c r="D60" i="48" s="1"/>
  <c r="D55" i="48"/>
  <c r="D19" i="48"/>
  <c r="AR27" i="48"/>
  <c r="BD27" i="48"/>
  <c r="AR60" i="48"/>
  <c r="BD60" i="48"/>
  <c r="BC43" i="48"/>
  <c r="BC27" i="48"/>
  <c r="BC60" i="48"/>
  <c r="BK45" i="48"/>
  <c r="BL45" i="48"/>
  <c r="BB27" i="48"/>
  <c r="BB60" i="48"/>
  <c r="BA43" i="48"/>
  <c r="BA27" i="48"/>
  <c r="AB27" i="48"/>
  <c r="D27" i="48" s="1"/>
  <c r="AZ43" i="48"/>
  <c r="AZ27" i="48"/>
  <c r="AZ60" i="48"/>
  <c r="AX43" i="48"/>
  <c r="AX60" i="48"/>
  <c r="AY27" i="48"/>
  <c r="AY43" i="48"/>
  <c r="AY60" i="48"/>
  <c r="AV43" i="48"/>
  <c r="AV27" i="48"/>
  <c r="AV60" i="48"/>
  <c r="AW43" i="48"/>
  <c r="AW27" i="48"/>
  <c r="AU43" i="48"/>
  <c r="AU44" i="48" s="1"/>
  <c r="AU47" i="48" s="1"/>
  <c r="AU27" i="48"/>
  <c r="AU60" i="48"/>
  <c r="G47" i="26"/>
  <c r="K5" i="26"/>
  <c r="L5" i="26" s="1"/>
  <c r="AG60" i="46"/>
  <c r="D60" i="46" s="1"/>
  <c r="D55" i="46"/>
  <c r="AR27" i="46"/>
  <c r="D19" i="46"/>
  <c r="BD27" i="46"/>
  <c r="AR60" i="46"/>
  <c r="BD60" i="46"/>
  <c r="BC43" i="46"/>
  <c r="BC27" i="46"/>
  <c r="BB43" i="46"/>
  <c r="BB27" i="46"/>
  <c r="BB60" i="46"/>
  <c r="BA43" i="46"/>
  <c r="BA27" i="46"/>
  <c r="AB27" i="46"/>
  <c r="D27" i="46" s="1"/>
  <c r="AZ43" i="46"/>
  <c r="AZ27" i="46"/>
  <c r="AZ60" i="46"/>
  <c r="AX43" i="46"/>
  <c r="AX27" i="46"/>
  <c r="AX60" i="46"/>
  <c r="AY43" i="46"/>
  <c r="AY27" i="46"/>
  <c r="AV27" i="46"/>
  <c r="AV43" i="46"/>
  <c r="AV60" i="46"/>
  <c r="AW43" i="46"/>
  <c r="AW27" i="46"/>
  <c r="AW60" i="46"/>
  <c r="AU43" i="46"/>
  <c r="AU44" i="46" s="1"/>
  <c r="AU47" i="46" s="1"/>
  <c r="AU27" i="46"/>
  <c r="AU60" i="46"/>
  <c r="AY60" i="38"/>
  <c r="BC60" i="41"/>
  <c r="AY60" i="41"/>
  <c r="AZ43" i="33"/>
  <c r="AW60" i="33"/>
  <c r="BC60" i="38"/>
  <c r="AU60" i="41"/>
  <c r="AW27" i="43"/>
  <c r="BA60" i="33"/>
  <c r="AS60" i="17"/>
  <c r="AY60" i="17"/>
  <c r="AZ43" i="43"/>
  <c r="BK45" i="43" s="1"/>
  <c r="BC60" i="33"/>
  <c r="AB27" i="41"/>
  <c r="D27" i="41" s="1"/>
  <c r="BC60" i="17"/>
  <c r="AU60" i="38"/>
  <c r="AG60" i="43"/>
  <c r="D60" i="43" s="1"/>
  <c r="D55" i="43"/>
  <c r="D19" i="43"/>
  <c r="AR27" i="43"/>
  <c r="BD27" i="43"/>
  <c r="AR60" i="43"/>
  <c r="BD60" i="43"/>
  <c r="BC43" i="43"/>
  <c r="BC27" i="43"/>
  <c r="BC60" i="43"/>
  <c r="BB43" i="43"/>
  <c r="BB27" i="43"/>
  <c r="BB60" i="43"/>
  <c r="BA43" i="43"/>
  <c r="BA27" i="43"/>
  <c r="BA60" i="43"/>
  <c r="AB27" i="43"/>
  <c r="D27" i="43" s="1"/>
  <c r="AZ27" i="43"/>
  <c r="AZ60" i="43"/>
  <c r="AX43" i="43"/>
  <c r="AX27" i="43"/>
  <c r="AX60" i="43"/>
  <c r="AY43" i="43"/>
  <c r="AY27" i="43"/>
  <c r="AY60" i="43"/>
  <c r="AV43" i="43"/>
  <c r="AV27" i="43"/>
  <c r="AV60" i="43"/>
  <c r="AW43" i="43"/>
  <c r="AW60" i="43"/>
  <c r="AU27" i="43"/>
  <c r="AU43" i="43"/>
  <c r="AU44" i="43" s="1"/>
  <c r="AU47" i="43" s="1"/>
  <c r="AU60" i="43"/>
  <c r="BB43" i="35"/>
  <c r="AV60" i="35"/>
  <c r="AU27" i="41"/>
  <c r="AZ60" i="35"/>
  <c r="AG60" i="41"/>
  <c r="D60" i="41" s="1"/>
  <c r="D55" i="41"/>
  <c r="D19" i="41"/>
  <c r="AR27" i="41"/>
  <c r="BD27" i="41"/>
  <c r="AR60" i="41"/>
  <c r="BD60" i="41"/>
  <c r="BC27" i="41"/>
  <c r="BC43" i="41"/>
  <c r="BB27" i="41"/>
  <c r="BB43" i="41"/>
  <c r="BB60" i="41"/>
  <c r="BA27" i="41"/>
  <c r="BA43" i="41"/>
  <c r="BA60" i="41"/>
  <c r="AZ43" i="41"/>
  <c r="AZ27" i="41"/>
  <c r="AZ60" i="41"/>
  <c r="AX27" i="41"/>
  <c r="AX43" i="41"/>
  <c r="AX60" i="41"/>
  <c r="AY43" i="41"/>
  <c r="AY27" i="41"/>
  <c r="AV27" i="41"/>
  <c r="AV43" i="41"/>
  <c r="AV60" i="41"/>
  <c r="AW27" i="41"/>
  <c r="AW43" i="41"/>
  <c r="AW60" i="41"/>
  <c r="AU43" i="41"/>
  <c r="AY60" i="33"/>
  <c r="AY60" i="40"/>
  <c r="AG60" i="40"/>
  <c r="D60" i="40" s="1"/>
  <c r="D55" i="40"/>
  <c r="AR27" i="40"/>
  <c r="D19" i="40"/>
  <c r="BD27" i="40"/>
  <c r="AR60" i="40"/>
  <c r="BD60" i="40"/>
  <c r="BC43" i="40"/>
  <c r="BC27" i="40"/>
  <c r="BC60" i="40"/>
  <c r="BB43" i="40"/>
  <c r="BB27" i="40"/>
  <c r="BB60" i="40"/>
  <c r="BA43" i="40"/>
  <c r="BA27" i="40"/>
  <c r="BA60" i="40"/>
  <c r="AB27" i="40"/>
  <c r="D27" i="40" s="1"/>
  <c r="AZ43" i="40"/>
  <c r="AZ27" i="40"/>
  <c r="AZ60" i="40"/>
  <c r="AX43" i="40"/>
  <c r="AX27" i="40"/>
  <c r="AX60" i="40"/>
  <c r="AY43" i="40"/>
  <c r="AY27" i="40"/>
  <c r="AV27" i="40"/>
  <c r="AV43" i="40"/>
  <c r="AV60" i="40"/>
  <c r="AW43" i="40"/>
  <c r="AW27" i="40"/>
  <c r="AW60" i="40"/>
  <c r="AU43" i="40"/>
  <c r="AU44" i="40" s="1"/>
  <c r="AU47" i="40" s="1"/>
  <c r="AU27" i="40"/>
  <c r="AU60" i="40"/>
  <c r="AX43" i="32"/>
  <c r="D55" i="38"/>
  <c r="AG60" i="38"/>
  <c r="D60" i="38" s="1"/>
  <c r="D19" i="38"/>
  <c r="AR27" i="38"/>
  <c r="BD27" i="38"/>
  <c r="AR60" i="38"/>
  <c r="BD60" i="38"/>
  <c r="BC27" i="38"/>
  <c r="BC43" i="38"/>
  <c r="BB27" i="38"/>
  <c r="BB43" i="38"/>
  <c r="BB60" i="38"/>
  <c r="BA27" i="38"/>
  <c r="BA43" i="38"/>
  <c r="BA60" i="38"/>
  <c r="AB27" i="38"/>
  <c r="D27" i="38" s="1"/>
  <c r="AZ27" i="38"/>
  <c r="AZ43" i="38"/>
  <c r="AZ60" i="38"/>
  <c r="AY43" i="38"/>
  <c r="AY27" i="38"/>
  <c r="AV43" i="38"/>
  <c r="AV27" i="38"/>
  <c r="AV60" i="38"/>
  <c r="AW27" i="38"/>
  <c r="AW43" i="38"/>
  <c r="AW60" i="38"/>
  <c r="AU27" i="38"/>
  <c r="AU43" i="38"/>
  <c r="AU44" i="38" s="1"/>
  <c r="AU47" i="38" s="1"/>
  <c r="AX43" i="35"/>
  <c r="AX27" i="38"/>
  <c r="AX43" i="38"/>
  <c r="AX60" i="38"/>
  <c r="G47" i="20"/>
  <c r="K5" i="20"/>
  <c r="L5" i="20" s="1"/>
  <c r="C32" i="20"/>
  <c r="C34" i="20" s="1"/>
  <c r="AW43" i="32"/>
  <c r="AG60" i="35"/>
  <c r="D60" i="35" s="1"/>
  <c r="D55" i="35"/>
  <c r="AR27" i="35"/>
  <c r="D19" i="35"/>
  <c r="BD27" i="35"/>
  <c r="BC43" i="35"/>
  <c r="BC27" i="35"/>
  <c r="BC60" i="35"/>
  <c r="BB27" i="35"/>
  <c r="BB60" i="35"/>
  <c r="BA43" i="35"/>
  <c r="BA27" i="35"/>
  <c r="BA60" i="35"/>
  <c r="AB27" i="35"/>
  <c r="D27" i="35" s="1"/>
  <c r="AZ43" i="35"/>
  <c r="AZ27" i="35"/>
  <c r="AX27" i="35"/>
  <c r="AX60" i="35"/>
  <c r="AY43" i="35"/>
  <c r="AY27" i="35"/>
  <c r="AY60" i="35"/>
  <c r="AV27" i="35"/>
  <c r="AV43" i="35"/>
  <c r="AW43" i="35"/>
  <c r="AW27" i="35"/>
  <c r="AW60" i="35"/>
  <c r="AU43" i="35"/>
  <c r="AU27" i="35"/>
  <c r="AU60" i="35"/>
  <c r="M29" i="21"/>
  <c r="K53" i="21"/>
  <c r="G47" i="21"/>
  <c r="K5" i="21"/>
  <c r="K9" i="21" s="1"/>
  <c r="I53" i="21"/>
  <c r="G11" i="30" s="1"/>
  <c r="AV43" i="32"/>
  <c r="AG60" i="33"/>
  <c r="D60" i="33" s="1"/>
  <c r="D55" i="33"/>
  <c r="AR27" i="33"/>
  <c r="D19" i="33"/>
  <c r="BD27" i="33"/>
  <c r="AR60" i="33"/>
  <c r="BD60" i="33"/>
  <c r="BC43" i="33"/>
  <c r="BC27" i="33"/>
  <c r="BB43" i="33"/>
  <c r="BB27" i="33"/>
  <c r="BB60" i="33"/>
  <c r="BA43" i="33"/>
  <c r="BA27" i="33"/>
  <c r="AB27" i="33"/>
  <c r="D27" i="33" s="1"/>
  <c r="AZ27" i="33"/>
  <c r="AZ60" i="33"/>
  <c r="AX43" i="33"/>
  <c r="AX27" i="33"/>
  <c r="AX60" i="33"/>
  <c r="AY43" i="33"/>
  <c r="AY27" i="33"/>
  <c r="AV27" i="33"/>
  <c r="AV43" i="33"/>
  <c r="AV60" i="33"/>
  <c r="AW43" i="33"/>
  <c r="AW27" i="33"/>
  <c r="AU43" i="33"/>
  <c r="AU27" i="33"/>
  <c r="AU60" i="33"/>
  <c r="I53" i="19"/>
  <c r="F11" i="30" s="1"/>
  <c r="K5" i="19"/>
  <c r="K9" i="19" s="1"/>
  <c r="AG60" i="32"/>
  <c r="D60" i="32" s="1"/>
  <c r="D55" i="32"/>
  <c r="AR27" i="32"/>
  <c r="D19" i="32"/>
  <c r="BD27" i="32"/>
  <c r="AR60" i="32"/>
  <c r="BD60" i="32"/>
  <c r="BC43" i="32"/>
  <c r="BC27" i="32"/>
  <c r="BC60" i="32"/>
  <c r="BB43" i="32"/>
  <c r="BB27" i="32"/>
  <c r="BB60" i="32"/>
  <c r="BA43" i="32"/>
  <c r="BA27" i="32"/>
  <c r="BA60" i="32"/>
  <c r="AB27" i="32"/>
  <c r="D27" i="32" s="1"/>
  <c r="AZ43" i="32"/>
  <c r="AZ27" i="32"/>
  <c r="AZ60" i="32"/>
  <c r="AX27" i="32"/>
  <c r="AX60" i="32"/>
  <c r="AY27" i="32"/>
  <c r="AY60" i="32"/>
  <c r="AV27" i="32"/>
  <c r="AV60" i="32"/>
  <c r="AW27" i="32"/>
  <c r="AW60" i="32"/>
  <c r="AU60" i="32"/>
  <c r="AU43" i="32"/>
  <c r="AU27" i="32"/>
  <c r="C60" i="19"/>
  <c r="C62" i="19" s="1"/>
  <c r="AR60" i="17"/>
  <c r="BD60" i="17"/>
  <c r="BD27" i="17"/>
  <c r="BC27" i="17"/>
  <c r="BC43" i="17"/>
  <c r="BB60" i="17"/>
  <c r="BB27" i="17"/>
  <c r="BB43" i="17"/>
  <c r="BA60" i="17"/>
  <c r="BA27" i="17"/>
  <c r="BA43" i="17"/>
  <c r="AZ60" i="17"/>
  <c r="AZ43" i="17"/>
  <c r="AZ27" i="17"/>
  <c r="AX60" i="17"/>
  <c r="AX27" i="17"/>
  <c r="AX43" i="17"/>
  <c r="AY27" i="17"/>
  <c r="AY43" i="17"/>
  <c r="AV43" i="17"/>
  <c r="AV27" i="17"/>
  <c r="AV60" i="17"/>
  <c r="AW43" i="17"/>
  <c r="AW27" i="17"/>
  <c r="AW60" i="17"/>
  <c r="AU43" i="17"/>
  <c r="AU27" i="17"/>
  <c r="AU60" i="17"/>
  <c r="I53" i="29"/>
  <c r="I33" i="29"/>
  <c r="I46" i="29"/>
  <c r="H53" i="29"/>
  <c r="C34" i="29"/>
  <c r="AS27" i="17"/>
  <c r="H7" i="28"/>
  <c r="J7" i="28" s="1"/>
  <c r="J14" i="28" s="1"/>
  <c r="K52" i="28" s="1"/>
  <c r="C60" i="28"/>
  <c r="C62" i="28" s="1"/>
  <c r="AR27" i="17"/>
  <c r="AP60" i="17"/>
  <c r="AQ60" i="17"/>
  <c r="G47" i="27"/>
  <c r="K5" i="27"/>
  <c r="L5" i="27" s="1"/>
  <c r="AQ27" i="17"/>
  <c r="AP27" i="17"/>
  <c r="AO60" i="17"/>
  <c r="C34" i="26"/>
  <c r="C34" i="25"/>
  <c r="C61" i="25" s="1"/>
  <c r="AO27" i="17"/>
  <c r="K5" i="25"/>
  <c r="L5" i="25" s="1"/>
  <c r="G47" i="25"/>
  <c r="AM60" i="17"/>
  <c r="AN60" i="17"/>
  <c r="C61" i="24"/>
  <c r="AN27" i="17"/>
  <c r="AM27" i="17"/>
  <c r="AL60" i="17"/>
  <c r="AL27" i="17"/>
  <c r="AK27" i="17"/>
  <c r="AK60" i="17"/>
  <c r="AJ60" i="17"/>
  <c r="AJ27" i="17"/>
  <c r="AI60" i="17"/>
  <c r="AI27" i="17"/>
  <c r="K45" i="27"/>
  <c r="M43" i="26"/>
  <c r="J53" i="26" s="1"/>
  <c r="M17" i="30" s="1"/>
  <c r="AO64" i="16"/>
  <c r="AN64" i="16"/>
  <c r="AN28" i="16"/>
  <c r="M43" i="25"/>
  <c r="J53" i="25" s="1"/>
  <c r="L17" i="30" s="1"/>
  <c r="AL64" i="16"/>
  <c r="AK28" i="16"/>
  <c r="AK64" i="16"/>
  <c r="AJ64" i="16"/>
  <c r="AJ28" i="16"/>
  <c r="F8" i="30"/>
  <c r="C63" i="16"/>
  <c r="AH64" i="16"/>
  <c r="D63" i="16"/>
  <c r="AH28" i="16"/>
  <c r="E55" i="17"/>
  <c r="E54" i="17"/>
  <c r="E52" i="17"/>
  <c r="M43" i="22"/>
  <c r="M44" i="22" s="1"/>
  <c r="M43" i="24"/>
  <c r="M44" i="24" s="1"/>
  <c r="M43" i="20"/>
  <c r="M44" i="20" s="1"/>
  <c r="M43" i="21"/>
  <c r="AD43" i="17"/>
  <c r="AF27" i="17"/>
  <c r="D53" i="17"/>
  <c r="D55" i="17"/>
  <c r="D54" i="17"/>
  <c r="D52" i="17"/>
  <c r="AG60" i="17"/>
  <c r="AG27" i="17"/>
  <c r="AF60" i="17"/>
  <c r="AE27" i="17"/>
  <c r="AE43" i="17"/>
  <c r="AE60" i="17"/>
  <c r="AD60" i="17"/>
  <c r="AD27" i="17"/>
  <c r="AC27" i="17"/>
  <c r="AC60" i="17"/>
  <c r="AB27" i="17"/>
  <c r="AB60" i="17"/>
  <c r="AA27" i="17"/>
  <c r="AA60" i="17"/>
  <c r="Z60" i="17"/>
  <c r="M43" i="23"/>
  <c r="Z27" i="17"/>
  <c r="Y27" i="17"/>
  <c r="Y60" i="17"/>
  <c r="X27" i="17"/>
  <c r="X43" i="17"/>
  <c r="X60" i="17"/>
  <c r="W60" i="17"/>
  <c r="D76" i="17"/>
  <c r="M43" i="19"/>
  <c r="M44" i="19" s="1"/>
  <c r="W27" i="17"/>
  <c r="W43" i="17"/>
  <c r="K53" i="28"/>
  <c r="M29" i="28"/>
  <c r="H7" i="27"/>
  <c r="J7" i="27" s="1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G20" i="30"/>
  <c r="I33" i="25"/>
  <c r="I7" i="22"/>
  <c r="I53" i="23"/>
  <c r="M29" i="24"/>
  <c r="M43" i="27"/>
  <c r="I46" i="27"/>
  <c r="I53" i="24"/>
  <c r="K5" i="22"/>
  <c r="K9" i="22" s="1"/>
  <c r="J53" i="28"/>
  <c r="M44" i="28"/>
  <c r="H9" i="28"/>
  <c r="H9" i="26"/>
  <c r="H9" i="25"/>
  <c r="M44" i="29"/>
  <c r="J53" i="29"/>
  <c r="I46" i="28"/>
  <c r="I46" i="25"/>
  <c r="I46" i="24"/>
  <c r="H53" i="24"/>
  <c r="G47" i="24"/>
  <c r="K5" i="24"/>
  <c r="H9" i="29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AU49" i="48" l="1"/>
  <c r="AV42" i="48"/>
  <c r="AV44" i="48" s="1"/>
  <c r="AV47" i="48" s="1"/>
  <c r="C61" i="26"/>
  <c r="C63" i="26" s="1"/>
  <c r="I7" i="28"/>
  <c r="I14" i="28" s="1"/>
  <c r="I52" i="28" s="1"/>
  <c r="I55" i="28" s="1"/>
  <c r="AQ7" i="47"/>
  <c r="AU49" i="46"/>
  <c r="AV42" i="46"/>
  <c r="BL45" i="46"/>
  <c r="BK45" i="46"/>
  <c r="BL45" i="43"/>
  <c r="J61" i="25"/>
  <c r="L5" i="19"/>
  <c r="BC7" i="44"/>
  <c r="AQ7" i="44"/>
  <c r="AU49" i="43"/>
  <c r="AV42" i="43"/>
  <c r="AV44" i="43" s="1"/>
  <c r="AV47" i="43" s="1"/>
  <c r="BC7" i="42"/>
  <c r="AQ7" i="42"/>
  <c r="AU44" i="41"/>
  <c r="AU47" i="41" s="1"/>
  <c r="BL45" i="41"/>
  <c r="BK45" i="41"/>
  <c r="BC7" i="39"/>
  <c r="AQ7" i="39"/>
  <c r="AV42" i="40"/>
  <c r="AV44" i="40" s="1"/>
  <c r="AV47" i="40" s="1"/>
  <c r="AU49" i="40"/>
  <c r="BL45" i="40"/>
  <c r="BK45" i="40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BC7" i="37"/>
  <c r="AQ7" i="37"/>
  <c r="J53" i="23"/>
  <c r="I17" i="30" s="1"/>
  <c r="AV42" i="38"/>
  <c r="AV44" i="38" s="1"/>
  <c r="AV47" i="38" s="1"/>
  <c r="AU49" i="38"/>
  <c r="BK45" i="38"/>
  <c r="BL45" i="38"/>
  <c r="H7" i="20"/>
  <c r="J7" i="20" s="1"/>
  <c r="J14" i="20" s="1"/>
  <c r="C60" i="20"/>
  <c r="C62" i="20" s="1"/>
  <c r="BC7" i="36"/>
  <c r="AQ7" i="36"/>
  <c r="AU44" i="35"/>
  <c r="AU47" i="35" s="1"/>
  <c r="BL45" i="35"/>
  <c r="BK45" i="35"/>
  <c r="L5" i="21"/>
  <c r="L9" i="21" s="1"/>
  <c r="L12" i="21" s="1"/>
  <c r="M44" i="21"/>
  <c r="J53" i="21"/>
  <c r="G17" i="30" s="1"/>
  <c r="BC7" i="34"/>
  <c r="AQ7" i="34"/>
  <c r="BL45" i="33"/>
  <c r="BK45" i="33"/>
  <c r="AU44" i="33"/>
  <c r="BL44" i="33" s="1"/>
  <c r="L9" i="19"/>
  <c r="L12" i="19" s="1"/>
  <c r="BC7" i="16"/>
  <c r="BC7" i="31"/>
  <c r="AQ7" i="31"/>
  <c r="BK45" i="32"/>
  <c r="BL45" i="32"/>
  <c r="AU44" i="32"/>
  <c r="AU47" i="32" s="1"/>
  <c r="AV42" i="32" s="1"/>
  <c r="AV44" i="32" s="1"/>
  <c r="J53" i="19"/>
  <c r="L53" i="19" s="1"/>
  <c r="C64" i="16"/>
  <c r="H7" i="29"/>
  <c r="C60" i="29"/>
  <c r="C62" i="29" s="1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AQ7" i="16"/>
  <c r="C61" i="23"/>
  <c r="C63" i="23" s="1"/>
  <c r="M44" i="26"/>
  <c r="J53" i="24"/>
  <c r="K17" i="30" s="1"/>
  <c r="J53" i="22"/>
  <c r="J17" i="30" s="1"/>
  <c r="M44" i="23"/>
  <c r="D80" i="16"/>
  <c r="C80" i="16"/>
  <c r="C82" i="16" s="1"/>
  <c r="E60" i="17"/>
  <c r="L53" i="29"/>
  <c r="K55" i="28"/>
  <c r="J53" i="20"/>
  <c r="H17" i="30" s="1"/>
  <c r="D60" i="17"/>
  <c r="I7" i="27"/>
  <c r="I14" i="27" s="1"/>
  <c r="I52" i="27" s="1"/>
  <c r="I55" i="27" s="1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J15" i="28"/>
  <c r="I7" i="20"/>
  <c r="I14" i="20" s="1"/>
  <c r="I52" i="20" s="1"/>
  <c r="I55" i="20" s="1"/>
  <c r="I55" i="19"/>
  <c r="AT7" i="49" s="1"/>
  <c r="F13" i="30"/>
  <c r="M44" i="27"/>
  <c r="J53" i="27"/>
  <c r="N17" i="30" s="1"/>
  <c r="J61" i="29"/>
  <c r="K12" i="19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12" i="29"/>
  <c r="L9" i="29"/>
  <c r="L12" i="29" s="1"/>
  <c r="J61" i="28"/>
  <c r="K9" i="25"/>
  <c r="K12" i="25" s="1"/>
  <c r="H12" i="25"/>
  <c r="H14" i="25" s="1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9" i="20"/>
  <c r="K12" i="20" s="1"/>
  <c r="H52" i="20" s="1"/>
  <c r="K12" i="21"/>
  <c r="H12" i="21"/>
  <c r="H14" i="21" s="1"/>
  <c r="J15" i="19"/>
  <c r="J14" i="19"/>
  <c r="H14" i="19"/>
  <c r="H15" i="19" s="1"/>
  <c r="AV7" i="47" l="1"/>
  <c r="AV7" i="49"/>
  <c r="AW7" i="47"/>
  <c r="AW7" i="49"/>
  <c r="AW7" i="46"/>
  <c r="AW7" i="48"/>
  <c r="BC7" i="46"/>
  <c r="BC7" i="48"/>
  <c r="BB7" i="47"/>
  <c r="BB7" i="49"/>
  <c r="BD7" i="48"/>
  <c r="AR7" i="48"/>
  <c r="AX7" i="47"/>
  <c r="AX7" i="49"/>
  <c r="BC7" i="47"/>
  <c r="BC7" i="49"/>
  <c r="AQ7" i="49"/>
  <c r="AV49" i="48"/>
  <c r="AW42" i="48"/>
  <c r="AW44" i="48" s="1"/>
  <c r="AW47" i="48" s="1"/>
  <c r="J61" i="20"/>
  <c r="AT7" i="44"/>
  <c r="AT7" i="47"/>
  <c r="BD7" i="46"/>
  <c r="AR7" i="46"/>
  <c r="AV44" i="46"/>
  <c r="AV47" i="46" s="1"/>
  <c r="I7" i="26"/>
  <c r="J15" i="26" s="1"/>
  <c r="BK44" i="33"/>
  <c r="H14" i="26"/>
  <c r="H15" i="26" s="1"/>
  <c r="J61" i="23"/>
  <c r="L53" i="23"/>
  <c r="AV7" i="42"/>
  <c r="AV7" i="44"/>
  <c r="AW7" i="42"/>
  <c r="AW7" i="44"/>
  <c r="AW7" i="41"/>
  <c r="AW7" i="43"/>
  <c r="BC7" i="41"/>
  <c r="BC7" i="43"/>
  <c r="BB7" i="42"/>
  <c r="BB7" i="44"/>
  <c r="BD7" i="43"/>
  <c r="AR7" i="43"/>
  <c r="AX7" i="42"/>
  <c r="AX7" i="44"/>
  <c r="AV49" i="43"/>
  <c r="AW42" i="43"/>
  <c r="J61" i="24"/>
  <c r="AT7" i="39"/>
  <c r="AT7" i="42"/>
  <c r="BD7" i="41"/>
  <c r="AR7" i="41"/>
  <c r="AU49" i="41"/>
  <c r="AV42" i="41"/>
  <c r="AV44" i="41" s="1"/>
  <c r="AV47" i="41" s="1"/>
  <c r="H52" i="22"/>
  <c r="H55" i="22" s="1"/>
  <c r="J61" i="22"/>
  <c r="AV7" i="37"/>
  <c r="AV7" i="39"/>
  <c r="AW7" i="37"/>
  <c r="AW7" i="39"/>
  <c r="AW7" i="38"/>
  <c r="AW7" i="40"/>
  <c r="BC7" i="38"/>
  <c r="BC7" i="40"/>
  <c r="BB7" i="37"/>
  <c r="BB7" i="39"/>
  <c r="BD7" i="40"/>
  <c r="AR7" i="40"/>
  <c r="AX7" i="37"/>
  <c r="AX7" i="39"/>
  <c r="AV49" i="40"/>
  <c r="AW42" i="40"/>
  <c r="AW44" i="40" s="1"/>
  <c r="AW47" i="40" s="1"/>
  <c r="AT7" i="36"/>
  <c r="AT7" i="37"/>
  <c r="BD7" i="38"/>
  <c r="AR7" i="38"/>
  <c r="AV49" i="38"/>
  <c r="AW42" i="38"/>
  <c r="AW44" i="38" s="1"/>
  <c r="AU49" i="35"/>
  <c r="AV42" i="35"/>
  <c r="AV44" i="35" s="1"/>
  <c r="AV7" i="34"/>
  <c r="AV7" i="36"/>
  <c r="AW7" i="34"/>
  <c r="AW7" i="36"/>
  <c r="AW7" i="33"/>
  <c r="AW7" i="35"/>
  <c r="BC7" i="33"/>
  <c r="BC7" i="35"/>
  <c r="BB7" i="34"/>
  <c r="BB7" i="36"/>
  <c r="BD7" i="35"/>
  <c r="AR7" i="35"/>
  <c r="AX7" i="34"/>
  <c r="AX7" i="36"/>
  <c r="C62" i="21"/>
  <c r="H15" i="21"/>
  <c r="I7" i="21"/>
  <c r="I14" i="21" s="1"/>
  <c r="I52" i="21" s="1"/>
  <c r="J7" i="21"/>
  <c r="AT7" i="16"/>
  <c r="AT7" i="34"/>
  <c r="BD7" i="33"/>
  <c r="AR7" i="33"/>
  <c r="BK43" i="33"/>
  <c r="BL42" i="33"/>
  <c r="AU47" i="33"/>
  <c r="J52" i="19"/>
  <c r="J55" i="19" s="1"/>
  <c r="AU6" i="48" s="1"/>
  <c r="L14" i="19"/>
  <c r="F19" i="30" s="1"/>
  <c r="AV7" i="16"/>
  <c r="AV7" i="31"/>
  <c r="AW7" i="16"/>
  <c r="AW7" i="31"/>
  <c r="AW7" i="17"/>
  <c r="AW7" i="32"/>
  <c r="BC7" i="17"/>
  <c r="BC7" i="32"/>
  <c r="BB7" i="16"/>
  <c r="BB7" i="31"/>
  <c r="BD7" i="17"/>
  <c r="BD7" i="32"/>
  <c r="AR7" i="32"/>
  <c r="AX7" i="16"/>
  <c r="AX7" i="31"/>
  <c r="F17" i="30"/>
  <c r="J61" i="19"/>
  <c r="AU49" i="32"/>
  <c r="AV47" i="32"/>
  <c r="AV49" i="32" s="1"/>
  <c r="AT7" i="31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AR7" i="17"/>
  <c r="L53" i="20"/>
  <c r="L53" i="21"/>
  <c r="J61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52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H15" i="25"/>
  <c r="K14" i="29"/>
  <c r="H52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55" i="23" s="1"/>
  <c r="H15" i="23"/>
  <c r="J55" i="23"/>
  <c r="AX6" i="48" s="1"/>
  <c r="L14" i="23"/>
  <c r="I19" i="30" s="1"/>
  <c r="H14" i="20"/>
  <c r="H15" i="20" s="1"/>
  <c r="J52" i="21"/>
  <c r="J55" i="21" s="1"/>
  <c r="AV6" i="48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U6" i="49" s="1"/>
  <c r="AW6" i="46" l="1"/>
  <c r="AW6" i="48"/>
  <c r="AW6" i="47"/>
  <c r="AW6" i="49"/>
  <c r="AZ6" i="46"/>
  <c r="AZ6" i="48"/>
  <c r="BC6" i="46"/>
  <c r="BC6" i="48"/>
  <c r="BD6" i="48"/>
  <c r="AR6" i="48"/>
  <c r="BB6" i="46"/>
  <c r="BB6" i="48"/>
  <c r="BA6" i="46"/>
  <c r="BA6" i="48"/>
  <c r="BE6" i="48"/>
  <c r="AS6" i="48"/>
  <c r="AU7" i="46"/>
  <c r="AU7" i="48"/>
  <c r="AY6" i="46"/>
  <c r="AY6" i="48"/>
  <c r="BB7" i="46"/>
  <c r="BB7" i="48"/>
  <c r="AY7" i="47"/>
  <c r="AY7" i="49"/>
  <c r="AZ7" i="47"/>
  <c r="AZ7" i="49"/>
  <c r="BD7" i="49"/>
  <c r="AR7" i="49"/>
  <c r="C7" i="49" s="1"/>
  <c r="AX6" i="47"/>
  <c r="AX6" i="49"/>
  <c r="AW49" i="48"/>
  <c r="AX42" i="48"/>
  <c r="I14" i="26"/>
  <c r="I52" i="26" s="1"/>
  <c r="I55" i="26" s="1"/>
  <c r="AV49" i="46"/>
  <c r="AW42" i="46"/>
  <c r="AU6" i="44"/>
  <c r="AU6" i="47"/>
  <c r="AV6" i="43"/>
  <c r="AV6" i="46"/>
  <c r="AX6" i="43"/>
  <c r="AX6" i="46"/>
  <c r="BD6" i="46"/>
  <c r="AR6" i="46"/>
  <c r="BE6" i="46"/>
  <c r="AS6" i="46"/>
  <c r="BD7" i="47"/>
  <c r="AR7" i="47"/>
  <c r="AU6" i="43"/>
  <c r="AU6" i="46"/>
  <c r="AW6" i="41"/>
  <c r="AW6" i="43"/>
  <c r="AW6" i="42"/>
  <c r="AW6" i="44"/>
  <c r="AZ6" i="41"/>
  <c r="AZ6" i="43"/>
  <c r="BC6" i="41"/>
  <c r="BC6" i="43"/>
  <c r="BD6" i="43"/>
  <c r="AR6" i="43"/>
  <c r="BB6" i="41"/>
  <c r="BB6" i="43"/>
  <c r="BA6" i="41"/>
  <c r="BA6" i="43"/>
  <c r="BE6" i="43"/>
  <c r="AS6" i="43"/>
  <c r="AU7" i="41"/>
  <c r="AU7" i="43"/>
  <c r="AY6" i="41"/>
  <c r="AY6" i="43"/>
  <c r="BB7" i="41"/>
  <c r="BB7" i="43"/>
  <c r="AY7" i="42"/>
  <c r="AY7" i="44"/>
  <c r="AZ7" i="42"/>
  <c r="AZ7" i="44"/>
  <c r="BD7" i="44"/>
  <c r="AR7" i="44"/>
  <c r="AX6" i="42"/>
  <c r="BJ8" i="42" s="1"/>
  <c r="AX6" i="44"/>
  <c r="AW44" i="43"/>
  <c r="AW47" i="43" s="1"/>
  <c r="AU6" i="39"/>
  <c r="AU6" i="42"/>
  <c r="AV6" i="40"/>
  <c r="AV6" i="41"/>
  <c r="AX6" i="40"/>
  <c r="AX6" i="41"/>
  <c r="BD6" i="41"/>
  <c r="AR6" i="41"/>
  <c r="BE6" i="41"/>
  <c r="AS6" i="41"/>
  <c r="BD7" i="42"/>
  <c r="AR7" i="42"/>
  <c r="AU6" i="40"/>
  <c r="AU6" i="41"/>
  <c r="AV49" i="41"/>
  <c r="AW42" i="41"/>
  <c r="AX6" i="37"/>
  <c r="AX6" i="39"/>
  <c r="AW6" i="38"/>
  <c r="BK8" i="38" s="1"/>
  <c r="AW6" i="40"/>
  <c r="I56" i="23"/>
  <c r="AW6" i="39"/>
  <c r="AZ6" i="38"/>
  <c r="AZ6" i="40"/>
  <c r="BC6" i="38"/>
  <c r="BC6" i="40"/>
  <c r="BD6" i="40"/>
  <c r="AR6" i="40"/>
  <c r="BB6" i="38"/>
  <c r="BB6" i="40"/>
  <c r="BA6" i="38"/>
  <c r="BA6" i="40"/>
  <c r="BE6" i="40"/>
  <c r="AS6" i="40"/>
  <c r="AU7" i="38"/>
  <c r="AU7" i="40"/>
  <c r="AY6" i="38"/>
  <c r="AY6" i="40"/>
  <c r="BB7" i="38"/>
  <c r="BB7" i="40"/>
  <c r="AY7" i="37"/>
  <c r="AY7" i="39"/>
  <c r="AZ7" i="37"/>
  <c r="AZ7" i="39"/>
  <c r="BD7" i="39"/>
  <c r="AR7" i="39"/>
  <c r="AW49" i="40"/>
  <c r="AX42" i="40"/>
  <c r="AU6" i="36"/>
  <c r="AU6" i="37"/>
  <c r="AV6" i="35"/>
  <c r="AV6" i="38"/>
  <c r="BD6" i="38"/>
  <c r="AR6" i="38"/>
  <c r="AR8" i="38" s="1"/>
  <c r="AR13" i="38" s="1"/>
  <c r="BE6" i="38"/>
  <c r="AS6" i="38"/>
  <c r="BD7" i="37"/>
  <c r="AR7" i="37"/>
  <c r="AU6" i="35"/>
  <c r="AU6" i="38"/>
  <c r="AW47" i="38"/>
  <c r="BL42" i="38"/>
  <c r="BK43" i="38"/>
  <c r="BK44" i="38"/>
  <c r="BL44" i="38"/>
  <c r="AX6" i="38"/>
  <c r="AW6" i="33"/>
  <c r="AW6" i="35"/>
  <c r="AX6" i="33"/>
  <c r="AX6" i="35"/>
  <c r="AZ6" i="33"/>
  <c r="AZ6" i="35"/>
  <c r="BC6" i="33"/>
  <c r="BC6" i="35"/>
  <c r="BD6" i="35"/>
  <c r="AR6" i="35"/>
  <c r="BB6" i="33"/>
  <c r="BB6" i="35"/>
  <c r="BA6" i="33"/>
  <c r="BA6" i="35"/>
  <c r="BE6" i="35"/>
  <c r="AS6" i="35"/>
  <c r="AU7" i="33"/>
  <c r="AU7" i="35"/>
  <c r="AY6" i="33"/>
  <c r="AY6" i="35"/>
  <c r="BB7" i="33"/>
  <c r="BB7" i="35"/>
  <c r="AX6" i="34"/>
  <c r="AX6" i="36"/>
  <c r="AY7" i="34"/>
  <c r="AY7" i="36"/>
  <c r="AZ7" i="34"/>
  <c r="AZ7" i="36"/>
  <c r="BD7" i="36"/>
  <c r="AR7" i="36"/>
  <c r="AV47" i="35"/>
  <c r="BK43" i="35"/>
  <c r="BL42" i="35"/>
  <c r="BK44" i="35"/>
  <c r="BL44" i="35"/>
  <c r="J15" i="21"/>
  <c r="J14" i="21"/>
  <c r="G13" i="30"/>
  <c r="I55" i="21"/>
  <c r="AV6" i="33"/>
  <c r="AV6" i="32"/>
  <c r="BD6" i="33"/>
  <c r="AR6" i="33"/>
  <c r="BE6" i="33"/>
  <c r="AS6" i="33"/>
  <c r="BD7" i="34"/>
  <c r="AR7" i="34"/>
  <c r="AU6" i="32"/>
  <c r="AU6" i="33"/>
  <c r="AV42" i="33"/>
  <c r="AV44" i="33" s="1"/>
  <c r="AV47" i="33" s="1"/>
  <c r="AU49" i="33"/>
  <c r="BL48" i="33"/>
  <c r="AW6" i="17"/>
  <c r="AW6" i="32"/>
  <c r="AV6" i="17"/>
  <c r="AX6" i="17"/>
  <c r="AX6" i="32"/>
  <c r="AZ6" i="17"/>
  <c r="AZ6" i="32"/>
  <c r="BC6" i="17"/>
  <c r="BC6" i="32"/>
  <c r="BD6" i="17"/>
  <c r="BD6" i="32"/>
  <c r="AR6" i="32"/>
  <c r="BB6" i="17"/>
  <c r="BB6" i="32"/>
  <c r="BA6" i="17"/>
  <c r="BA6" i="32"/>
  <c r="BE6" i="17"/>
  <c r="BE6" i="32"/>
  <c r="AS6" i="32"/>
  <c r="AY6" i="17"/>
  <c r="AY6" i="32"/>
  <c r="BB7" i="17"/>
  <c r="BB7" i="32"/>
  <c r="AX6" i="16"/>
  <c r="AX6" i="31"/>
  <c r="AY7" i="16"/>
  <c r="AY7" i="31"/>
  <c r="AZ7" i="16"/>
  <c r="AZ7" i="31"/>
  <c r="BD7" i="16"/>
  <c r="BD7" i="31"/>
  <c r="AR7" i="31"/>
  <c r="C7" i="31" s="1"/>
  <c r="AW42" i="32"/>
  <c r="AW44" i="32" s="1"/>
  <c r="AU6" i="17"/>
  <c r="AU7" i="17"/>
  <c r="AU7" i="32"/>
  <c r="AS6" i="17"/>
  <c r="AR7" i="16"/>
  <c r="J15" i="29"/>
  <c r="J14" i="29"/>
  <c r="K52" i="29" s="1"/>
  <c r="K55" i="29" s="1"/>
  <c r="AR6" i="17"/>
  <c r="D7" i="16"/>
  <c r="H55" i="25"/>
  <c r="J15" i="25"/>
  <c r="J14" i="25"/>
  <c r="J14" i="24"/>
  <c r="J15" i="24"/>
  <c r="L52" i="23"/>
  <c r="L54" i="23" s="1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AW6" i="37"/>
  <c r="AU6" i="34"/>
  <c r="H55" i="19"/>
  <c r="AT6" i="49" s="1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Y7" i="46" l="1"/>
  <c r="AY7" i="48"/>
  <c r="BB6" i="47"/>
  <c r="BB6" i="49"/>
  <c r="BC6" i="49"/>
  <c r="AQ6" i="49"/>
  <c r="BD6" i="49"/>
  <c r="AR6" i="49"/>
  <c r="AY6" i="47"/>
  <c r="AY6" i="49"/>
  <c r="BA6" i="47"/>
  <c r="BA6" i="49"/>
  <c r="AV6" i="47"/>
  <c r="AV6" i="49"/>
  <c r="AX7" i="46"/>
  <c r="AX7" i="48"/>
  <c r="AZ6" i="47"/>
  <c r="AZ6" i="49"/>
  <c r="BE7" i="48"/>
  <c r="AS7" i="48"/>
  <c r="AU7" i="47"/>
  <c r="AU7" i="49"/>
  <c r="BA7" i="47"/>
  <c r="BA7" i="49"/>
  <c r="AX44" i="48"/>
  <c r="AX47" i="48" s="1"/>
  <c r="BK8" i="48"/>
  <c r="BL8" i="48"/>
  <c r="AR8" i="48"/>
  <c r="BA7" i="44"/>
  <c r="BA7" i="42"/>
  <c r="BA7" i="36"/>
  <c r="BA7" i="31"/>
  <c r="BA7" i="34"/>
  <c r="BA7" i="37"/>
  <c r="BA7" i="39"/>
  <c r="L52" i="26"/>
  <c r="L54" i="26" s="1"/>
  <c r="BA7" i="16"/>
  <c r="BL8" i="38"/>
  <c r="BK8" i="42"/>
  <c r="BC6" i="47"/>
  <c r="AQ6" i="47"/>
  <c r="BD6" i="47"/>
  <c r="AR6" i="47"/>
  <c r="AT6" i="44"/>
  <c r="AT6" i="47"/>
  <c r="BK8" i="47"/>
  <c r="BJ8" i="47"/>
  <c r="BE7" i="46"/>
  <c r="AS7" i="46"/>
  <c r="C7" i="47"/>
  <c r="AR8" i="46"/>
  <c r="AR13" i="46"/>
  <c r="AW44" i="46"/>
  <c r="AW47" i="46" s="1"/>
  <c r="AY7" i="41"/>
  <c r="BK8" i="41" s="1"/>
  <c r="AY7" i="43"/>
  <c r="BB6" i="42"/>
  <c r="BB6" i="44"/>
  <c r="BC6" i="44"/>
  <c r="AQ6" i="44"/>
  <c r="BD6" i="44"/>
  <c r="AR6" i="44"/>
  <c r="AY6" i="42"/>
  <c r="AY6" i="44"/>
  <c r="BA6" i="42"/>
  <c r="BA6" i="44"/>
  <c r="AV6" i="42"/>
  <c r="AV6" i="44"/>
  <c r="AX7" i="41"/>
  <c r="AX7" i="43"/>
  <c r="AZ6" i="42"/>
  <c r="AZ6" i="44"/>
  <c r="BE7" i="43"/>
  <c r="AS7" i="43"/>
  <c r="AU7" i="42"/>
  <c r="AU7" i="44"/>
  <c r="AW49" i="43"/>
  <c r="AX42" i="43"/>
  <c r="AX44" i="43" s="1"/>
  <c r="AX47" i="43" s="1"/>
  <c r="C7" i="44"/>
  <c r="AR8" i="43"/>
  <c r="AR13" i="43" s="1"/>
  <c r="BC6" i="42"/>
  <c r="AQ6" i="42"/>
  <c r="BD6" i="42"/>
  <c r="AR6" i="42"/>
  <c r="AT6" i="39"/>
  <c r="AT6" i="42"/>
  <c r="BE7" i="41"/>
  <c r="AS7" i="41"/>
  <c r="AW44" i="41"/>
  <c r="AW47" i="41" s="1"/>
  <c r="C7" i="42"/>
  <c r="BL8" i="41"/>
  <c r="AR8" i="41"/>
  <c r="AY7" i="38"/>
  <c r="AY7" i="40"/>
  <c r="BB6" i="37"/>
  <c r="BB6" i="39"/>
  <c r="BC6" i="39"/>
  <c r="AQ6" i="39"/>
  <c r="BD6" i="39"/>
  <c r="AR6" i="39"/>
  <c r="AY6" i="37"/>
  <c r="AY6" i="39"/>
  <c r="BA6" i="37"/>
  <c r="BA6" i="39"/>
  <c r="AV6" i="37"/>
  <c r="BJ8" i="37" s="1"/>
  <c r="AV6" i="39"/>
  <c r="AX7" i="38"/>
  <c r="AX7" i="40"/>
  <c r="AZ6" i="37"/>
  <c r="AZ6" i="39"/>
  <c r="BE7" i="40"/>
  <c r="AS7" i="40"/>
  <c r="AU7" i="37"/>
  <c r="AU7" i="39"/>
  <c r="AX44" i="40"/>
  <c r="AX47" i="40" s="1"/>
  <c r="C7" i="39"/>
  <c r="AR8" i="40"/>
  <c r="AR13" i="40" s="1"/>
  <c r="BK8" i="39"/>
  <c r="BJ8" i="39"/>
  <c r="BC6" i="37"/>
  <c r="AQ6" i="37"/>
  <c r="BD6" i="37"/>
  <c r="AR6" i="37"/>
  <c r="AT6" i="36"/>
  <c r="AT6" i="37"/>
  <c r="BE7" i="38"/>
  <c r="AS7" i="38"/>
  <c r="K56" i="23"/>
  <c r="G59" i="23" s="1"/>
  <c r="BL48" i="38"/>
  <c r="AW49" i="38"/>
  <c r="AX42" i="38"/>
  <c r="AX44" i="38" s="1"/>
  <c r="AX47" i="38" s="1"/>
  <c r="C7" i="37"/>
  <c r="AR15" i="38"/>
  <c r="AS5" i="38"/>
  <c r="AS8" i="38" s="1"/>
  <c r="AS13" i="38" s="1"/>
  <c r="AW47" i="32"/>
  <c r="AX42" i="32" s="1"/>
  <c r="AY7" i="33"/>
  <c r="AY7" i="35"/>
  <c r="BB6" i="34"/>
  <c r="BB6" i="36"/>
  <c r="BC6" i="36"/>
  <c r="AQ6" i="36"/>
  <c r="BD6" i="36"/>
  <c r="AR6" i="36"/>
  <c r="AW6" i="34"/>
  <c r="AW6" i="36"/>
  <c r="AY6" i="34"/>
  <c r="AY6" i="36"/>
  <c r="BA6" i="34"/>
  <c r="BA6" i="36"/>
  <c r="AV6" i="34"/>
  <c r="AV6" i="36"/>
  <c r="AX7" i="33"/>
  <c r="AX7" i="35"/>
  <c r="AZ6" i="34"/>
  <c r="AZ6" i="36"/>
  <c r="BE7" i="35"/>
  <c r="AS7" i="35"/>
  <c r="AU7" i="34"/>
  <c r="AU7" i="36"/>
  <c r="BL48" i="35"/>
  <c r="AW42" i="35"/>
  <c r="AW44" i="35" s="1"/>
  <c r="AW47" i="35" s="1"/>
  <c r="AV49" i="35"/>
  <c r="C7" i="36"/>
  <c r="AR8" i="35"/>
  <c r="AR13" i="35" s="1"/>
  <c r="AU7" i="16"/>
  <c r="AU7" i="31"/>
  <c r="K52" i="21"/>
  <c r="G22" i="30"/>
  <c r="BC6" i="34"/>
  <c r="AQ6" i="34"/>
  <c r="BD6" i="34"/>
  <c r="AR6" i="34"/>
  <c r="AT6" i="16"/>
  <c r="AT6" i="34"/>
  <c r="BE7" i="33"/>
  <c r="AS7" i="33"/>
  <c r="AV49" i="33"/>
  <c r="AW42" i="33"/>
  <c r="BK8" i="33"/>
  <c r="BL8" i="33"/>
  <c r="C7" i="34"/>
  <c r="AR8" i="33"/>
  <c r="AR13" i="33" s="1"/>
  <c r="AY7" i="17"/>
  <c r="AY7" i="32"/>
  <c r="BB6" i="16"/>
  <c r="BB6" i="31"/>
  <c r="BC6" i="16"/>
  <c r="BC6" i="31"/>
  <c r="AQ6" i="31"/>
  <c r="BD6" i="16"/>
  <c r="BD6" i="31"/>
  <c r="AR6" i="31"/>
  <c r="AU6" i="16"/>
  <c r="AU6" i="31"/>
  <c r="AW6" i="16"/>
  <c r="AW6" i="31"/>
  <c r="AY6" i="16"/>
  <c r="AY6" i="31"/>
  <c r="BA6" i="16"/>
  <c r="BA6" i="31"/>
  <c r="AV6" i="16"/>
  <c r="AV6" i="31"/>
  <c r="AX7" i="17"/>
  <c r="AX7" i="32"/>
  <c r="AZ6" i="16"/>
  <c r="AZ6" i="31"/>
  <c r="BE7" i="17"/>
  <c r="BE7" i="32"/>
  <c r="AS7" i="32"/>
  <c r="AR8" i="32"/>
  <c r="AR13" i="32" s="1"/>
  <c r="AT6" i="31"/>
  <c r="AR6" i="16"/>
  <c r="K56" i="29"/>
  <c r="AS7" i="17"/>
  <c r="E7" i="17"/>
  <c r="L52" i="29"/>
  <c r="L54" i="29" s="1"/>
  <c r="E6" i="17"/>
  <c r="AQ6" i="16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0"/>
  <c r="G59" i="20" s="1"/>
  <c r="I56" i="21"/>
  <c r="AX49" i="48" l="1"/>
  <c r="AY42" i="48"/>
  <c r="AR13" i="48"/>
  <c r="BK8" i="49"/>
  <c r="BJ8" i="49"/>
  <c r="C6" i="49"/>
  <c r="AQ8" i="49"/>
  <c r="BJ8" i="16"/>
  <c r="C6" i="47"/>
  <c r="AW49" i="46"/>
  <c r="AX42" i="46"/>
  <c r="AR15" i="46"/>
  <c r="AS5" i="46"/>
  <c r="AQ8" i="47"/>
  <c r="AQ13" i="47" s="1"/>
  <c r="BK8" i="37"/>
  <c r="AS5" i="43"/>
  <c r="AR15" i="43"/>
  <c r="AX49" i="43"/>
  <c r="AY42" i="43"/>
  <c r="AY44" i="43" s="1"/>
  <c r="AY47" i="43" s="1"/>
  <c r="BJ8" i="44"/>
  <c r="BK8" i="44"/>
  <c r="C6" i="44"/>
  <c r="AQ8" i="44"/>
  <c r="AW49" i="41"/>
  <c r="AX42" i="41"/>
  <c r="AX44" i="41" s="1"/>
  <c r="AX47" i="41" s="1"/>
  <c r="AR13" i="41"/>
  <c r="C6" i="42"/>
  <c r="AQ8" i="42"/>
  <c r="AW49" i="32"/>
  <c r="AR15" i="40"/>
  <c r="AS5" i="40"/>
  <c r="AX49" i="40"/>
  <c r="AY42" i="40"/>
  <c r="AY44" i="40" s="1"/>
  <c r="AY47" i="40" s="1"/>
  <c r="BK43" i="40"/>
  <c r="BL42" i="40"/>
  <c r="BL44" i="40"/>
  <c r="BK44" i="40"/>
  <c r="BK8" i="40"/>
  <c r="BL8" i="40"/>
  <c r="C6" i="39"/>
  <c r="AQ8" i="39"/>
  <c r="AX44" i="32"/>
  <c r="AX47" i="32" s="1"/>
  <c r="AS15" i="38"/>
  <c r="AT5" i="38"/>
  <c r="AX49" i="38"/>
  <c r="AY42" i="38"/>
  <c r="AY44" i="38" s="1"/>
  <c r="AY47" i="38" s="1"/>
  <c r="C6" i="37"/>
  <c r="AQ8" i="37"/>
  <c r="AQ13" i="37" s="1"/>
  <c r="AR15" i="35"/>
  <c r="AS5" i="35"/>
  <c r="AW49" i="35"/>
  <c r="AX42" i="35"/>
  <c r="BK8" i="36"/>
  <c r="BJ8" i="36"/>
  <c r="C6" i="36"/>
  <c r="AQ8" i="36"/>
  <c r="K55" i="21"/>
  <c r="AV7" i="48" s="1"/>
  <c r="L52" i="21"/>
  <c r="L54" i="21" s="1"/>
  <c r="AS5" i="33"/>
  <c r="AR15" i="33"/>
  <c r="AW44" i="33"/>
  <c r="AW47" i="33" s="1"/>
  <c r="BJ8" i="34"/>
  <c r="BK8" i="34"/>
  <c r="C6" i="34"/>
  <c r="AQ8" i="34"/>
  <c r="AR15" i="32"/>
  <c r="AS5" i="32"/>
  <c r="C6" i="31"/>
  <c r="AQ8" i="31"/>
  <c r="AQ13" i="31" s="1"/>
  <c r="G59" i="29"/>
  <c r="D6" i="16"/>
  <c r="L56" i="22"/>
  <c r="K55" i="25"/>
  <c r="L52" i="25"/>
  <c r="L54" i="25" s="1"/>
  <c r="K55" i="24"/>
  <c r="L52" i="24"/>
  <c r="L54" i="24" s="1"/>
  <c r="L56" i="26"/>
  <c r="L56" i="23"/>
  <c r="L56" i="27"/>
  <c r="G59" i="22"/>
  <c r="L56" i="29"/>
  <c r="L56" i="28"/>
  <c r="AZ7" i="46" l="1"/>
  <c r="AZ7" i="48"/>
  <c r="BA7" i="46"/>
  <c r="BA7" i="48"/>
  <c r="AQ13" i="49"/>
  <c r="AR15" i="48"/>
  <c r="AS5" i="48"/>
  <c r="AY44" i="48"/>
  <c r="AY47" i="48" s="1"/>
  <c r="BL8" i="46"/>
  <c r="BK8" i="46"/>
  <c r="AV7" i="43"/>
  <c r="AV7" i="46"/>
  <c r="AR5" i="47"/>
  <c r="AQ15" i="47"/>
  <c r="AS8" i="46"/>
  <c r="AS13" i="46"/>
  <c r="AX44" i="46"/>
  <c r="AX47" i="46" s="1"/>
  <c r="AZ7" i="41"/>
  <c r="AZ7" i="43"/>
  <c r="BA7" i="41"/>
  <c r="BA7" i="43"/>
  <c r="AQ13" i="44"/>
  <c r="AY49" i="43"/>
  <c r="AZ42" i="43"/>
  <c r="AS8" i="43"/>
  <c r="AS13" i="43" s="1"/>
  <c r="AV7" i="40"/>
  <c r="AV7" i="41"/>
  <c r="AQ13" i="42"/>
  <c r="AS5" i="41"/>
  <c r="AR15" i="41"/>
  <c r="AX49" i="41"/>
  <c r="AY42" i="41"/>
  <c r="AZ7" i="38"/>
  <c r="AZ7" i="40"/>
  <c r="BA7" i="38"/>
  <c r="BA7" i="40"/>
  <c r="AQ13" i="39"/>
  <c r="BL48" i="40"/>
  <c r="AY49" i="40"/>
  <c r="AZ42" i="40"/>
  <c r="AZ44" i="40" s="1"/>
  <c r="AZ47" i="40" s="1"/>
  <c r="AS8" i="40"/>
  <c r="AS13" i="40" s="1"/>
  <c r="AX49" i="32"/>
  <c r="AY42" i="32"/>
  <c r="AY44" i="32" s="1"/>
  <c r="AV7" i="35"/>
  <c r="BL8" i="35" s="1"/>
  <c r="AV7" i="38"/>
  <c r="AQ15" i="37"/>
  <c r="AR5" i="37"/>
  <c r="AR8" i="37" s="1"/>
  <c r="AR13" i="37" s="1"/>
  <c r="C8" i="37"/>
  <c r="C13" i="37" s="1"/>
  <c r="AY49" i="38"/>
  <c r="AZ42" i="38"/>
  <c r="AZ44" i="38" s="1"/>
  <c r="AZ47" i="38" s="1"/>
  <c r="AZ7" i="33"/>
  <c r="AZ7" i="35"/>
  <c r="BA7" i="33"/>
  <c r="BA7" i="35"/>
  <c r="AQ13" i="36"/>
  <c r="AX44" i="35"/>
  <c r="AX47" i="35" s="1"/>
  <c r="AS8" i="35"/>
  <c r="AS13" i="35" s="1"/>
  <c r="AV7" i="33"/>
  <c r="AV7" i="17"/>
  <c r="K56" i="21"/>
  <c r="G59" i="21" s="1"/>
  <c r="AV7" i="32"/>
  <c r="L55" i="21"/>
  <c r="L56" i="21" s="1"/>
  <c r="AW49" i="33"/>
  <c r="AX42" i="33"/>
  <c r="AQ13" i="34"/>
  <c r="AS8" i="33"/>
  <c r="AS13" i="33" s="1"/>
  <c r="AZ7" i="17"/>
  <c r="AZ7" i="32"/>
  <c r="BA7" i="17"/>
  <c r="BA7" i="32"/>
  <c r="AR5" i="31"/>
  <c r="AQ15" i="31"/>
  <c r="AS8" i="32"/>
  <c r="AS13" i="32" s="1"/>
  <c r="K56" i="25"/>
  <c r="G59" i="25" s="1"/>
  <c r="L55" i="25"/>
  <c r="L56" i="25" s="1"/>
  <c r="K56" i="24"/>
  <c r="G59" i="24" s="1"/>
  <c r="L55" i="24"/>
  <c r="L56" i="24" s="1"/>
  <c r="E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Y49" i="48" l="1"/>
  <c r="AZ42" i="48"/>
  <c r="AZ44" i="48" s="1"/>
  <c r="AZ47" i="48" s="1"/>
  <c r="AS8" i="48"/>
  <c r="AS13" i="48"/>
  <c r="AQ15" i="49"/>
  <c r="AR5" i="49"/>
  <c r="AR8" i="49" s="1"/>
  <c r="AX49" i="46"/>
  <c r="AY42" i="46"/>
  <c r="AY44" i="46" s="1"/>
  <c r="AY47" i="46" s="1"/>
  <c r="AT5" i="46"/>
  <c r="AS15" i="46"/>
  <c r="AR8" i="47"/>
  <c r="C8" i="47" s="1"/>
  <c r="C13" i="47" s="1"/>
  <c r="BK8" i="35"/>
  <c r="AS15" i="43"/>
  <c r="AT5" i="43"/>
  <c r="AZ44" i="43"/>
  <c r="AQ15" i="44"/>
  <c r="AR5" i="44"/>
  <c r="BK8" i="43"/>
  <c r="BL8" i="43"/>
  <c r="AY44" i="41"/>
  <c r="AS8" i="41"/>
  <c r="AQ15" i="42"/>
  <c r="AR5" i="42"/>
  <c r="AY47" i="32"/>
  <c r="AY49" i="32" s="1"/>
  <c r="AS15" i="40"/>
  <c r="AT5" i="40"/>
  <c r="AZ49" i="40"/>
  <c r="BA42" i="40"/>
  <c r="BA44" i="40" s="1"/>
  <c r="BA47" i="40" s="1"/>
  <c r="AQ15" i="39"/>
  <c r="AR5" i="39"/>
  <c r="AR8" i="39" s="1"/>
  <c r="AZ49" i="38"/>
  <c r="BA42" i="38"/>
  <c r="AR15" i="37"/>
  <c r="AS5" i="37"/>
  <c r="AX49" i="35"/>
  <c r="AY42" i="35"/>
  <c r="AY44" i="35" s="1"/>
  <c r="AY47" i="35" s="1"/>
  <c r="AT5" i="35"/>
  <c r="AS15" i="35"/>
  <c r="AQ15" i="36"/>
  <c r="AR5" i="36"/>
  <c r="AR8" i="36" s="1"/>
  <c r="BK8" i="32"/>
  <c r="BL8" i="32"/>
  <c r="AS15" i="33"/>
  <c r="AT5" i="33"/>
  <c r="AQ15" i="34"/>
  <c r="AR5" i="34"/>
  <c r="AX44" i="33"/>
  <c r="AX47" i="33" s="1"/>
  <c r="AS15" i="32"/>
  <c r="AT5" i="32"/>
  <c r="AR8" i="31"/>
  <c r="C8" i="31" s="1"/>
  <c r="C13" i="31" s="1"/>
  <c r="I76" i="17"/>
  <c r="I43" i="17"/>
  <c r="AR13" i="49" l="1"/>
  <c r="C8" i="49"/>
  <c r="C13" i="49" s="1"/>
  <c r="AT5" i="48"/>
  <c r="AS15" i="48"/>
  <c r="BA42" i="48"/>
  <c r="BA44" i="48" s="1"/>
  <c r="BA47" i="48" s="1"/>
  <c r="AZ49" i="48"/>
  <c r="AR13" i="47"/>
  <c r="AR15" i="47"/>
  <c r="AS5" i="47"/>
  <c r="AY49" i="46"/>
  <c r="AZ42" i="46"/>
  <c r="AZ42" i="32"/>
  <c r="AR8" i="44"/>
  <c r="C8" i="44" s="1"/>
  <c r="C13" i="44" s="1"/>
  <c r="BK43" i="43"/>
  <c r="BL42" i="43"/>
  <c r="BK44" i="43"/>
  <c r="BL44" i="43"/>
  <c r="AZ47" i="43"/>
  <c r="AR13" i="31"/>
  <c r="AR15" i="31" s="1"/>
  <c r="AZ44" i="32"/>
  <c r="AZ47" i="32" s="1"/>
  <c r="AZ49" i="32" s="1"/>
  <c r="AR8" i="42"/>
  <c r="AR13" i="42" s="1"/>
  <c r="AS13" i="41"/>
  <c r="BK43" i="41"/>
  <c r="BL42" i="41"/>
  <c r="BL44" i="41"/>
  <c r="BK44" i="41"/>
  <c r="AY47" i="41"/>
  <c r="AR13" i="39"/>
  <c r="C8" i="39"/>
  <c r="C13" i="39" s="1"/>
  <c r="BA49" i="40"/>
  <c r="BB42" i="40"/>
  <c r="BB44" i="40" s="1"/>
  <c r="BB47" i="40" s="1"/>
  <c r="BA44" i="38"/>
  <c r="BA47" i="38" s="1"/>
  <c r="AR13" i="36"/>
  <c r="C8" i="36"/>
  <c r="C13" i="36" s="1"/>
  <c r="AY49" i="35"/>
  <c r="AZ42" i="35"/>
  <c r="AZ44" i="35" s="1"/>
  <c r="AZ47" i="35" s="1"/>
  <c r="AX49" i="33"/>
  <c r="AY42" i="33"/>
  <c r="AY44" i="33" s="1"/>
  <c r="AY47" i="33" s="1"/>
  <c r="AR8" i="34"/>
  <c r="C8" i="34" s="1"/>
  <c r="C13" i="34" s="1"/>
  <c r="F260" i="7"/>
  <c r="F8" i="17"/>
  <c r="BB42" i="48" l="1"/>
  <c r="BA49" i="48"/>
  <c r="AR15" i="49"/>
  <c r="AS5" i="49"/>
  <c r="AZ44" i="46"/>
  <c r="AZ47" i="46" s="1"/>
  <c r="AS5" i="31"/>
  <c r="AR13" i="44"/>
  <c r="AZ49" i="43"/>
  <c r="BA42" i="43"/>
  <c r="BA44" i="43" s="1"/>
  <c r="BA47" i="43" s="1"/>
  <c r="BL48" i="43"/>
  <c r="AS5" i="44"/>
  <c r="AR15" i="44"/>
  <c r="AR13" i="34"/>
  <c r="AR15" i="34" s="1"/>
  <c r="BA42" i="32"/>
  <c r="BA44" i="32" s="1"/>
  <c r="AY49" i="41"/>
  <c r="AZ42" i="41"/>
  <c r="BL48" i="41"/>
  <c r="AS15" i="41"/>
  <c r="AT5" i="41"/>
  <c r="AS5" i="42"/>
  <c r="AR15" i="42"/>
  <c r="C8" i="42"/>
  <c r="C13" i="42" s="1"/>
  <c r="BC42" i="40"/>
  <c r="BC44" i="40" s="1"/>
  <c r="BC47" i="40" s="1"/>
  <c r="BB49" i="40"/>
  <c r="AS5" i="39"/>
  <c r="AR15" i="39"/>
  <c r="BA49" i="38"/>
  <c r="BB42" i="38"/>
  <c r="BB44" i="38" s="1"/>
  <c r="BB47" i="38" s="1"/>
  <c r="AZ49" i="35"/>
  <c r="BA42" i="35"/>
  <c r="BA44" i="35" s="1"/>
  <c r="BA47" i="35" s="1"/>
  <c r="AR15" i="36"/>
  <c r="AS5" i="36"/>
  <c r="AS5" i="34"/>
  <c r="AZ42" i="33"/>
  <c r="AZ44" i="33" s="1"/>
  <c r="AZ47" i="33" s="1"/>
  <c r="AY49" i="33"/>
  <c r="F76" i="17"/>
  <c r="G73" i="17"/>
  <c r="G63" i="17"/>
  <c r="H63" i="17" s="1"/>
  <c r="I63" i="17" s="1"/>
  <c r="I60" i="17"/>
  <c r="H60" i="17"/>
  <c r="G60" i="17"/>
  <c r="E59" i="17"/>
  <c r="D59" i="17"/>
  <c r="E57" i="17"/>
  <c r="E56" i="17"/>
  <c r="G51" i="17"/>
  <c r="H51" i="17" s="1"/>
  <c r="I51" i="17" s="1"/>
  <c r="BB44" i="48" l="1"/>
  <c r="BB47" i="48"/>
  <c r="AZ49" i="46"/>
  <c r="BA42" i="46"/>
  <c r="BA47" i="32"/>
  <c r="BA49" i="32" s="1"/>
  <c r="BB42" i="43"/>
  <c r="BB44" i="43" s="1"/>
  <c r="BB47" i="43" s="1"/>
  <c r="BA49" i="43"/>
  <c r="AZ44" i="41"/>
  <c r="AZ47" i="41" s="1"/>
  <c r="BC49" i="40"/>
  <c r="BD42" i="40"/>
  <c r="BD44" i="40" s="1"/>
  <c r="BD47" i="40" s="1"/>
  <c r="BC42" i="38"/>
  <c r="BC44" i="38" s="1"/>
  <c r="BC47" i="38" s="1"/>
  <c r="BB49" i="38"/>
  <c r="BA49" i="35"/>
  <c r="BB42" i="35"/>
  <c r="BB44" i="35" s="1"/>
  <c r="BB47" i="35" s="1"/>
  <c r="AZ49" i="33"/>
  <c r="BA42" i="33"/>
  <c r="BA44" i="33" s="1"/>
  <c r="BA47" i="33" s="1"/>
  <c r="H73" i="17"/>
  <c r="F77" i="17"/>
  <c r="F43" i="17"/>
  <c r="G40" i="17"/>
  <c r="G30" i="17"/>
  <c r="H30" i="17" s="1"/>
  <c r="I30" i="17" s="1"/>
  <c r="I27" i="17"/>
  <c r="H27" i="17"/>
  <c r="F27" i="17"/>
  <c r="E26" i="17"/>
  <c r="D26" i="17"/>
  <c r="E25" i="17"/>
  <c r="D25" i="17"/>
  <c r="G18" i="17"/>
  <c r="H18" i="17" s="1"/>
  <c r="I18" i="17" s="1"/>
  <c r="G48" i="17"/>
  <c r="BB49" i="48" l="1"/>
  <c r="BC42" i="48"/>
  <c r="BC44" i="48" s="1"/>
  <c r="BC47" i="48" s="1"/>
  <c r="BK43" i="48"/>
  <c r="BL42" i="48"/>
  <c r="BK44" i="48"/>
  <c r="BL44" i="48"/>
  <c r="BA44" i="46"/>
  <c r="BA47" i="46" s="1"/>
  <c r="BB42" i="32"/>
  <c r="BB44" i="32" s="1"/>
  <c r="BB49" i="43"/>
  <c r="BC42" i="43"/>
  <c r="BC44" i="43" s="1"/>
  <c r="BC47" i="43" s="1"/>
  <c r="AZ49" i="41"/>
  <c r="BA42" i="41"/>
  <c r="BA44" i="41" s="1"/>
  <c r="BA47" i="41" s="1"/>
  <c r="BD49" i="40"/>
  <c r="BE42" i="40"/>
  <c r="BE44" i="40" s="1"/>
  <c r="BE47" i="40" s="1"/>
  <c r="BE49" i="40" s="1"/>
  <c r="BC49" i="38"/>
  <c r="BD42" i="38"/>
  <c r="BD44" i="38" s="1"/>
  <c r="BD47" i="38" s="1"/>
  <c r="BB49" i="35"/>
  <c r="BC42" i="35"/>
  <c r="BC44" i="35" s="1"/>
  <c r="BC47" i="35" s="1"/>
  <c r="BA49" i="33"/>
  <c r="BB42" i="33"/>
  <c r="BB44" i="33" s="1"/>
  <c r="BB47" i="33" s="1"/>
  <c r="I73" i="17"/>
  <c r="H40" i="17"/>
  <c r="G77" i="17"/>
  <c r="F13" i="17"/>
  <c r="G3" i="17"/>
  <c r="H48" i="17"/>
  <c r="G14" i="17"/>
  <c r="BL48" i="48" l="1"/>
  <c r="BC49" i="48"/>
  <c r="BD42" i="48"/>
  <c r="BD44" i="48" s="1"/>
  <c r="BD47" i="48" s="1"/>
  <c r="BB47" i="32"/>
  <c r="BC42" i="32" s="1"/>
  <c r="BC44" i="32" s="1"/>
  <c r="BC47" i="32" s="1"/>
  <c r="BC49" i="32" s="1"/>
  <c r="BB42" i="46"/>
  <c r="BB44" i="46" s="1"/>
  <c r="BB47" i="46" s="1"/>
  <c r="BA49" i="46"/>
  <c r="BK43" i="46"/>
  <c r="BL42" i="46"/>
  <c r="BK44" i="46"/>
  <c r="BL44" i="46"/>
  <c r="BC49" i="43"/>
  <c r="BD42" i="43"/>
  <c r="BD44" i="43" s="1"/>
  <c r="BD47" i="43" s="1"/>
  <c r="BA49" i="41"/>
  <c r="BB42" i="41"/>
  <c r="BB44" i="41" s="1"/>
  <c r="BB47" i="41" s="1"/>
  <c r="BD49" i="38"/>
  <c r="BE42" i="38"/>
  <c r="BE44" i="38" s="1"/>
  <c r="BE47" i="38" s="1"/>
  <c r="BE49" i="38" s="1"/>
  <c r="BC49" i="35"/>
  <c r="BD42" i="35"/>
  <c r="BD44" i="35" s="1"/>
  <c r="BD47" i="35" s="1"/>
  <c r="BB49" i="33"/>
  <c r="BC42" i="33"/>
  <c r="BC44" i="33" s="1"/>
  <c r="BC47" i="33" s="1"/>
  <c r="I40" i="17"/>
  <c r="H3" i="17"/>
  <c r="F15" i="17"/>
  <c r="G5" i="17"/>
  <c r="G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14" i="17"/>
  <c r="I48" i="17"/>
  <c r="F83" i="16"/>
  <c r="BK43" i="32" l="1"/>
  <c r="BL44" i="32"/>
  <c r="BK44" i="32"/>
  <c r="BD49" i="48"/>
  <c r="BE42" i="48"/>
  <c r="BD42" i="32"/>
  <c r="BD44" i="32" s="1"/>
  <c r="BD47" i="32" s="1"/>
  <c r="BD49" i="32" s="1"/>
  <c r="BB49" i="32"/>
  <c r="BL48" i="46"/>
  <c r="BC42" i="46"/>
  <c r="BC44" i="46" s="1"/>
  <c r="BC47" i="46" s="1"/>
  <c r="BB49" i="46"/>
  <c r="BD49" i="43"/>
  <c r="BE42" i="43"/>
  <c r="BE44" i="43" s="1"/>
  <c r="BE47" i="43" s="1"/>
  <c r="BE49" i="43" s="1"/>
  <c r="BB49" i="41"/>
  <c r="BC42" i="41"/>
  <c r="BC44" i="41" s="1"/>
  <c r="BC47" i="41" s="1"/>
  <c r="BE42" i="35"/>
  <c r="BE44" i="35" s="1"/>
  <c r="BE47" i="35" s="1"/>
  <c r="BE49" i="35" s="1"/>
  <c r="BD49" i="35"/>
  <c r="BD42" i="33"/>
  <c r="BD44" i="33" s="1"/>
  <c r="BD47" i="33" s="1"/>
  <c r="BC49" i="33"/>
  <c r="G13" i="17"/>
  <c r="H5" i="17" s="1"/>
  <c r="H8" i="17" s="1"/>
  <c r="I3" i="17"/>
  <c r="G78" i="16"/>
  <c r="E82" i="16"/>
  <c r="F282" i="10"/>
  <c r="F45" i="16"/>
  <c r="F28" i="16"/>
  <c r="G28" i="16"/>
  <c r="H28" i="16"/>
  <c r="E28" i="16"/>
  <c r="C238" i="10"/>
  <c r="E45" i="16"/>
  <c r="E46" i="16" s="1"/>
  <c r="I14" i="17"/>
  <c r="G83" i="16"/>
  <c r="BE44" i="48" l="1"/>
  <c r="BE47" i="48" s="1"/>
  <c r="BE49" i="48" s="1"/>
  <c r="BE42" i="32"/>
  <c r="BE44" i="32" s="1"/>
  <c r="BL42" i="32" s="1"/>
  <c r="BL48" i="32" s="1"/>
  <c r="BC49" i="46"/>
  <c r="BD42" i="46"/>
  <c r="BD44" i="46" s="1"/>
  <c r="BD47" i="46" s="1"/>
  <c r="BC49" i="41"/>
  <c r="BD42" i="41"/>
  <c r="BD44" i="41" s="1"/>
  <c r="BD47" i="41" s="1"/>
  <c r="BD49" i="33"/>
  <c r="BE42" i="33"/>
  <c r="BE44" i="33" s="1"/>
  <c r="BE47" i="33" s="1"/>
  <c r="BE49" i="33" s="1"/>
  <c r="G15" i="17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BE47" i="32" l="1"/>
  <c r="BE49" i="32" s="1"/>
  <c r="BD49" i="46"/>
  <c r="BE42" i="46"/>
  <c r="BE44" i="46" s="1"/>
  <c r="BE47" i="46" s="1"/>
  <c r="BE49" i="46" s="1"/>
  <c r="BD49" i="41"/>
  <c r="BE42" i="41"/>
  <c r="BE44" i="41" s="1"/>
  <c r="BE47" i="41" s="1"/>
  <c r="BE49" i="41" s="1"/>
  <c r="H13" i="17"/>
  <c r="I5" i="17" s="1"/>
  <c r="I8" i="17" s="1"/>
  <c r="F82" i="16"/>
  <c r="G42" i="16"/>
  <c r="E51" i="16"/>
  <c r="F44" i="16"/>
  <c r="F46" i="16" s="1"/>
  <c r="G50" i="16"/>
  <c r="H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I13" i="17"/>
  <c r="G84" i="16"/>
  <c r="H79" i="16"/>
  <c r="F51" i="16"/>
  <c r="G44" i="16"/>
  <c r="G46" i="16" s="1"/>
  <c r="G3" i="16"/>
  <c r="C127" i="3"/>
  <c r="C160" i="6"/>
  <c r="N15" i="13"/>
  <c r="N14" i="13"/>
  <c r="G14" i="16"/>
  <c r="G5" i="16" l="1"/>
  <c r="G8" i="16" s="1"/>
  <c r="I15" i="17"/>
  <c r="H82" i="16"/>
  <c r="G49" i="16"/>
  <c r="H3" i="16"/>
  <c r="N16" i="13"/>
  <c r="H14" i="16"/>
  <c r="G13" i="16" l="1"/>
  <c r="H84" i="16"/>
  <c r="G51" i="16"/>
  <c r="H44" i="16"/>
  <c r="H46" i="16" s="1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H8" i="16" l="1"/>
  <c r="H13" i="16" s="1"/>
  <c r="H51" i="16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BK80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AF79" i="16" s="1"/>
  <c r="AF82" i="16" s="1"/>
  <c r="AF84" i="16" s="1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G79" i="16" l="1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AP79" i="16" s="1"/>
  <c r="D30" i="12"/>
  <c r="E30" i="12"/>
  <c r="H29" i="12"/>
  <c r="C29" i="12" s="1"/>
  <c r="A16" i="12"/>
  <c r="T18" i="6"/>
  <c r="E8" i="7"/>
  <c r="AO84" i="16" l="1"/>
  <c r="AP82" i="16"/>
  <c r="AQ79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82" i="16" l="1"/>
  <c r="AR79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82" i="16" l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AS79" i="16" l="1"/>
  <c r="AS82" i="16" s="1"/>
  <c r="AR84" i="16"/>
  <c r="W51" i="16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AS84" i="16" l="1"/>
  <c r="AT79" i="16"/>
  <c r="AT82" i="16" s="1"/>
  <c r="X49" i="16"/>
  <c r="L110" i="3"/>
  <c r="L118" i="3" s="1"/>
  <c r="L126" i="3" s="1"/>
  <c r="L128" i="3" s="1"/>
  <c r="J141" i="6"/>
  <c r="L141" i="6"/>
  <c r="I132" i="6"/>
  <c r="I141" i="6" s="1"/>
  <c r="K132" i="6"/>
  <c r="C60" i="12"/>
  <c r="AT84" i="16" l="1"/>
  <c r="AU79" i="16"/>
  <c r="AU82" i="16" s="1"/>
  <c r="X51" i="16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27" i="5"/>
  <c r="C22" i="5"/>
  <c r="C30" i="5" l="1"/>
  <c r="C32" i="5" s="1"/>
  <c r="C34" i="5" s="1"/>
  <c r="H7" i="5" s="1"/>
  <c r="AV79" i="16"/>
  <c r="AV82" i="16" s="1"/>
  <c r="AU84" i="16"/>
  <c r="D27" i="16"/>
  <c r="C27" i="16"/>
  <c r="C28" i="16"/>
  <c r="Y49" i="16"/>
  <c r="Y51" i="16" s="1"/>
  <c r="K150" i="6"/>
  <c r="K159" i="6" s="1"/>
  <c r="C68" i="12"/>
  <c r="C55" i="5"/>
  <c r="J7" i="5" l="1"/>
  <c r="I7" i="5"/>
  <c r="I14" i="5" s="1"/>
  <c r="C58" i="5"/>
  <c r="C60" i="5" s="1"/>
  <c r="C62" i="5" s="1"/>
  <c r="H9" i="5"/>
  <c r="AV84" i="16"/>
  <c r="AW79" i="16"/>
  <c r="AW82" i="16" s="1"/>
  <c r="C45" i="16"/>
  <c r="D45" i="16"/>
  <c r="S69" i="12"/>
  <c r="T68" i="12"/>
  <c r="T65" i="12"/>
  <c r="S65" i="12"/>
  <c r="C69" i="12"/>
  <c r="H69" i="12"/>
  <c r="AW84" i="16" l="1"/>
  <c r="AX79" i="16"/>
  <c r="AX82" i="16" s="1"/>
  <c r="K8" i="18"/>
  <c r="L8" i="18"/>
  <c r="Z49" i="16"/>
  <c r="Z51" i="16" s="1"/>
  <c r="H76" i="12"/>
  <c r="C76" i="12" s="1"/>
  <c r="C77" i="12" s="1"/>
  <c r="E9" i="7"/>
  <c r="AX84" i="16" l="1"/>
  <c r="AY79" i="16"/>
  <c r="AY82" i="16" s="1"/>
  <c r="AY84" i="16" s="1"/>
  <c r="H84" i="12"/>
  <c r="C84" i="12" s="1"/>
  <c r="H77" i="12"/>
  <c r="T76" i="12"/>
  <c r="S77" i="12"/>
  <c r="T73" i="12"/>
  <c r="S73" i="12"/>
  <c r="E25" i="7"/>
  <c r="E26" i="7"/>
  <c r="I18" i="7" s="1"/>
  <c r="G25" i="7"/>
  <c r="AZ79" i="16" l="1"/>
  <c r="AZ82" i="16" s="1"/>
  <c r="AA49" i="16"/>
  <c r="S81" i="12"/>
  <c r="S85" i="12"/>
  <c r="T84" i="12"/>
  <c r="T81" i="12"/>
  <c r="C85" i="12"/>
  <c r="H85" i="12"/>
  <c r="E27" i="7"/>
  <c r="E61" i="7" s="1"/>
  <c r="E63" i="7" s="1"/>
  <c r="AZ84" i="16" l="1"/>
  <c r="BA79" i="16"/>
  <c r="BA82" i="16" s="1"/>
  <c r="AA51" i="16"/>
  <c r="C92" i="12"/>
  <c r="C93" i="12" s="1"/>
  <c r="E80" i="7"/>
  <c r="I72" i="7" s="1"/>
  <c r="E79" i="7"/>
  <c r="G79" i="7"/>
  <c r="I21" i="7"/>
  <c r="J22" i="7" s="1"/>
  <c r="BA84" i="16" l="1"/>
  <c r="BB79" i="16"/>
  <c r="BB82" i="16" s="1"/>
  <c r="AB49" i="16"/>
  <c r="H100" i="12"/>
  <c r="C100" i="12" s="1"/>
  <c r="T92" i="12"/>
  <c r="S93" i="12"/>
  <c r="T89" i="12"/>
  <c r="S89" i="12"/>
  <c r="H93" i="12"/>
  <c r="E81" i="7"/>
  <c r="BB84" i="16" l="1"/>
  <c r="BC79" i="16"/>
  <c r="BC82" i="16" s="1"/>
  <c r="AB51" i="16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BD79" i="16" l="1"/>
  <c r="BD82" i="16" s="1"/>
  <c r="BD84" i="16" s="1"/>
  <c r="BC84" i="16"/>
  <c r="AC49" i="16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F46" i="16" l="1"/>
  <c r="AF49" i="16" s="1"/>
  <c r="AF51" i="16" s="1"/>
  <c r="AE51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AG44" i="16" l="1"/>
  <c r="F159" i="6"/>
  <c r="F161" i="6" s="1"/>
  <c r="E169" i="7"/>
  <c r="E170" i="7"/>
  <c r="I162" i="7" s="1"/>
  <c r="I147" i="7"/>
  <c r="J148" i="7" s="1"/>
  <c r="G169" i="7"/>
  <c r="I41" i="5"/>
  <c r="AG49" i="16" l="1"/>
  <c r="E171" i="7"/>
  <c r="I37" i="5"/>
  <c r="G34" i="5"/>
  <c r="I39" i="5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AT54" i="17"/>
  <c r="AT55" i="46" l="1"/>
  <c r="AT60" i="46" s="1"/>
  <c r="AT55" i="48"/>
  <c r="AT60" i="48" s="1"/>
  <c r="AT55" i="41"/>
  <c r="AT60" i="41" s="1"/>
  <c r="AT55" i="43"/>
  <c r="AT60" i="43" s="1"/>
  <c r="AT55" i="38"/>
  <c r="AT60" i="38" s="1"/>
  <c r="AT55" i="40"/>
  <c r="AT60" i="40" s="1"/>
  <c r="AT55" i="33"/>
  <c r="AT60" i="33" s="1"/>
  <c r="AT55" i="35"/>
  <c r="AT60" i="35" s="1"/>
  <c r="AT55" i="17"/>
  <c r="AT55" i="32"/>
  <c r="AT60" i="32" s="1"/>
  <c r="AI44" i="16"/>
  <c r="C51" i="14"/>
  <c r="E51" i="14" s="1"/>
  <c r="M39" i="5"/>
  <c r="C50" i="14"/>
  <c r="E50" i="14" s="1"/>
  <c r="M38" i="5"/>
  <c r="E207" i="7"/>
  <c r="E223" i="7" s="1"/>
  <c r="I198" i="7"/>
  <c r="K40" i="5"/>
  <c r="M40" i="5" s="1"/>
  <c r="AT20" i="17" l="1"/>
  <c r="AI49" i="16"/>
  <c r="AI51" i="16" s="1"/>
  <c r="C49" i="14"/>
  <c r="E49" i="14" s="1"/>
  <c r="M37" i="5"/>
  <c r="G223" i="7"/>
  <c r="I201" i="7"/>
  <c r="J202" i="7" s="1"/>
  <c r="E224" i="7"/>
  <c r="I216" i="7" s="1"/>
  <c r="M28" i="5"/>
  <c r="M29" i="5" s="1"/>
  <c r="AT60" i="17" l="1"/>
  <c r="AT19" i="17"/>
  <c r="AT43" i="17" s="1"/>
  <c r="AJ44" i="16"/>
  <c r="E20" i="17"/>
  <c r="D20" i="17"/>
  <c r="C48" i="14"/>
  <c r="M36" i="5"/>
  <c r="M43" i="5" s="1"/>
  <c r="J53" i="5" s="1"/>
  <c r="E225" i="7"/>
  <c r="F42" i="48" s="1"/>
  <c r="K43" i="5"/>
  <c r="K5" i="5" s="1"/>
  <c r="K9" i="5" s="1"/>
  <c r="K53" i="5"/>
  <c r="E20" i="30" s="1"/>
  <c r="F44" i="48" l="1"/>
  <c r="F47" i="48"/>
  <c r="F42" i="43"/>
  <c r="F42" i="46"/>
  <c r="F44" i="43"/>
  <c r="F47" i="43" s="1"/>
  <c r="F42" i="40"/>
  <c r="F42" i="41"/>
  <c r="F44" i="40"/>
  <c r="F47" i="40" s="1"/>
  <c r="F42" i="35"/>
  <c r="F44" i="35" s="1"/>
  <c r="F47" i="35" s="1"/>
  <c r="F42" i="38"/>
  <c r="F42" i="32"/>
  <c r="F44" i="32" s="1"/>
  <c r="F47" i="32" s="1"/>
  <c r="F42" i="33"/>
  <c r="F44" i="33" s="1"/>
  <c r="F47" i="33" s="1"/>
  <c r="BL45" i="17"/>
  <c r="AT27" i="17"/>
  <c r="AJ49" i="16"/>
  <c r="AK44" i="16" s="1"/>
  <c r="L53" i="5"/>
  <c r="AH27" i="17"/>
  <c r="E19" i="17"/>
  <c r="D19" i="17"/>
  <c r="E17" i="30"/>
  <c r="J61" i="5"/>
  <c r="V27" i="17"/>
  <c r="D27" i="17" s="1"/>
  <c r="I219" i="7"/>
  <c r="J220" i="7" s="1"/>
  <c r="F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G42" i="48" l="1"/>
  <c r="G44" i="48" s="1"/>
  <c r="G47" i="48" s="1"/>
  <c r="F49" i="48"/>
  <c r="F44" i="46"/>
  <c r="F47" i="46"/>
  <c r="G42" i="43"/>
  <c r="F49" i="43"/>
  <c r="F44" i="41"/>
  <c r="F47" i="41" s="1"/>
  <c r="F49" i="40"/>
  <c r="G42" i="40"/>
  <c r="F44" i="38"/>
  <c r="F47" i="38" s="1"/>
  <c r="G42" i="35"/>
  <c r="F49" i="35"/>
  <c r="F49" i="33"/>
  <c r="G42" i="33"/>
  <c r="F49" i="32"/>
  <c r="G42" i="32"/>
  <c r="BK45" i="17"/>
  <c r="AJ51" i="16"/>
  <c r="E43" i="17"/>
  <c r="D43" i="17"/>
  <c r="F44" i="17"/>
  <c r="F47" i="17" s="1"/>
  <c r="L28" i="18"/>
  <c r="K28" i="18"/>
  <c r="E27" i="17"/>
  <c r="G59" i="14"/>
  <c r="E59" i="14"/>
  <c r="E243" i="7"/>
  <c r="H11" i="5"/>
  <c r="L11" i="5" s="1"/>
  <c r="H10" i="5"/>
  <c r="G49" i="48" l="1"/>
  <c r="H42" i="48"/>
  <c r="H44" i="48" s="1"/>
  <c r="H47" i="48" s="1"/>
  <c r="F49" i="46"/>
  <c r="G42" i="46"/>
  <c r="G44" i="46" s="1"/>
  <c r="G47" i="46" s="1"/>
  <c r="G44" i="43"/>
  <c r="G47" i="43" s="1"/>
  <c r="F49" i="41"/>
  <c r="G42" i="41"/>
  <c r="G44" i="41" s="1"/>
  <c r="G47" i="41" s="1"/>
  <c r="G44" i="40"/>
  <c r="G47" i="40" s="1"/>
  <c r="F49" i="38"/>
  <c r="G42" i="38"/>
  <c r="G44" i="35"/>
  <c r="G47" i="35" s="1"/>
  <c r="G44" i="33"/>
  <c r="G47" i="33" s="1"/>
  <c r="G44" i="32"/>
  <c r="G47" i="32" s="1"/>
  <c r="K10" i="5"/>
  <c r="H12" i="5"/>
  <c r="H14" i="5" s="1"/>
  <c r="AK49" i="16"/>
  <c r="AL44" i="16" s="1"/>
  <c r="K20" i="18"/>
  <c r="L20" i="18"/>
  <c r="G42" i="17"/>
  <c r="G44" i="17" s="1"/>
  <c r="F49" i="17"/>
  <c r="I53" i="14"/>
  <c r="E61" i="14"/>
  <c r="J53" i="14"/>
  <c r="I52" i="14"/>
  <c r="J51" i="14"/>
  <c r="I237" i="7"/>
  <c r="J238" i="7" s="1"/>
  <c r="G261" i="7"/>
  <c r="H61" i="14"/>
  <c r="H49" i="48" l="1"/>
  <c r="I42" i="48"/>
  <c r="I44" i="48" s="1"/>
  <c r="I47" i="48" s="1"/>
  <c r="I49" i="48" s="1"/>
  <c r="H42" i="46"/>
  <c r="H44" i="46" s="1"/>
  <c r="H47" i="46" s="1"/>
  <c r="G49" i="46"/>
  <c r="G49" i="43"/>
  <c r="H42" i="43"/>
  <c r="G49" i="41"/>
  <c r="H42" i="41"/>
  <c r="H44" i="41" s="1"/>
  <c r="H47" i="41" s="1"/>
  <c r="H42" i="40"/>
  <c r="G49" i="40"/>
  <c r="G44" i="38"/>
  <c r="G47" i="38" s="1"/>
  <c r="G49" i="35"/>
  <c r="H42" i="35"/>
  <c r="H44" i="35" s="1"/>
  <c r="H47" i="35" s="1"/>
  <c r="G49" i="33"/>
  <c r="H42" i="33"/>
  <c r="G49" i="32"/>
  <c r="H42" i="32"/>
  <c r="H44" i="32" s="1"/>
  <c r="H47" i="32" s="1"/>
  <c r="AK51" i="16"/>
  <c r="I52" i="5"/>
  <c r="I55" i="5" s="1"/>
  <c r="E13" i="30"/>
  <c r="I55" i="14"/>
  <c r="J55" i="14"/>
  <c r="J14" i="5"/>
  <c r="E22" i="30" s="1"/>
  <c r="AS7" i="47" l="1"/>
  <c r="BC10" i="47" s="1"/>
  <c r="AS7" i="49"/>
  <c r="BC10" i="49" s="1"/>
  <c r="H49" i="46"/>
  <c r="I42" i="46"/>
  <c r="I44" i="46" s="1"/>
  <c r="I47" i="46" s="1"/>
  <c r="I49" i="46" s="1"/>
  <c r="AS7" i="42"/>
  <c r="BC10" i="42" s="1"/>
  <c r="AS7" i="44"/>
  <c r="BC10" i="44" s="1"/>
  <c r="H44" i="43"/>
  <c r="H47" i="43"/>
  <c r="H49" i="41"/>
  <c r="I42" i="41"/>
  <c r="AS7" i="37"/>
  <c r="BC10" i="37" s="1"/>
  <c r="AS7" i="39"/>
  <c r="BC10" i="39" s="1"/>
  <c r="H44" i="40"/>
  <c r="H47" i="40" s="1"/>
  <c r="H42" i="38"/>
  <c r="H44" i="38" s="1"/>
  <c r="H47" i="38" s="1"/>
  <c r="G49" i="38"/>
  <c r="AS7" i="34"/>
  <c r="BC10" i="34" s="1"/>
  <c r="AS7" i="36"/>
  <c r="BC10" i="36" s="1"/>
  <c r="H49" i="35"/>
  <c r="I42" i="35"/>
  <c r="I44" i="35" s="1"/>
  <c r="I47" i="35" s="1"/>
  <c r="I49" i="35" s="1"/>
  <c r="H44" i="33"/>
  <c r="H47" i="33" s="1"/>
  <c r="AS7" i="16"/>
  <c r="AS7" i="31"/>
  <c r="BC10" i="31" s="1"/>
  <c r="I42" i="32"/>
  <c r="I44" i="32" s="1"/>
  <c r="I47" i="32" s="1"/>
  <c r="I49" i="32" s="1"/>
  <c r="H49" i="32"/>
  <c r="BC10" i="16"/>
  <c r="AL49" i="16"/>
  <c r="AM44" i="16" s="1"/>
  <c r="J56" i="14"/>
  <c r="G47" i="17"/>
  <c r="E120" i="3"/>
  <c r="K52" i="5"/>
  <c r="K55" i="5" s="1"/>
  <c r="J15" i="5"/>
  <c r="AT7" i="46" l="1"/>
  <c r="AT7" i="48"/>
  <c r="BD10" i="46"/>
  <c r="D10" i="46" s="1"/>
  <c r="D7" i="46"/>
  <c r="AT7" i="41"/>
  <c r="AT7" i="43"/>
  <c r="H49" i="43"/>
  <c r="I42" i="43"/>
  <c r="BD10" i="41"/>
  <c r="D10" i="41" s="1"/>
  <c r="D7" i="41"/>
  <c r="I44" i="41"/>
  <c r="I47" i="41" s="1"/>
  <c r="I49" i="41" s="1"/>
  <c r="AT7" i="38"/>
  <c r="D7" i="38" s="1"/>
  <c r="AT7" i="40"/>
  <c r="H49" i="40"/>
  <c r="I42" i="40"/>
  <c r="I44" i="40" s="1"/>
  <c r="I47" i="40" s="1"/>
  <c r="I49" i="40" s="1"/>
  <c r="BD10" i="38"/>
  <c r="D10" i="38" s="1"/>
  <c r="H49" i="38"/>
  <c r="I42" i="38"/>
  <c r="I44" i="38" s="1"/>
  <c r="I47" i="38" s="1"/>
  <c r="I49" i="38" s="1"/>
  <c r="AT7" i="33"/>
  <c r="BD10" i="33" s="1"/>
  <c r="D10" i="33" s="1"/>
  <c r="AT7" i="35"/>
  <c r="H49" i="33"/>
  <c r="I42" i="33"/>
  <c r="AT7" i="17"/>
  <c r="BD10" i="17" s="1"/>
  <c r="AT7" i="32"/>
  <c r="C7" i="16"/>
  <c r="C10" i="16"/>
  <c r="AL51" i="16"/>
  <c r="AR10" i="17"/>
  <c r="AM49" i="16"/>
  <c r="AM51" i="16" s="1"/>
  <c r="H42" i="17"/>
  <c r="G49" i="17"/>
  <c r="E155" i="6"/>
  <c r="B9" i="13"/>
  <c r="E11" i="3"/>
  <c r="E19" i="3" s="1"/>
  <c r="K12" i="5"/>
  <c r="H52" i="5" s="1"/>
  <c r="L9" i="5"/>
  <c r="L12" i="5" s="1"/>
  <c r="J52" i="5" s="1"/>
  <c r="BD10" i="48" l="1"/>
  <c r="D10" i="48" s="1"/>
  <c r="D7" i="48"/>
  <c r="D7" i="33"/>
  <c r="I44" i="43"/>
  <c r="I47" i="43" s="1"/>
  <c r="I49" i="43" s="1"/>
  <c r="BD10" i="43"/>
  <c r="D10" i="43" s="1"/>
  <c r="D7" i="43"/>
  <c r="D7" i="40"/>
  <c r="BD10" i="40"/>
  <c r="D10" i="40" s="1"/>
  <c r="D7" i="35"/>
  <c r="BD10" i="35"/>
  <c r="D10" i="35" s="1"/>
  <c r="I44" i="33"/>
  <c r="I47" i="33" s="1"/>
  <c r="I49" i="33" s="1"/>
  <c r="D7" i="32"/>
  <c r="BD10" i="32"/>
  <c r="D10" i="32" s="1"/>
  <c r="D7" i="17"/>
  <c r="D10" i="17"/>
  <c r="L52" i="5"/>
  <c r="H55" i="5"/>
  <c r="H44" i="17"/>
  <c r="H47" i="17" s="1"/>
  <c r="E27" i="3"/>
  <c r="D9" i="13" s="1"/>
  <c r="C9" i="13"/>
  <c r="L14" i="5"/>
  <c r="E19" i="30" s="1"/>
  <c r="J55" i="5"/>
  <c r="H15" i="5"/>
  <c r="K14" i="5"/>
  <c r="E10" i="30" s="1"/>
  <c r="AT6" i="46" l="1"/>
  <c r="AT6" i="48"/>
  <c r="AS6" i="47"/>
  <c r="AS6" i="49"/>
  <c r="BD9" i="46"/>
  <c r="D9" i="46" s="1"/>
  <c r="D6" i="46"/>
  <c r="AT8" i="46"/>
  <c r="AT13" i="46" s="1"/>
  <c r="BC9" i="47"/>
  <c r="AS8" i="47"/>
  <c r="AS13" i="47"/>
  <c r="AT6" i="41"/>
  <c r="AT6" i="43"/>
  <c r="AS6" i="42"/>
  <c r="AS8" i="42" s="1"/>
  <c r="AS13" i="42" s="1"/>
  <c r="AS6" i="44"/>
  <c r="BD9" i="41"/>
  <c r="D9" i="41" s="1"/>
  <c r="D6" i="41"/>
  <c r="AT8" i="41"/>
  <c r="AT13" i="41" s="1"/>
  <c r="BC9" i="42"/>
  <c r="AT6" i="38"/>
  <c r="AT6" i="40"/>
  <c r="AS6" i="37"/>
  <c r="BC9" i="37" s="1"/>
  <c r="AS6" i="39"/>
  <c r="BD9" i="38"/>
  <c r="D9" i="38" s="1"/>
  <c r="D6" i="38"/>
  <c r="AT8" i="38"/>
  <c r="AT13" i="38" s="1"/>
  <c r="AT6" i="33"/>
  <c r="D6" i="33" s="1"/>
  <c r="AT6" i="35"/>
  <c r="AS6" i="34"/>
  <c r="AS6" i="36"/>
  <c r="BD9" i="33"/>
  <c r="D9" i="33" s="1"/>
  <c r="BC9" i="34"/>
  <c r="AS8" i="34"/>
  <c r="AS13" i="34" s="1"/>
  <c r="AT6" i="17"/>
  <c r="BL8" i="17" s="1"/>
  <c r="L16" i="18" s="1"/>
  <c r="AT6" i="32"/>
  <c r="AS6" i="16"/>
  <c r="BC9" i="16" s="1"/>
  <c r="AS6" i="31"/>
  <c r="BK8" i="16"/>
  <c r="AN44" i="16"/>
  <c r="AR9" i="17"/>
  <c r="L55" i="5"/>
  <c r="I42" i="17"/>
  <c r="H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BC9" i="49" l="1"/>
  <c r="AS8" i="49"/>
  <c r="AS13" i="49"/>
  <c r="D6" i="48"/>
  <c r="BD9" i="48"/>
  <c r="D9" i="48" s="1"/>
  <c r="AT8" i="48"/>
  <c r="AT13" i="48"/>
  <c r="BD9" i="17"/>
  <c r="AT8" i="33"/>
  <c r="AT13" i="33" s="1"/>
  <c r="AS15" i="47"/>
  <c r="AT5" i="47"/>
  <c r="AT8" i="47" s="1"/>
  <c r="AT13" i="47" s="1"/>
  <c r="AT15" i="46"/>
  <c r="AU5" i="46"/>
  <c r="BK8" i="17"/>
  <c r="K16" i="18" s="1"/>
  <c r="AS8" i="37"/>
  <c r="AS13" i="37" s="1"/>
  <c r="BC9" i="44"/>
  <c r="AS8" i="44"/>
  <c r="AS13" i="44" s="1"/>
  <c r="BD9" i="43"/>
  <c r="D9" i="43" s="1"/>
  <c r="D6" i="43"/>
  <c r="AT8" i="43"/>
  <c r="AT13" i="43" s="1"/>
  <c r="AS15" i="42"/>
  <c r="AT5" i="42"/>
  <c r="AT15" i="41"/>
  <c r="AU5" i="41"/>
  <c r="BC9" i="39"/>
  <c r="AS8" i="39"/>
  <c r="AS13" i="39"/>
  <c r="BD9" i="40"/>
  <c r="D9" i="40" s="1"/>
  <c r="D6" i="40"/>
  <c r="AT8" i="40"/>
  <c r="AT13" i="40"/>
  <c r="AU5" i="38"/>
  <c r="AT15" i="38"/>
  <c r="BC9" i="36"/>
  <c r="AS8" i="36"/>
  <c r="AS13" i="36" s="1"/>
  <c r="BD9" i="35"/>
  <c r="D9" i="35" s="1"/>
  <c r="D6" i="35"/>
  <c r="AT8" i="35"/>
  <c r="AT13" i="35"/>
  <c r="AS15" i="34"/>
  <c r="AT5" i="34"/>
  <c r="AT15" i="33"/>
  <c r="AU5" i="33"/>
  <c r="BK8" i="31"/>
  <c r="BJ8" i="31"/>
  <c r="BC9" i="31"/>
  <c r="AS8" i="31"/>
  <c r="D6" i="32"/>
  <c r="BD9" i="32"/>
  <c r="D9" i="32" s="1"/>
  <c r="AT8" i="32"/>
  <c r="AT13" i="32" s="1"/>
  <c r="C6" i="16"/>
  <c r="D6" i="17"/>
  <c r="D9" i="17"/>
  <c r="AN49" i="16"/>
  <c r="K5" i="18"/>
  <c r="I44" i="17"/>
  <c r="I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U5" i="48" l="1"/>
  <c r="AT15" i="48"/>
  <c r="AS15" i="49"/>
  <c r="AT5" i="49"/>
  <c r="AU8" i="46"/>
  <c r="AU13" i="46" s="1"/>
  <c r="AT15" i="47"/>
  <c r="AU5" i="47"/>
  <c r="AU8" i="47" s="1"/>
  <c r="AU13" i="47" s="1"/>
  <c r="AT5" i="37"/>
  <c r="AT8" i="37" s="1"/>
  <c r="AT13" i="37" s="1"/>
  <c r="AS15" i="37"/>
  <c r="AT15" i="43"/>
  <c r="AU5" i="43"/>
  <c r="AU8" i="43" s="1"/>
  <c r="AU13" i="43" s="1"/>
  <c r="AS15" i="44"/>
  <c r="AT5" i="44"/>
  <c r="AU8" i="41"/>
  <c r="AU13" i="41" s="1"/>
  <c r="AT8" i="42"/>
  <c r="AT13" i="42" s="1"/>
  <c r="AU5" i="40"/>
  <c r="AT15" i="40"/>
  <c r="AS15" i="39"/>
  <c r="AT5" i="39"/>
  <c r="AT8" i="39" s="1"/>
  <c r="AT13" i="39" s="1"/>
  <c r="AU8" i="38"/>
  <c r="AU13" i="38" s="1"/>
  <c r="AU5" i="37"/>
  <c r="AU8" i="37" s="1"/>
  <c r="AU13" i="37" s="1"/>
  <c r="AT15" i="37"/>
  <c r="AT15" i="35"/>
  <c r="AU5" i="35"/>
  <c r="AS15" i="36"/>
  <c r="AT5" i="36"/>
  <c r="AT8" i="36" s="1"/>
  <c r="AT13" i="36" s="1"/>
  <c r="AU8" i="33"/>
  <c r="AU13" i="33" s="1"/>
  <c r="AT8" i="34"/>
  <c r="AT13" i="34" s="1"/>
  <c r="AU5" i="32"/>
  <c r="AT15" i="32"/>
  <c r="AS13" i="31"/>
  <c r="BJ6" i="31"/>
  <c r="BK5" i="31"/>
  <c r="BJ7" i="31"/>
  <c r="BK7" i="31"/>
  <c r="C9" i="16"/>
  <c r="AN51" i="16"/>
  <c r="AO44" i="16"/>
  <c r="L5" i="18"/>
  <c r="I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T8" i="49" l="1"/>
  <c r="AT13" i="49"/>
  <c r="AU8" i="48"/>
  <c r="AU13" i="48"/>
  <c r="AV5" i="47"/>
  <c r="AV8" i="47" s="1"/>
  <c r="AV13" i="47" s="1"/>
  <c r="AU15" i="47"/>
  <c r="AU15" i="46"/>
  <c r="AV5" i="46"/>
  <c r="AT8" i="44"/>
  <c r="AT13" i="44" s="1"/>
  <c r="AU15" i="43"/>
  <c r="AV5" i="43"/>
  <c r="AV8" i="43" s="1"/>
  <c r="AV13" i="43" s="1"/>
  <c r="AT15" i="42"/>
  <c r="AU5" i="42"/>
  <c r="AU8" i="42" s="1"/>
  <c r="AU13" i="42" s="1"/>
  <c r="AU15" i="41"/>
  <c r="AV5" i="41"/>
  <c r="AT15" i="39"/>
  <c r="AU5" i="39"/>
  <c r="AU8" i="39" s="1"/>
  <c r="AU13" i="39" s="1"/>
  <c r="AU8" i="40"/>
  <c r="AU13" i="40" s="1"/>
  <c r="AV5" i="37"/>
  <c r="AU15" i="37"/>
  <c r="AU15" i="38"/>
  <c r="AV5" i="38"/>
  <c r="AT15" i="36"/>
  <c r="AU5" i="36"/>
  <c r="AU8" i="36" s="1"/>
  <c r="AU8" i="35"/>
  <c r="AU13" i="35" s="1"/>
  <c r="AT15" i="34"/>
  <c r="AU5" i="34"/>
  <c r="AU8" i="34" s="1"/>
  <c r="AU13" i="34" s="1"/>
  <c r="BJ6" i="34"/>
  <c r="BK5" i="34"/>
  <c r="BJ7" i="34"/>
  <c r="BK7" i="34"/>
  <c r="AU15" i="33"/>
  <c r="AV5" i="33"/>
  <c r="AV8" i="33" s="1"/>
  <c r="AV13" i="33" s="1"/>
  <c r="BK6" i="33"/>
  <c r="BL5" i="33"/>
  <c r="BK7" i="33"/>
  <c r="BL7" i="33"/>
  <c r="BK11" i="31"/>
  <c r="AS15" i="31"/>
  <c r="AT5" i="31"/>
  <c r="AT8" i="31" s="1"/>
  <c r="AT13" i="31" s="1"/>
  <c r="AU8" i="32"/>
  <c r="AU13" i="32" s="1"/>
  <c r="AV5" i="32" s="1"/>
  <c r="AV8" i="32" s="1"/>
  <c r="AO49" i="16"/>
  <c r="AP44" i="16" s="1"/>
  <c r="E59" i="3"/>
  <c r="G9" i="13"/>
  <c r="Q115" i="3"/>
  <c r="R115" i="3"/>
  <c r="Q72" i="3"/>
  <c r="R40" i="3"/>
  <c r="Q40" i="3"/>
  <c r="B8" i="13"/>
  <c r="B10" i="13" s="1"/>
  <c r="D11" i="3"/>
  <c r="D19" i="3" s="1"/>
  <c r="AU15" i="48" l="1"/>
  <c r="AV5" i="48"/>
  <c r="AU5" i="49"/>
  <c r="AU8" i="49" s="1"/>
  <c r="AU13" i="49" s="1"/>
  <c r="AT15" i="49"/>
  <c r="AV8" i="46"/>
  <c r="AV13" i="46"/>
  <c r="AV15" i="47"/>
  <c r="AW5" i="47"/>
  <c r="AW8" i="47" s="1"/>
  <c r="AW13" i="47" s="1"/>
  <c r="AW5" i="43"/>
  <c r="AW8" i="43" s="1"/>
  <c r="AW13" i="43" s="1"/>
  <c r="AV15" i="43"/>
  <c r="AT15" i="44"/>
  <c r="AU5" i="44"/>
  <c r="AV8" i="41"/>
  <c r="AV13" i="41" s="1"/>
  <c r="AU15" i="42"/>
  <c r="AV5" i="42"/>
  <c r="AU15" i="40"/>
  <c r="AV5" i="40"/>
  <c r="AV8" i="40" s="1"/>
  <c r="AV13" i="40" s="1"/>
  <c r="AU15" i="39"/>
  <c r="AV5" i="39"/>
  <c r="AV8" i="39" s="1"/>
  <c r="AV13" i="39" s="1"/>
  <c r="AV8" i="38"/>
  <c r="AV13" i="38" s="1"/>
  <c r="AV8" i="37"/>
  <c r="AV13" i="37" s="1"/>
  <c r="AV5" i="35"/>
  <c r="AU15" i="35"/>
  <c r="AU13" i="36"/>
  <c r="BJ6" i="36"/>
  <c r="BK5" i="36"/>
  <c r="BK7" i="36"/>
  <c r="BJ7" i="36"/>
  <c r="I61" i="19"/>
  <c r="H61" i="19"/>
  <c r="BL11" i="33"/>
  <c r="AW5" i="33"/>
  <c r="AW8" i="33" s="1"/>
  <c r="AW13" i="33" s="1"/>
  <c r="AV15" i="33"/>
  <c r="BK11" i="34"/>
  <c r="AU15" i="34"/>
  <c r="AV5" i="34"/>
  <c r="AV8" i="34" s="1"/>
  <c r="AV13" i="34" s="1"/>
  <c r="AU15" i="32"/>
  <c r="AV13" i="32"/>
  <c r="AV15" i="32" s="1"/>
  <c r="AU5" i="31"/>
  <c r="AU8" i="31" s="1"/>
  <c r="AU13" i="31" s="1"/>
  <c r="AT15" i="31"/>
  <c r="AO51" i="16"/>
  <c r="E67" i="3"/>
  <c r="H9" i="13"/>
  <c r="D27" i="3"/>
  <c r="C8" i="13"/>
  <c r="C10" i="13" s="1"/>
  <c r="AU15" i="49" l="1"/>
  <c r="AV5" i="49"/>
  <c r="AV8" i="48"/>
  <c r="AV13" i="48"/>
  <c r="AW15" i="47"/>
  <c r="AX5" i="47"/>
  <c r="AW5" i="46"/>
  <c r="AW8" i="46" s="1"/>
  <c r="AW13" i="46" s="1"/>
  <c r="AV15" i="46"/>
  <c r="AU8" i="44"/>
  <c r="AU13" i="44" s="1"/>
  <c r="AX5" i="43"/>
  <c r="AX8" i="43" s="1"/>
  <c r="AX13" i="43" s="1"/>
  <c r="AW15" i="43"/>
  <c r="AV8" i="42"/>
  <c r="AV13" i="42" s="1"/>
  <c r="AV15" i="41"/>
  <c r="AW5" i="41"/>
  <c r="AW8" i="41" s="1"/>
  <c r="AW13" i="41" s="1"/>
  <c r="AW5" i="39"/>
  <c r="AV15" i="39"/>
  <c r="AV15" i="40"/>
  <c r="AW5" i="40"/>
  <c r="AW8" i="40" s="1"/>
  <c r="AW13" i="40" s="1"/>
  <c r="AV15" i="37"/>
  <c r="AW5" i="37"/>
  <c r="AW8" i="37" s="1"/>
  <c r="AW13" i="37" s="1"/>
  <c r="BJ6" i="37"/>
  <c r="BK5" i="37"/>
  <c r="BJ7" i="37"/>
  <c r="BK7" i="37"/>
  <c r="AW5" i="38"/>
  <c r="AW8" i="38" s="1"/>
  <c r="AV15" i="38"/>
  <c r="BK11" i="36"/>
  <c r="AV5" i="36"/>
  <c r="AV8" i="36" s="1"/>
  <c r="AV13" i="36" s="1"/>
  <c r="AU15" i="36"/>
  <c r="AV8" i="35"/>
  <c r="AV13" i="35"/>
  <c r="AW5" i="34"/>
  <c r="AW8" i="34" s="1"/>
  <c r="AW13" i="34" s="1"/>
  <c r="AV15" i="34"/>
  <c r="AW15" i="33"/>
  <c r="AX5" i="33"/>
  <c r="AX8" i="33" s="1"/>
  <c r="AX13" i="33" s="1"/>
  <c r="AV5" i="31"/>
  <c r="AV8" i="31" s="1"/>
  <c r="AV13" i="31" s="1"/>
  <c r="AU15" i="31"/>
  <c r="AW5" i="32"/>
  <c r="AW8" i="32" s="1"/>
  <c r="AW13" i="32" s="1"/>
  <c r="AP49" i="16"/>
  <c r="AQ44" i="16" s="1"/>
  <c r="D46" i="16"/>
  <c r="E75" i="3"/>
  <c r="I9" i="13"/>
  <c r="D35" i="3"/>
  <c r="D8" i="13"/>
  <c r="D10" i="13" s="1"/>
  <c r="E12" i="6"/>
  <c r="E20" i="6" s="1"/>
  <c r="AV15" i="48" l="1"/>
  <c r="AW5" i="48"/>
  <c r="AW8" i="48" s="1"/>
  <c r="AW13" i="48" s="1"/>
  <c r="AV8" i="49"/>
  <c r="AV13" i="49" s="1"/>
  <c r="AX5" i="46"/>
  <c r="AX8" i="46" s="1"/>
  <c r="AX13" i="46" s="1"/>
  <c r="AW15" i="46"/>
  <c r="AX8" i="47"/>
  <c r="BC11" i="47" s="1"/>
  <c r="AX15" i="43"/>
  <c r="AY5" i="43"/>
  <c r="AU15" i="44"/>
  <c r="AV5" i="44"/>
  <c r="AW15" i="41"/>
  <c r="AX5" i="41"/>
  <c r="AX8" i="41" s="1"/>
  <c r="AX13" i="41" s="1"/>
  <c r="AW5" i="42"/>
  <c r="AW8" i="42" s="1"/>
  <c r="AW13" i="42" s="1"/>
  <c r="AV15" i="42"/>
  <c r="AW15" i="40"/>
  <c r="AX5" i="40"/>
  <c r="AW8" i="39"/>
  <c r="AW13" i="39" s="1"/>
  <c r="AW13" i="38"/>
  <c r="BL5" i="38"/>
  <c r="BK6" i="38"/>
  <c r="BL7" i="38"/>
  <c r="BK7" i="38"/>
  <c r="BK11" i="37"/>
  <c r="AW15" i="37"/>
  <c r="AX5" i="37"/>
  <c r="AV15" i="35"/>
  <c r="AW5" i="35"/>
  <c r="AW8" i="35" s="1"/>
  <c r="AW13" i="35" s="1"/>
  <c r="BK6" i="35"/>
  <c r="BL5" i="35"/>
  <c r="BL7" i="35"/>
  <c r="BK7" i="35"/>
  <c r="AV15" i="36"/>
  <c r="AW5" i="36"/>
  <c r="AW8" i="36" s="1"/>
  <c r="AW13" i="36" s="1"/>
  <c r="AX15" i="33"/>
  <c r="AY5" i="33"/>
  <c r="AW15" i="34"/>
  <c r="AX5" i="34"/>
  <c r="AW15" i="32"/>
  <c r="AX5" i="32"/>
  <c r="AW5" i="31"/>
  <c r="AW8" i="31" s="1"/>
  <c r="AW13" i="31" s="1"/>
  <c r="AV15" i="31"/>
  <c r="AQ46" i="16"/>
  <c r="AQ49" i="16" s="1"/>
  <c r="AR44" i="16" s="1"/>
  <c r="AR46" i="16" s="1"/>
  <c r="AP51" i="16"/>
  <c r="E109" i="3"/>
  <c r="E83" i="3"/>
  <c r="J9" i="13"/>
  <c r="D43" i="3"/>
  <c r="E8" i="13"/>
  <c r="E10" i="13" s="1"/>
  <c r="E38" i="6"/>
  <c r="E47" i="6" s="1"/>
  <c r="B15" i="13"/>
  <c r="E29" i="6"/>
  <c r="AV15" i="49" l="1"/>
  <c r="AW5" i="49"/>
  <c r="AW8" i="49" s="1"/>
  <c r="AW13" i="49" s="1"/>
  <c r="H61" i="20"/>
  <c r="I61" i="20"/>
  <c r="AW15" i="48"/>
  <c r="AX5" i="48"/>
  <c r="AX8" i="48" s="1"/>
  <c r="AX13" i="48" s="1"/>
  <c r="AX13" i="47"/>
  <c r="AX15" i="47"/>
  <c r="AY5" i="47"/>
  <c r="AY8" i="47" s="1"/>
  <c r="AY13" i="47" s="1"/>
  <c r="AX15" i="46"/>
  <c r="AY5" i="46"/>
  <c r="AV8" i="44"/>
  <c r="AV13" i="44" s="1"/>
  <c r="AY8" i="43"/>
  <c r="BD11" i="43" s="1"/>
  <c r="D11" i="43" s="1"/>
  <c r="AW15" i="42"/>
  <c r="AX5" i="42"/>
  <c r="AX15" i="41"/>
  <c r="AY5" i="41"/>
  <c r="AY8" i="41" s="1"/>
  <c r="AX5" i="39"/>
  <c r="AW15" i="39"/>
  <c r="BK5" i="39"/>
  <c r="BJ6" i="39"/>
  <c r="BJ7" i="39"/>
  <c r="BK7" i="39"/>
  <c r="AX8" i="40"/>
  <c r="AX13" i="40" s="1"/>
  <c r="AX8" i="32"/>
  <c r="AX8" i="37"/>
  <c r="BC11" i="37" s="1"/>
  <c r="BL11" i="38"/>
  <c r="AW15" i="38"/>
  <c r="AX5" i="38"/>
  <c r="I61" i="21"/>
  <c r="H61" i="21"/>
  <c r="AW15" i="36"/>
  <c r="AX5" i="36"/>
  <c r="BL11" i="35"/>
  <c r="AW15" i="35"/>
  <c r="AX5" i="35"/>
  <c r="AX8" i="35" s="1"/>
  <c r="AX13" i="35" s="1"/>
  <c r="AX8" i="34"/>
  <c r="BC11" i="34" s="1"/>
  <c r="AY8" i="33"/>
  <c r="BD11" i="33" s="1"/>
  <c r="D11" i="33" s="1"/>
  <c r="AX5" i="31"/>
  <c r="AW15" i="31"/>
  <c r="AQ51" i="16"/>
  <c r="C46" i="16"/>
  <c r="C49" i="16" s="1"/>
  <c r="E91" i="3"/>
  <c r="K9" i="13"/>
  <c r="C15" i="13"/>
  <c r="D51" i="3"/>
  <c r="F8" i="13"/>
  <c r="F10" i="13" s="1"/>
  <c r="E56" i="6"/>
  <c r="D15" i="13"/>
  <c r="F11" i="3"/>
  <c r="D12" i="6"/>
  <c r="D20" i="6" s="1"/>
  <c r="AY5" i="48" l="1"/>
  <c r="AX15" i="48"/>
  <c r="AX5" i="49"/>
  <c r="AW15" i="49"/>
  <c r="AY13" i="43"/>
  <c r="AY8" i="46"/>
  <c r="BD11" i="46" s="1"/>
  <c r="D11" i="46" s="1"/>
  <c r="AZ5" i="47"/>
  <c r="AY15" i="47"/>
  <c r="AY15" i="43"/>
  <c r="AZ5" i="43"/>
  <c r="AW5" i="44"/>
  <c r="AW8" i="44" s="1"/>
  <c r="AW13" i="44" s="1"/>
  <c r="AV15" i="44"/>
  <c r="AY13" i="41"/>
  <c r="BL5" i="41"/>
  <c r="BK6" i="41"/>
  <c r="BK7" i="41"/>
  <c r="BL7" i="41"/>
  <c r="BD11" i="41"/>
  <c r="D11" i="41" s="1"/>
  <c r="AX8" i="42"/>
  <c r="AX13" i="42" s="1"/>
  <c r="AY5" i="40"/>
  <c r="AX15" i="40"/>
  <c r="BK6" i="40"/>
  <c r="BL5" i="40"/>
  <c r="BK7" i="40"/>
  <c r="BL7" i="40"/>
  <c r="BK11" i="39"/>
  <c r="AX8" i="39"/>
  <c r="BC11" i="39" s="1"/>
  <c r="AX13" i="37"/>
  <c r="AX15" i="37" s="1"/>
  <c r="AX8" i="38"/>
  <c r="AX13" i="38" s="1"/>
  <c r="AX13" i="32"/>
  <c r="AX15" i="35"/>
  <c r="AY5" i="35"/>
  <c r="AX8" i="36"/>
  <c r="BC11" i="36" s="1"/>
  <c r="AX13" i="34"/>
  <c r="AY5" i="34" s="1"/>
  <c r="AY8" i="34" s="1"/>
  <c r="AY13" i="34" s="1"/>
  <c r="AY13" i="33"/>
  <c r="AY15" i="33" s="1"/>
  <c r="AX8" i="31"/>
  <c r="BC11" i="31" s="1"/>
  <c r="AR49" i="16"/>
  <c r="AS44" i="16" s="1"/>
  <c r="AS46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H61" i="23" l="1"/>
  <c r="AX8" i="49"/>
  <c r="BC11" i="49" s="1"/>
  <c r="AX13" i="49"/>
  <c r="AY8" i="48"/>
  <c r="BD11" i="48" s="1"/>
  <c r="D11" i="48" s="1"/>
  <c r="AY13" i="48"/>
  <c r="I61" i="23"/>
  <c r="AZ8" i="47"/>
  <c r="AZ13" i="47" s="1"/>
  <c r="AY13" i="46"/>
  <c r="AW15" i="44"/>
  <c r="AX5" i="44"/>
  <c r="AZ8" i="43"/>
  <c r="AZ13" i="43" s="1"/>
  <c r="AX15" i="42"/>
  <c r="AY5" i="42"/>
  <c r="AY8" i="42" s="1"/>
  <c r="AY13" i="42" s="1"/>
  <c r="BK5" i="42"/>
  <c r="BJ6" i="42"/>
  <c r="BK7" i="42"/>
  <c r="BJ7" i="42"/>
  <c r="BC11" i="42"/>
  <c r="BL11" i="41"/>
  <c r="AY15" i="41"/>
  <c r="AZ5" i="41"/>
  <c r="AZ8" i="41" s="1"/>
  <c r="AZ13" i="41" s="1"/>
  <c r="AY5" i="37"/>
  <c r="AY8" i="37" s="1"/>
  <c r="AY13" i="37" s="1"/>
  <c r="AZ5" i="37" s="1"/>
  <c r="AZ8" i="37" s="1"/>
  <c r="AZ13" i="37" s="1"/>
  <c r="AX13" i="39"/>
  <c r="AX15" i="39" s="1"/>
  <c r="BL11" i="40"/>
  <c r="AY8" i="40"/>
  <c r="BD11" i="40" s="1"/>
  <c r="D11" i="40" s="1"/>
  <c r="AX15" i="32"/>
  <c r="AY5" i="32"/>
  <c r="AX15" i="38"/>
  <c r="AY5" i="38"/>
  <c r="AY8" i="38" s="1"/>
  <c r="AX13" i="36"/>
  <c r="AX15" i="36" s="1"/>
  <c r="AY8" i="35"/>
  <c r="BD11" i="35" s="1"/>
  <c r="D11" i="35" s="1"/>
  <c r="AX15" i="34"/>
  <c r="AZ5" i="33"/>
  <c r="AZ8" i="33" s="1"/>
  <c r="AZ13" i="33" s="1"/>
  <c r="AZ15" i="33" s="1"/>
  <c r="AY15" i="34"/>
  <c r="AZ5" i="34"/>
  <c r="AZ8" i="34" s="1"/>
  <c r="AZ13" i="34" s="1"/>
  <c r="AX13" i="31"/>
  <c r="AY5" i="31" s="1"/>
  <c r="AY8" i="31" s="1"/>
  <c r="AY13" i="31" s="1"/>
  <c r="AS49" i="16"/>
  <c r="AR51" i="16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Y15" i="48" l="1"/>
  <c r="AZ5" i="48"/>
  <c r="AZ8" i="48" s="1"/>
  <c r="AZ13" i="48" s="1"/>
  <c r="AY5" i="49"/>
  <c r="AX15" i="49"/>
  <c r="H61" i="22"/>
  <c r="I61" i="22"/>
  <c r="AY15" i="46"/>
  <c r="AZ5" i="46"/>
  <c r="AZ8" i="46" s="1"/>
  <c r="AZ13" i="46" s="1"/>
  <c r="BA5" i="47"/>
  <c r="BA8" i="47" s="1"/>
  <c r="BA13" i="47" s="1"/>
  <c r="AZ15" i="47"/>
  <c r="BJ6" i="47"/>
  <c r="BK5" i="47"/>
  <c r="BJ7" i="47"/>
  <c r="BK7" i="47"/>
  <c r="AZ15" i="43"/>
  <c r="BA5" i="43"/>
  <c r="BA8" i="43" s="1"/>
  <c r="BA13" i="43" s="1"/>
  <c r="BK7" i="43"/>
  <c r="BL5" i="43"/>
  <c r="BK6" i="43"/>
  <c r="BL7" i="43"/>
  <c r="AX8" i="44"/>
  <c r="BC11" i="44" s="1"/>
  <c r="AX13" i="44"/>
  <c r="BA5" i="41"/>
  <c r="BA8" i="41" s="1"/>
  <c r="BA13" i="41" s="1"/>
  <c r="AZ15" i="41"/>
  <c r="BK11" i="42"/>
  <c r="AY15" i="42"/>
  <c r="AZ5" i="42"/>
  <c r="AZ8" i="42" s="1"/>
  <c r="AZ13" i="42" s="1"/>
  <c r="AY8" i="32"/>
  <c r="AY15" i="37"/>
  <c r="AY5" i="39"/>
  <c r="AY8" i="39" s="1"/>
  <c r="AY13" i="39" s="1"/>
  <c r="AZ5" i="39" s="1"/>
  <c r="AZ8" i="39" s="1"/>
  <c r="AZ13" i="39" s="1"/>
  <c r="AY13" i="40"/>
  <c r="AY15" i="40" s="1"/>
  <c r="AY13" i="32"/>
  <c r="AZ5" i="32" s="1"/>
  <c r="AZ8" i="32" s="1"/>
  <c r="AZ13" i="32" s="1"/>
  <c r="AZ15" i="32" s="1"/>
  <c r="AY13" i="38"/>
  <c r="BD11" i="38"/>
  <c r="D11" i="38" s="1"/>
  <c r="BA5" i="37"/>
  <c r="BA8" i="37" s="1"/>
  <c r="BA13" i="37" s="1"/>
  <c r="AZ15" i="37"/>
  <c r="AY5" i="36"/>
  <c r="AY8" i="36" s="1"/>
  <c r="AY13" i="36" s="1"/>
  <c r="AZ5" i="36" s="1"/>
  <c r="AZ8" i="36" s="1"/>
  <c r="AZ13" i="36" s="1"/>
  <c r="AY13" i="35"/>
  <c r="AZ5" i="35" s="1"/>
  <c r="AZ8" i="35" s="1"/>
  <c r="AZ13" i="35" s="1"/>
  <c r="BA5" i="33"/>
  <c r="BA8" i="33" s="1"/>
  <c r="BA13" i="33" s="1"/>
  <c r="BA15" i="33" s="1"/>
  <c r="BA5" i="34"/>
  <c r="BA8" i="34" s="1"/>
  <c r="BA13" i="34" s="1"/>
  <c r="AZ15" i="34"/>
  <c r="AX15" i="31"/>
  <c r="AS51" i="16"/>
  <c r="AT44" i="16"/>
  <c r="AT46" i="16" s="1"/>
  <c r="AZ5" i="31"/>
  <c r="AZ8" i="31" s="1"/>
  <c r="AZ13" i="31" s="1"/>
  <c r="AY15" i="31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Y8" i="49" l="1"/>
  <c r="AY13" i="49"/>
  <c r="AZ15" i="48"/>
  <c r="BA5" i="48"/>
  <c r="BA8" i="48" s="1"/>
  <c r="BA13" i="48" s="1"/>
  <c r="BK11" i="47"/>
  <c r="BA15" i="47"/>
  <c r="BB5" i="47"/>
  <c r="AZ15" i="46"/>
  <c r="BA5" i="46"/>
  <c r="AX15" i="44"/>
  <c r="AY5" i="44"/>
  <c r="BL11" i="43"/>
  <c r="BB5" i="43"/>
  <c r="BB8" i="43" s="1"/>
  <c r="BB13" i="43" s="1"/>
  <c r="BA15" i="43"/>
  <c r="BA5" i="42"/>
  <c r="BA8" i="42" s="1"/>
  <c r="BA13" i="42" s="1"/>
  <c r="AZ15" i="42"/>
  <c r="BA15" i="41"/>
  <c r="BB5" i="41"/>
  <c r="BB8" i="41" s="1"/>
  <c r="BB13" i="41" s="1"/>
  <c r="BD11" i="32"/>
  <c r="D11" i="32" s="1"/>
  <c r="AY15" i="32"/>
  <c r="AY15" i="39"/>
  <c r="AZ5" i="40"/>
  <c r="AZ8" i="40" s="1"/>
  <c r="AZ13" i="40" s="1"/>
  <c r="BA5" i="40" s="1"/>
  <c r="BA8" i="40" s="1"/>
  <c r="BA13" i="40" s="1"/>
  <c r="BA5" i="32"/>
  <c r="BA8" i="32" s="1"/>
  <c r="BA13" i="32" s="1"/>
  <c r="BB5" i="32" s="1"/>
  <c r="BB8" i="32" s="1"/>
  <c r="BA5" i="39"/>
  <c r="BA8" i="39" s="1"/>
  <c r="BA13" i="39" s="1"/>
  <c r="AZ15" i="39"/>
  <c r="BA15" i="37"/>
  <c r="BB5" i="37"/>
  <c r="BB8" i="37" s="1"/>
  <c r="BB13" i="37" s="1"/>
  <c r="AY15" i="38"/>
  <c r="AZ5" i="38"/>
  <c r="AZ8" i="38" s="1"/>
  <c r="AZ13" i="38" s="1"/>
  <c r="AY15" i="36"/>
  <c r="AY15" i="35"/>
  <c r="AZ15" i="36"/>
  <c r="BA5" i="36"/>
  <c r="BA8" i="36" s="1"/>
  <c r="BA13" i="36" s="1"/>
  <c r="AZ15" i="35"/>
  <c r="BA5" i="35"/>
  <c r="BA8" i="35" s="1"/>
  <c r="BA13" i="35" s="1"/>
  <c r="BB5" i="33"/>
  <c r="BB8" i="33" s="1"/>
  <c r="BB13" i="33" s="1"/>
  <c r="BB15" i="33" s="1"/>
  <c r="BA15" i="34"/>
  <c r="BB5" i="34"/>
  <c r="BB8" i="34" s="1"/>
  <c r="BB13" i="34" s="1"/>
  <c r="AZ15" i="31"/>
  <c r="BA5" i="31"/>
  <c r="BA8" i="31" s="1"/>
  <c r="BA13" i="31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BB13" i="32" l="1"/>
  <c r="BA15" i="48"/>
  <c r="BB5" i="48"/>
  <c r="BB8" i="48" s="1"/>
  <c r="AY15" i="49"/>
  <c r="AZ5" i="49"/>
  <c r="AZ8" i="49" s="1"/>
  <c r="AZ13" i="49" s="1"/>
  <c r="BA8" i="46"/>
  <c r="BA13" i="46"/>
  <c r="BB8" i="47"/>
  <c r="BB13" i="47" s="1"/>
  <c r="BB15" i="43"/>
  <c r="BC5" i="43"/>
  <c r="BC8" i="43" s="1"/>
  <c r="BC13" i="43" s="1"/>
  <c r="AY8" i="44"/>
  <c r="AY13" i="44"/>
  <c r="BB15" i="41"/>
  <c r="BC5" i="41"/>
  <c r="BC8" i="41" s="1"/>
  <c r="BC13" i="41" s="1"/>
  <c r="BB5" i="42"/>
  <c r="BB8" i="42" s="1"/>
  <c r="BB13" i="42" s="1"/>
  <c r="BA15" i="42"/>
  <c r="AZ15" i="40"/>
  <c r="BA15" i="32"/>
  <c r="BA15" i="40"/>
  <c r="BB5" i="40"/>
  <c r="BB8" i="40" s="1"/>
  <c r="BB13" i="40" s="1"/>
  <c r="BA15" i="39"/>
  <c r="BB5" i="39"/>
  <c r="BB8" i="39" s="1"/>
  <c r="BB13" i="39" s="1"/>
  <c r="BA5" i="38"/>
  <c r="BA8" i="38" s="1"/>
  <c r="BA13" i="38" s="1"/>
  <c r="AZ15" i="38"/>
  <c r="BC5" i="37"/>
  <c r="BC8" i="37" s="1"/>
  <c r="BC13" i="37" s="1"/>
  <c r="BB15" i="37"/>
  <c r="BA15" i="35"/>
  <c r="BB5" i="35"/>
  <c r="BA15" i="36"/>
  <c r="BB5" i="36"/>
  <c r="BB8" i="36" s="1"/>
  <c r="BB13" i="36" s="1"/>
  <c r="BC5" i="33"/>
  <c r="BC8" i="33" s="1"/>
  <c r="BC13" i="33" s="1"/>
  <c r="BB15" i="34"/>
  <c r="BC5" i="34"/>
  <c r="BC8" i="34" s="1"/>
  <c r="BC13" i="34" s="1"/>
  <c r="BB15" i="32"/>
  <c r="BC5" i="32"/>
  <c r="BC8" i="32" s="1"/>
  <c r="BC13" i="32" s="1"/>
  <c r="BA15" i="31"/>
  <c r="BB5" i="31"/>
  <c r="BB8" i="31" s="1"/>
  <c r="BB13" i="31" s="1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BK7" i="32" l="1"/>
  <c r="BL5" i="32"/>
  <c r="BL7" i="32"/>
  <c r="AZ15" i="49"/>
  <c r="BA5" i="49"/>
  <c r="BB13" i="48"/>
  <c r="BK6" i="48"/>
  <c r="BL5" i="48"/>
  <c r="BK7" i="48"/>
  <c r="BL7" i="48"/>
  <c r="BB15" i="47"/>
  <c r="BC5" i="47"/>
  <c r="BC8" i="47" s="1"/>
  <c r="BC13" i="47" s="1"/>
  <c r="BA15" i="46"/>
  <c r="BB5" i="46"/>
  <c r="BB8" i="46" s="1"/>
  <c r="BB13" i="46" s="1"/>
  <c r="BK6" i="46"/>
  <c r="BL5" i="46"/>
  <c r="BK7" i="46"/>
  <c r="BL7" i="46"/>
  <c r="AY15" i="44"/>
  <c r="AZ5" i="44"/>
  <c r="BJ6" i="44"/>
  <c r="BK5" i="44"/>
  <c r="BK7" i="44"/>
  <c r="BJ7" i="44"/>
  <c r="BD5" i="43"/>
  <c r="BD8" i="43" s="1"/>
  <c r="BD13" i="43" s="1"/>
  <c r="BC15" i="43"/>
  <c r="BB15" i="42"/>
  <c r="BC5" i="42"/>
  <c r="BC8" i="42" s="1"/>
  <c r="BC13" i="42" s="1"/>
  <c r="BC15" i="41"/>
  <c r="BD5" i="41"/>
  <c r="BD8" i="41" s="1"/>
  <c r="BD13" i="41" s="1"/>
  <c r="BB15" i="39"/>
  <c r="BC5" i="39"/>
  <c r="BC8" i="39" s="1"/>
  <c r="BC13" i="39" s="1"/>
  <c r="BB15" i="40"/>
  <c r="BC5" i="40"/>
  <c r="BC8" i="40" s="1"/>
  <c r="BC13" i="40" s="1"/>
  <c r="BC15" i="37"/>
  <c r="BD5" i="37"/>
  <c r="BD8" i="37" s="1"/>
  <c r="BD13" i="37" s="1"/>
  <c r="BD15" i="37" s="1"/>
  <c r="BB5" i="38"/>
  <c r="BA15" i="38"/>
  <c r="BB15" i="36"/>
  <c r="BC5" i="36"/>
  <c r="BC8" i="36" s="1"/>
  <c r="BC13" i="36" s="1"/>
  <c r="BB8" i="35"/>
  <c r="BB13" i="35" s="1"/>
  <c r="BC15" i="34"/>
  <c r="BD5" i="34"/>
  <c r="BD8" i="34" s="1"/>
  <c r="BD13" i="34" s="1"/>
  <c r="BD15" i="34" s="1"/>
  <c r="BC15" i="33"/>
  <c r="BD5" i="33"/>
  <c r="BD8" i="33" s="1"/>
  <c r="BD13" i="33" s="1"/>
  <c r="BC5" i="31"/>
  <c r="BC8" i="31" s="1"/>
  <c r="BC13" i="31" s="1"/>
  <c r="BB15" i="31"/>
  <c r="BC15" i="32"/>
  <c r="BD5" i="32"/>
  <c r="BD8" i="32" s="1"/>
  <c r="BD13" i="32" s="1"/>
  <c r="AT49" i="16"/>
  <c r="AU44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BL11" i="48"/>
  <c r="BB15" i="48"/>
  <c r="BC5" i="48"/>
  <c r="BC8" i="48" s="1"/>
  <c r="BC13" i="48" s="1"/>
  <c r="BA8" i="49"/>
  <c r="BA13" i="49"/>
  <c r="BL11" i="46"/>
  <c r="BB15" i="46"/>
  <c r="BC5" i="46"/>
  <c r="BC8" i="46" s="1"/>
  <c r="BC13" i="46" s="1"/>
  <c r="BC15" i="47"/>
  <c r="BD5" i="47"/>
  <c r="BD8" i="47" s="1"/>
  <c r="BD13" i="47" s="1"/>
  <c r="BD15" i="47" s="1"/>
  <c r="BD15" i="43"/>
  <c r="BE5" i="43"/>
  <c r="BE8" i="43" s="1"/>
  <c r="BK11" i="44"/>
  <c r="AZ8" i="44"/>
  <c r="AZ13" i="44" s="1"/>
  <c r="BE5" i="41"/>
  <c r="BD15" i="41"/>
  <c r="BC15" i="42"/>
  <c r="BD5" i="42"/>
  <c r="BD8" i="42" s="1"/>
  <c r="BD13" i="42" s="1"/>
  <c r="BD15" i="42" s="1"/>
  <c r="BC15" i="40"/>
  <c r="BD5" i="40"/>
  <c r="BD8" i="40" s="1"/>
  <c r="BD13" i="40" s="1"/>
  <c r="BC15" i="39"/>
  <c r="BD5" i="39"/>
  <c r="BD8" i="39" s="1"/>
  <c r="BD13" i="39" s="1"/>
  <c r="BD15" i="39" s="1"/>
  <c r="BB8" i="38"/>
  <c r="BB13" i="38" s="1"/>
  <c r="AT51" i="16"/>
  <c r="BB15" i="35"/>
  <c r="BC5" i="35"/>
  <c r="BC8" i="35" s="1"/>
  <c r="BC13" i="35" s="1"/>
  <c r="BD5" i="36"/>
  <c r="BC15" i="36"/>
  <c r="AU46" i="16"/>
  <c r="BD15" i="33"/>
  <c r="BE5" i="33"/>
  <c r="BD15" i="32"/>
  <c r="BE5" i="32"/>
  <c r="BD5" i="31"/>
  <c r="BD8" i="31" s="1"/>
  <c r="BD13" i="31" s="1"/>
  <c r="BD15" i="31" s="1"/>
  <c r="BC15" i="31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BA15" i="49" l="1"/>
  <c r="BB5" i="49"/>
  <c r="BJ6" i="49"/>
  <c r="BK5" i="49"/>
  <c r="BJ7" i="49"/>
  <c r="BC15" i="48"/>
  <c r="BD5" i="48"/>
  <c r="BD8" i="48" s="1"/>
  <c r="BD13" i="48" s="1"/>
  <c r="BC15" i="46"/>
  <c r="BD5" i="46"/>
  <c r="BD8" i="46" s="1"/>
  <c r="BD13" i="46" s="1"/>
  <c r="BA5" i="44"/>
  <c r="BA8" i="44" s="1"/>
  <c r="BA13" i="44" s="1"/>
  <c r="AZ15" i="44"/>
  <c r="BE13" i="43"/>
  <c r="BE15" i="43" s="1"/>
  <c r="D8" i="43"/>
  <c r="BE8" i="41"/>
  <c r="D8" i="41" s="1"/>
  <c r="BD15" i="40"/>
  <c r="BE5" i="40"/>
  <c r="BB15" i="38"/>
  <c r="BC5" i="38"/>
  <c r="BD8" i="36"/>
  <c r="BD13" i="36" s="1"/>
  <c r="BD15" i="36" s="1"/>
  <c r="BC15" i="35"/>
  <c r="BD5" i="35"/>
  <c r="BD8" i="35" s="1"/>
  <c r="BD13" i="35" s="1"/>
  <c r="AU49" i="16"/>
  <c r="AU51" i="16" s="1"/>
  <c r="BE8" i="33"/>
  <c r="D8" i="33" s="1"/>
  <c r="BE8" i="32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BD15" i="48"/>
  <c r="BE5" i="48"/>
  <c r="BB8" i="49"/>
  <c r="BB13" i="49" s="1"/>
  <c r="BE5" i="46"/>
  <c r="BD15" i="46"/>
  <c r="BA15" i="44"/>
  <c r="BB5" i="44"/>
  <c r="BB8" i="44" s="1"/>
  <c r="BB13" i="44" s="1"/>
  <c r="BE13" i="41"/>
  <c r="BE15" i="41" s="1"/>
  <c r="BE8" i="40"/>
  <c r="D8" i="40" s="1"/>
  <c r="BC8" i="38"/>
  <c r="BC13" i="38" s="1"/>
  <c r="AV44" i="16"/>
  <c r="D8" i="32"/>
  <c r="BK6" i="32"/>
  <c r="BL11" i="32" s="1"/>
  <c r="BD15" i="35"/>
  <c r="BE5" i="35"/>
  <c r="BE13" i="33"/>
  <c r="BE15" i="33" s="1"/>
  <c r="BE13" i="32"/>
  <c r="BE15" i="32" s="1"/>
  <c r="D126" i="3"/>
  <c r="D128" i="3" s="1"/>
  <c r="I45" i="10"/>
  <c r="J46" i="10" s="1"/>
  <c r="E72" i="10"/>
  <c r="J64" i="10" s="1"/>
  <c r="R34" i="3"/>
  <c r="Q34" i="3"/>
  <c r="R33" i="3"/>
  <c r="BC5" i="49" l="1"/>
  <c r="BC8" i="49" s="1"/>
  <c r="BC13" i="49" s="1"/>
  <c r="BB15" i="49"/>
  <c r="BE8" i="48"/>
  <c r="D8" i="48" s="1"/>
  <c r="BE8" i="46"/>
  <c r="D8" i="46" s="1"/>
  <c r="BB15" i="44"/>
  <c r="BC5" i="44"/>
  <c r="BC8" i="44" s="1"/>
  <c r="BC13" i="44" s="1"/>
  <c r="BE13" i="40"/>
  <c r="BE15" i="40" s="1"/>
  <c r="BC15" i="38"/>
  <c r="BD5" i="38"/>
  <c r="BD8" i="38" s="1"/>
  <c r="BD13" i="38" s="1"/>
  <c r="AV46" i="16"/>
  <c r="AV49" i="16" s="1"/>
  <c r="AV51" i="16" s="1"/>
  <c r="BE8" i="35"/>
  <c r="D8" i="35" s="1"/>
  <c r="E73" i="10"/>
  <c r="E74" i="10"/>
  <c r="I63" i="10" s="1"/>
  <c r="C42" i="3"/>
  <c r="C43" i="3" s="1"/>
  <c r="F51" i="3" s="1"/>
  <c r="G73" i="10"/>
  <c r="Q31" i="3"/>
  <c r="R31" i="3"/>
  <c r="BE13" i="48" l="1"/>
  <c r="BE15" i="48" s="1"/>
  <c r="BC15" i="49"/>
  <c r="BD5" i="49"/>
  <c r="BE13" i="46"/>
  <c r="BE15" i="46" s="1"/>
  <c r="AW44" i="16"/>
  <c r="AW46" i="16" s="1"/>
  <c r="BC15" i="44"/>
  <c r="BD5" i="44"/>
  <c r="BD8" i="44" s="1"/>
  <c r="BD13" i="44" s="1"/>
  <c r="BD15" i="44" s="1"/>
  <c r="BD15" i="38"/>
  <c r="BE5" i="38"/>
  <c r="BE13" i="35"/>
  <c r="BE15" i="35" s="1"/>
  <c r="E75" i="10"/>
  <c r="I66" i="10" s="1"/>
  <c r="Q42" i="3"/>
  <c r="R42" i="3"/>
  <c r="R41" i="3"/>
  <c r="J62" i="10"/>
  <c r="R35" i="3"/>
  <c r="BD8" i="49" l="1"/>
  <c r="BK7" i="49" s="1"/>
  <c r="I61" i="26" s="1"/>
  <c r="BE8" i="38"/>
  <c r="D8" i="38" s="1"/>
  <c r="AW49" i="16"/>
  <c r="AX44" i="16" s="1"/>
  <c r="AX46" i="16" s="1"/>
  <c r="E95" i="10"/>
  <c r="I84" i="10" s="1"/>
  <c r="E94" i="10"/>
  <c r="J67" i="10"/>
  <c r="C50" i="3"/>
  <c r="C51" i="3" s="1"/>
  <c r="F59" i="3" s="1"/>
  <c r="G94" i="10"/>
  <c r="R39" i="3"/>
  <c r="Q39" i="3"/>
  <c r="BD13" i="49" l="1"/>
  <c r="BD15" i="49" s="1"/>
  <c r="BK11" i="49"/>
  <c r="AW51" i="16"/>
  <c r="BE13" i="38"/>
  <c r="BE15" i="38" s="1"/>
  <c r="E96" i="10"/>
  <c r="I87" i="10" s="1"/>
  <c r="R49" i="3"/>
  <c r="Q50" i="3"/>
  <c r="R50" i="3"/>
  <c r="R43" i="3"/>
  <c r="J83" i="10"/>
  <c r="H12" i="6"/>
  <c r="AX49" i="16" l="1"/>
  <c r="AX51" i="16" s="1"/>
  <c r="AY44" i="16"/>
  <c r="G115" i="10"/>
  <c r="E116" i="10"/>
  <c r="J104" i="10" s="1"/>
  <c r="E115" i="10"/>
  <c r="C58" i="3"/>
  <c r="C59" i="3" s="1"/>
  <c r="R47" i="3"/>
  <c r="Q47" i="3"/>
  <c r="J88" i="10"/>
  <c r="H20" i="6"/>
  <c r="H38" i="6" s="1"/>
  <c r="AY46" i="16" l="1"/>
  <c r="F67" i="3"/>
  <c r="I105" i="10"/>
  <c r="E117" i="10"/>
  <c r="E137" i="10" s="1"/>
  <c r="R57" i="3"/>
  <c r="R58" i="3"/>
  <c r="Q58" i="3"/>
  <c r="R51" i="3"/>
  <c r="C19" i="6"/>
  <c r="AY49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AY51" i="16" l="1"/>
  <c r="AZ44" i="16"/>
  <c r="AZ46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AZ49" i="16" l="1"/>
  <c r="BA44" i="16" s="1"/>
  <c r="BA46" i="16" s="1"/>
  <c r="AZ51" i="16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BA49" i="16" l="1"/>
  <c r="BB44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BA51" i="16" l="1"/>
  <c r="BB46" i="16"/>
  <c r="V47" i="17"/>
  <c r="V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BB49" i="16" l="1"/>
  <c r="BB51" i="16" s="1"/>
  <c r="BJ42" i="16"/>
  <c r="BK41" i="16"/>
  <c r="BK43" i="16"/>
  <c r="L7" i="18" s="1"/>
  <c r="BJ43" i="16"/>
  <c r="K7" i="18" s="1"/>
  <c r="BC44" i="16"/>
  <c r="W42" i="17"/>
  <c r="E201" i="10"/>
  <c r="E221" i="10" s="1"/>
  <c r="J188" i="10"/>
  <c r="I189" i="10"/>
  <c r="Q82" i="3"/>
  <c r="R82" i="3"/>
  <c r="R81" i="3"/>
  <c r="C55" i="6"/>
  <c r="H56" i="6"/>
  <c r="S43" i="6"/>
  <c r="T43" i="6"/>
  <c r="BK47" i="16" l="1"/>
  <c r="K6" i="18"/>
  <c r="BC46" i="16"/>
  <c r="BC49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BD44" i="16" l="1"/>
  <c r="BC51" i="16"/>
  <c r="W47" i="17"/>
  <c r="X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BD46" i="16" l="1"/>
  <c r="BD49" i="16" s="1"/>
  <c r="BD51" i="16" s="1"/>
  <c r="W49" i="17"/>
  <c r="V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X47" i="17" l="1"/>
  <c r="Y42" i="17" s="1"/>
  <c r="V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X49" i="17" l="1"/>
  <c r="W13" i="17"/>
  <c r="W15" i="17" s="1"/>
  <c r="Y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Y49" i="17" l="1"/>
  <c r="Z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X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Z47" i="17" l="1"/>
  <c r="X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Z49" i="17" l="1"/>
  <c r="Y13" i="17"/>
  <c r="Y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A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A49" i="17" l="1"/>
  <c r="Z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B47" i="17" l="1"/>
  <c r="AB49" i="17" s="1"/>
  <c r="Z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A13" i="17" l="1"/>
  <c r="AA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C47" i="17" l="1"/>
  <c r="AC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D42" i="17" l="1"/>
  <c r="AD44" i="17" s="1"/>
  <c r="AB13" i="17"/>
  <c r="AB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D47" i="17" l="1"/>
  <c r="AE42" i="17" s="1"/>
  <c r="I293" i="7"/>
  <c r="J294" i="7" s="1"/>
  <c r="T137" i="6"/>
  <c r="S137" i="6"/>
  <c r="H299" i="7"/>
  <c r="AD49" i="17" l="1"/>
  <c r="AC13" i="17"/>
  <c r="AE44" i="17"/>
  <c r="T143" i="6"/>
  <c r="C149" i="6"/>
  <c r="AE47" i="17" l="1"/>
  <c r="AF42" i="17" s="1"/>
  <c r="AC15" i="17"/>
  <c r="C150" i="6"/>
  <c r="H158" i="6" s="1"/>
  <c r="T150" i="6"/>
  <c r="S151" i="6"/>
  <c r="AE49" i="17" l="1"/>
  <c r="AD13" i="17"/>
  <c r="AF44" i="17"/>
  <c r="T146" i="6"/>
  <c r="S146" i="6"/>
  <c r="AD15" i="17" l="1"/>
  <c r="AF47" i="17"/>
  <c r="AF49" i="17" s="1"/>
  <c r="C158" i="6"/>
  <c r="C159" i="6" s="1"/>
  <c r="C161" i="6" s="1"/>
  <c r="C163" i="6" s="1"/>
  <c r="H159" i="6"/>
  <c r="H161" i="6" s="1"/>
  <c r="T152" i="6"/>
  <c r="AE13" i="17" l="1"/>
  <c r="AG42" i="17"/>
  <c r="AG44" i="17" s="1"/>
  <c r="S160" i="6"/>
  <c r="T178" i="6" s="1"/>
  <c r="T159" i="6"/>
  <c r="AE15" i="17" l="1"/>
  <c r="AG47" i="17"/>
  <c r="T155" i="6"/>
  <c r="S155" i="6"/>
  <c r="AG49" i="17" l="1"/>
  <c r="AH42" i="17"/>
  <c r="AF13" i="17"/>
  <c r="AG5" i="17" s="1"/>
  <c r="S173" i="6"/>
  <c r="T161" i="6"/>
  <c r="AH44" i="17" l="1"/>
  <c r="AF15" i="17"/>
  <c r="AG8" i="17"/>
  <c r="T179" i="6"/>
  <c r="I77" i="17"/>
  <c r="E8" i="17" l="1"/>
  <c r="AH47" i="17"/>
  <c r="AG13" i="17"/>
  <c r="AI42" i="17" l="1"/>
  <c r="AI44" i="17" s="1"/>
  <c r="AI47" i="17" s="1"/>
  <c r="AJ42" i="17" s="1"/>
  <c r="AH49" i="17"/>
  <c r="AG15" i="17"/>
  <c r="AH5" i="17"/>
  <c r="AI49" i="17"/>
  <c r="AH13" i="17" l="1"/>
  <c r="AJ44" i="17"/>
  <c r="V13" i="16"/>
  <c r="W79" i="17"/>
  <c r="AH15" i="17" l="1"/>
  <c r="AI5" i="17"/>
  <c r="AJ47" i="17"/>
  <c r="V15" i="16"/>
  <c r="W81" i="17"/>
  <c r="AI13" i="17" l="1"/>
  <c r="AI15" i="17" s="1"/>
  <c r="AJ49" i="17"/>
  <c r="AK42" i="17"/>
  <c r="AK44" i="17" s="1"/>
  <c r="W13" i="16"/>
  <c r="AJ5" i="17" l="1"/>
  <c r="AJ13" i="17" s="1"/>
  <c r="AJ15" i="17" s="1"/>
  <c r="AK47" i="17"/>
  <c r="X79" i="17"/>
  <c r="Y75" i="17" s="1"/>
  <c r="W15" i="16"/>
  <c r="AK5" i="17" l="1"/>
  <c r="AL42" i="17"/>
  <c r="AL44" i="17" s="1"/>
  <c r="AK49" i="17"/>
  <c r="X81" i="17"/>
  <c r="X13" i="16"/>
  <c r="Y77" i="17"/>
  <c r="AK13" i="17" l="1"/>
  <c r="AL5" i="17" s="1"/>
  <c r="AL47" i="17"/>
  <c r="Y79" i="17"/>
  <c r="Y81" i="17" s="1"/>
  <c r="X15" i="16"/>
  <c r="AL13" i="17" l="1"/>
  <c r="AK15" i="17"/>
  <c r="AM42" i="17"/>
  <c r="AM44" i="17" s="1"/>
  <c r="AL49" i="17"/>
  <c r="Y13" i="16"/>
  <c r="AM5" i="17" l="1"/>
  <c r="AR11" i="17" s="1"/>
  <c r="AL15" i="17"/>
  <c r="AM47" i="17"/>
  <c r="Z79" i="17"/>
  <c r="Y15" i="16"/>
  <c r="AM13" i="17" l="1"/>
  <c r="AN5" i="17" s="1"/>
  <c r="AN42" i="17"/>
  <c r="AN44" i="17" s="1"/>
  <c r="AM49" i="17"/>
  <c r="Z81" i="17"/>
  <c r="Z13" i="16"/>
  <c r="AM15" i="17" l="1"/>
  <c r="AN13" i="17"/>
  <c r="AN47" i="17"/>
  <c r="AA79" i="17"/>
  <c r="Z15" i="16"/>
  <c r="AO5" i="17" l="1"/>
  <c r="AN15" i="17"/>
  <c r="AO42" i="17"/>
  <c r="AO44" i="17" s="1"/>
  <c r="AN49" i="17"/>
  <c r="AA81" i="17"/>
  <c r="AA13" i="16"/>
  <c r="AO13" i="17" l="1"/>
  <c r="AO47" i="17"/>
  <c r="AP42" i="17" s="1"/>
  <c r="AP44" i="17" s="1"/>
  <c r="AB79" i="17"/>
  <c r="AC75" i="17" s="1"/>
  <c r="AA15" i="16"/>
  <c r="AP5" i="17" l="1"/>
  <c r="AO15" i="17"/>
  <c r="AO49" i="17"/>
  <c r="AB81" i="17"/>
  <c r="AB13" i="16"/>
  <c r="AC77" i="17"/>
  <c r="AC79" i="17" s="1"/>
  <c r="AP13" i="17" l="1"/>
  <c r="AQ5" i="17" s="1"/>
  <c r="AQ13" i="17" s="1"/>
  <c r="AP47" i="17"/>
  <c r="AQ42" i="17" s="1"/>
  <c r="AQ44" i="17" s="1"/>
  <c r="AB15" i="16"/>
  <c r="AC81" i="17"/>
  <c r="AD75" i="17"/>
  <c r="AP49" i="17" l="1"/>
  <c r="AP15" i="17"/>
  <c r="AC13" i="16"/>
  <c r="AD77" i="17"/>
  <c r="AD79" i="17" s="1"/>
  <c r="AR5" i="17" l="1"/>
  <c r="AR8" i="17" s="1"/>
  <c r="E44" i="17"/>
  <c r="AQ47" i="17"/>
  <c r="AC15" i="16"/>
  <c r="AD81" i="17"/>
  <c r="AE75" i="17"/>
  <c r="AQ49" i="17" l="1"/>
  <c r="AR42" i="17"/>
  <c r="AR44" i="17" s="1"/>
  <c r="AQ15" i="17"/>
  <c r="AD13" i="16"/>
  <c r="AD15" i="16" s="1"/>
  <c r="AE77" i="17"/>
  <c r="AR13" i="17" l="1"/>
  <c r="AS5" i="17" s="1"/>
  <c r="AE79" i="17"/>
  <c r="AF75" i="17" s="1"/>
  <c r="E77" i="17"/>
  <c r="AS8" i="17" l="1"/>
  <c r="AR15" i="17"/>
  <c r="AR47" i="17"/>
  <c r="AR49" i="17" s="1"/>
  <c r="AE81" i="17"/>
  <c r="AE13" i="16"/>
  <c r="AF5" i="16" s="1"/>
  <c r="AF77" i="17"/>
  <c r="AF79" i="17" s="1"/>
  <c r="AF8" i="16" l="1"/>
  <c r="AS13" i="17"/>
  <c r="AT5" i="17" s="1"/>
  <c r="AS42" i="17"/>
  <c r="AE15" i="16"/>
  <c r="AF81" i="17"/>
  <c r="AG75" i="17"/>
  <c r="AF13" i="16" l="1"/>
  <c r="AF15" i="16" s="1"/>
  <c r="AQ11" i="16"/>
  <c r="AS15" i="17"/>
  <c r="AT8" i="17"/>
  <c r="AT13" i="17" s="1"/>
  <c r="AS44" i="17"/>
  <c r="AS47" i="17" s="1"/>
  <c r="AT42" i="17" s="1"/>
  <c r="AT44" i="17" s="1"/>
  <c r="D8" i="16"/>
  <c r="AG5" i="16"/>
  <c r="AG13" i="16" s="1"/>
  <c r="AG15" i="16" s="1"/>
  <c r="AG77" i="17"/>
  <c r="BL42" i="17" l="1"/>
  <c r="L17" i="18" s="1"/>
  <c r="BK44" i="17"/>
  <c r="K19" i="18" s="1"/>
  <c r="AS49" i="17"/>
  <c r="D44" i="17"/>
  <c r="AG79" i="17"/>
  <c r="D77" i="17"/>
  <c r="AT15" i="17" l="1"/>
  <c r="BK6" i="17"/>
  <c r="BL5" i="17"/>
  <c r="BL7" i="17"/>
  <c r="L15" i="18" s="1"/>
  <c r="BK7" i="17"/>
  <c r="K15" i="18" s="1"/>
  <c r="BK43" i="17"/>
  <c r="K18" i="18" s="1"/>
  <c r="BL44" i="17"/>
  <c r="L19" i="18" s="1"/>
  <c r="AT47" i="17"/>
  <c r="AG81" i="17"/>
  <c r="AH75" i="17"/>
  <c r="AH5" i="16"/>
  <c r="L13" i="18" l="1"/>
  <c r="K14" i="18"/>
  <c r="BL48" i="17"/>
  <c r="AU5" i="17"/>
  <c r="AU8" i="17" s="1"/>
  <c r="BL11" i="17"/>
  <c r="AT49" i="17"/>
  <c r="AU42" i="17"/>
  <c r="AH13" i="16"/>
  <c r="AH77" i="17"/>
  <c r="AU13" i="17" l="1"/>
  <c r="AU44" i="17"/>
  <c r="AU47" i="17" s="1"/>
  <c r="AI5" i="16"/>
  <c r="AH15" i="16"/>
  <c r="AH79" i="17"/>
  <c r="AV42" i="17" l="1"/>
  <c r="AU49" i="17"/>
  <c r="AU15" i="17"/>
  <c r="AV5" i="17"/>
  <c r="AI13" i="16"/>
  <c r="AJ5" i="16" s="1"/>
  <c r="AJ13" i="16" s="1"/>
  <c r="AI75" i="17"/>
  <c r="AI77" i="17" s="1"/>
  <c r="AI79" i="17" s="1"/>
  <c r="AH81" i="17"/>
  <c r="AV8" i="17" l="1"/>
  <c r="AV13" i="17" s="1"/>
  <c r="AV44" i="17"/>
  <c r="AV47" i="17" s="1"/>
  <c r="AI15" i="16"/>
  <c r="AK5" i="16"/>
  <c r="AJ15" i="16"/>
  <c r="AJ75" i="17"/>
  <c r="AI81" i="17"/>
  <c r="AW42" i="17" l="1"/>
  <c r="AV49" i="17"/>
  <c r="AW5" i="17"/>
  <c r="AV15" i="17"/>
  <c r="AJ77" i="17"/>
  <c r="AJ79" i="17" s="1"/>
  <c r="AW8" i="17" l="1"/>
  <c r="AW13" i="17" s="1"/>
  <c r="AW44" i="17"/>
  <c r="AW47" i="17" s="1"/>
  <c r="AK13" i="16"/>
  <c r="AK75" i="17"/>
  <c r="AJ81" i="17"/>
  <c r="AW49" i="17" l="1"/>
  <c r="AX42" i="17"/>
  <c r="AX5" i="17"/>
  <c r="AW15" i="17"/>
  <c r="AL5" i="16"/>
  <c r="AK15" i="16"/>
  <c r="AK77" i="17"/>
  <c r="AK79" i="17" s="1"/>
  <c r="AX8" i="17" l="1"/>
  <c r="AX13" i="17" s="1"/>
  <c r="AX44" i="17"/>
  <c r="AX47" i="17" s="1"/>
  <c r="AL75" i="17"/>
  <c r="AK81" i="17"/>
  <c r="AX49" i="17" l="1"/>
  <c r="AY42" i="17"/>
  <c r="AX15" i="17"/>
  <c r="AY5" i="17"/>
  <c r="AL13" i="16"/>
  <c r="AM5" i="16" s="1"/>
  <c r="C11" i="16"/>
  <c r="AL77" i="17"/>
  <c r="AM13" i="16" l="1"/>
  <c r="AM15" i="16" s="1"/>
  <c r="AY8" i="17"/>
  <c r="BD11" i="17" s="1"/>
  <c r="D11" i="17" s="1"/>
  <c r="AY44" i="17"/>
  <c r="AY47" i="17" s="1"/>
  <c r="AL15" i="16"/>
  <c r="AL79" i="17"/>
  <c r="AM75" i="17" s="1"/>
  <c r="AZ42" i="17" l="1"/>
  <c r="AY49" i="17"/>
  <c r="AY13" i="17"/>
  <c r="AL81" i="17"/>
  <c r="AM77" i="17"/>
  <c r="AY15" i="17" l="1"/>
  <c r="AZ5" i="17"/>
  <c r="AZ44" i="17"/>
  <c r="AZ47" i="17" s="1"/>
  <c r="AN5" i="16"/>
  <c r="AM79" i="17"/>
  <c r="AN75" i="17" s="1"/>
  <c r="BA42" i="17" l="1"/>
  <c r="AZ49" i="17"/>
  <c r="AZ8" i="17"/>
  <c r="AZ13" i="17" s="1"/>
  <c r="AN13" i="16"/>
  <c r="AO5" i="16" s="1"/>
  <c r="AM81" i="17"/>
  <c r="AN77" i="17"/>
  <c r="BA5" i="17" l="1"/>
  <c r="AZ15" i="17"/>
  <c r="BA44" i="17"/>
  <c r="BA47" i="17" s="1"/>
  <c r="AN15" i="16"/>
  <c r="AN79" i="17"/>
  <c r="AO75" i="17" s="1"/>
  <c r="BA49" i="17" l="1"/>
  <c r="BB42" i="17"/>
  <c r="BA8" i="17"/>
  <c r="BA13" i="17" s="1"/>
  <c r="AN81" i="17"/>
  <c r="AO13" i="16"/>
  <c r="AO15" i="16" s="1"/>
  <c r="AO77" i="17"/>
  <c r="BB5" i="17" l="1"/>
  <c r="BA15" i="17"/>
  <c r="BB44" i="17"/>
  <c r="BB47" i="17" s="1"/>
  <c r="AP5" i="16"/>
  <c r="AO79" i="17"/>
  <c r="AO81" i="17" s="1"/>
  <c r="BB49" i="17" l="1"/>
  <c r="BC42" i="17"/>
  <c r="BB8" i="17"/>
  <c r="BB13" i="17" s="1"/>
  <c r="AP13" i="16"/>
  <c r="AQ5" i="16" s="1"/>
  <c r="AQ8" i="16" s="1"/>
  <c r="AP75" i="17"/>
  <c r="AP77" i="17" s="1"/>
  <c r="BB15" i="17" l="1"/>
  <c r="BC5" i="17"/>
  <c r="BC44" i="17"/>
  <c r="BC47" i="17" s="1"/>
  <c r="AP15" i="16"/>
  <c r="AP79" i="17"/>
  <c r="BD42" i="17" l="1"/>
  <c r="BC49" i="17"/>
  <c r="BC8" i="17"/>
  <c r="BC13" i="17" s="1"/>
  <c r="AQ13" i="16"/>
  <c r="AQ15" i="16" s="1"/>
  <c r="AP81" i="17"/>
  <c r="AQ75" i="17"/>
  <c r="AQ77" i="17" s="1"/>
  <c r="BC15" i="17" l="1"/>
  <c r="BD5" i="17"/>
  <c r="BD44" i="17"/>
  <c r="BD47" i="17" s="1"/>
  <c r="AR5" i="16"/>
  <c r="AR8" i="16" s="1"/>
  <c r="AQ79" i="17"/>
  <c r="BE42" i="17" l="1"/>
  <c r="BD49" i="17"/>
  <c r="BD8" i="17"/>
  <c r="BD13" i="17" s="1"/>
  <c r="C8" i="16"/>
  <c r="C13" i="16" s="1"/>
  <c r="AQ81" i="17"/>
  <c r="AR75" i="17"/>
  <c r="AR77" i="17" s="1"/>
  <c r="BE5" i="17" l="1"/>
  <c r="BD15" i="17"/>
  <c r="BE44" i="17"/>
  <c r="BE47" i="17" s="1"/>
  <c r="BE49" i="17" s="1"/>
  <c r="AR13" i="16"/>
  <c r="AR79" i="17"/>
  <c r="F1" i="24"/>
  <c r="F1" i="26"/>
  <c r="AS5" i="16" l="1"/>
  <c r="AS8" i="16" s="1"/>
  <c r="AR15" i="16"/>
  <c r="BE8" i="17"/>
  <c r="D8" i="17" s="1"/>
  <c r="AR81" i="17"/>
  <c r="AS75" i="17"/>
  <c r="AS77" i="17" s="1"/>
  <c r="F1" i="25"/>
  <c r="C1" i="27"/>
  <c r="BE13" i="17" l="1"/>
  <c r="BE15" i="17" s="1"/>
  <c r="AS79" i="17"/>
  <c r="F1" i="27"/>
  <c r="C1" i="28"/>
  <c r="AS13" i="16" l="1"/>
  <c r="AT5" i="16" s="1"/>
  <c r="AT8" i="16" s="1"/>
  <c r="AT75" i="17"/>
  <c r="AT77" i="17" s="1"/>
  <c r="AS81" i="17"/>
  <c r="C1" i="29"/>
  <c r="F1" i="29" s="1"/>
  <c r="F1" i="28"/>
  <c r="BL75" i="17" l="1"/>
  <c r="BL77" i="17"/>
  <c r="L27" i="18" s="1"/>
  <c r="BK76" i="17"/>
  <c r="BK77" i="17"/>
  <c r="K27" i="18" s="1"/>
  <c r="AS15" i="16"/>
  <c r="AT79" i="17"/>
  <c r="AT13" i="16"/>
  <c r="AU5" i="16" s="1"/>
  <c r="AU8" i="16" s="1"/>
  <c r="L25" i="18"/>
  <c r="H61" i="5" l="1"/>
  <c r="I61" i="5"/>
  <c r="BL81" i="17"/>
  <c r="K26" i="18"/>
  <c r="AT81" i="17"/>
  <c r="AU75" i="17"/>
  <c r="AU77" i="17" s="1"/>
  <c r="AU79" i="17" s="1"/>
  <c r="AT15" i="16"/>
  <c r="AU13" i="16" l="1"/>
  <c r="AV75" i="17"/>
  <c r="AV77" i="17" s="1"/>
  <c r="AV79" i="17" s="1"/>
  <c r="AU81" i="17"/>
  <c r="I62" i="5" l="1"/>
  <c r="AW75" i="17"/>
  <c r="AW77" i="17" s="1"/>
  <c r="AW79" i="17" s="1"/>
  <c r="AV81" i="17"/>
  <c r="AV5" i="16"/>
  <c r="AV8" i="16" s="1"/>
  <c r="AU15" i="16"/>
  <c r="I62" i="19" l="1"/>
  <c r="AW81" i="17"/>
  <c r="AX75" i="17"/>
  <c r="AX77" i="17" s="1"/>
  <c r="AX79" i="17" s="1"/>
  <c r="AV13" i="16" l="1"/>
  <c r="AV15" i="16" s="1"/>
  <c r="AY75" i="17"/>
  <c r="AY77" i="17" s="1"/>
  <c r="AY79" i="17" s="1"/>
  <c r="AX81" i="17"/>
  <c r="AW5" i="16"/>
  <c r="AW8" i="16" s="1"/>
  <c r="AZ75" i="17" l="1"/>
  <c r="AZ77" i="17" s="1"/>
  <c r="AZ79" i="17" s="1"/>
  <c r="AY81" i="17"/>
  <c r="AW13" i="16" l="1"/>
  <c r="AX5" i="16" s="1"/>
  <c r="AX8" i="16" s="1"/>
  <c r="I62" i="21"/>
  <c r="BA75" i="17"/>
  <c r="BA77" i="17" s="1"/>
  <c r="BA79" i="17" s="1"/>
  <c r="AZ81" i="17"/>
  <c r="AW15" i="16"/>
  <c r="BA81" i="17" l="1"/>
  <c r="BB75" i="17"/>
  <c r="BB77" i="17" s="1"/>
  <c r="BB79" i="17" s="1"/>
  <c r="BC11" i="16"/>
  <c r="BB81" i="17" l="1"/>
  <c r="BC75" i="17"/>
  <c r="BC77" i="17" s="1"/>
  <c r="BC79" i="17" s="1"/>
  <c r="AX13" i="16"/>
  <c r="BD75" i="17" l="1"/>
  <c r="BD77" i="17" s="1"/>
  <c r="BD79" i="17" s="1"/>
  <c r="BC81" i="17"/>
  <c r="AY5" i="16"/>
  <c r="AX15" i="16"/>
  <c r="BE75" i="17" l="1"/>
  <c r="BE77" i="17" s="1"/>
  <c r="BE79" i="17" s="1"/>
  <c r="BE81" i="17" s="1"/>
  <c r="BD81" i="17"/>
  <c r="AY8" i="16"/>
  <c r="AY13" i="16" l="1"/>
  <c r="AY15" i="16" s="1"/>
  <c r="AZ5" i="16" l="1"/>
  <c r="AZ8" i="16" s="1"/>
  <c r="AZ13" i="16" l="1"/>
  <c r="BA5" i="16" s="1"/>
  <c r="AZ15" i="16" l="1"/>
  <c r="BA8" i="16"/>
  <c r="BA13" i="16" l="1"/>
  <c r="BA15" i="16"/>
  <c r="BB5" i="16"/>
  <c r="BB8" i="16" s="1"/>
  <c r="BB13" i="16" l="1"/>
  <c r="BC5" i="16" s="1"/>
  <c r="BJ6" i="16"/>
  <c r="BK7" i="16"/>
  <c r="BJ7" i="16"/>
  <c r="K4" i="18" s="1"/>
  <c r="BK5" i="16"/>
  <c r="I62" i="22"/>
  <c r="I62" i="26"/>
  <c r="I62" i="23"/>
  <c r="I62" i="24"/>
  <c r="I62" i="20"/>
  <c r="I62" i="25"/>
  <c r="BB15" i="16" l="1"/>
  <c r="L61" i="45"/>
  <c r="L4" i="18"/>
  <c r="K3" i="18"/>
  <c r="K32" i="18" s="1"/>
  <c r="H61" i="29"/>
  <c r="BK11" i="16"/>
  <c r="K61" i="45"/>
  <c r="H61" i="28"/>
  <c r="I61" i="27"/>
  <c r="L2" i="18"/>
  <c r="L32" i="18" s="1"/>
  <c r="I61" i="29"/>
  <c r="I61" i="28"/>
  <c r="BC8" i="16"/>
  <c r="BC13" i="16" s="1"/>
  <c r="L62" i="45" l="1"/>
  <c r="I62" i="27"/>
  <c r="I62" i="28"/>
  <c r="I62" i="29"/>
  <c r="BD5" i="16"/>
  <c r="BC15" i="16"/>
  <c r="BD8" i="16" l="1"/>
  <c r="BD13" i="16" s="1"/>
  <c r="BD15" i="16" s="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L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Purchase Gas here…now
either…
1.) sell right away to customers
2.) add to storage for later sell
3.) sell to power area, or other wholesale counterparties.</t>
        </r>
      </text>
    </comment>
    <comment ref="J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J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2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AX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25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AY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AX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27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AY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8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AX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29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AY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0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AX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31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AY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2.xml><?xml version="1.0" encoding="utf-8"?>
<comments xmlns="http://schemas.openxmlformats.org/spreadsheetml/2006/main">
  <authors>
    <author>MGG9990</author>
    <author>Berg, Jenny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BC8" authorId="1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Q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C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L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AX1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AR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BC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BD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Q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R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C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BD46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Q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BC47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AQ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C4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Q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R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C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BD8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F81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AS8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comments33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AR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BD12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Ryan's balance = $7,224,717.19</t>
        </r>
      </text>
    </comment>
    <comment ref="AM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AY1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$7,224,717.19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2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&amp; 132.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R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AS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D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BE43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only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R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BD4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AR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BD4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<sst xmlns="http://schemas.openxmlformats.org/spreadsheetml/2006/main" count="10248" uniqueCount="342">
  <si>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</si>
  <si>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</si>
  <si>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</si>
  <si>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</si>
  <si>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</si>
  <si>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</si>
  <si>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</si>
  <si>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</si>
  <si>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</si>
  <si>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</si>
  <si>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</si>
  <si>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</si>
  <si>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</si>
  <si>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</si>
  <si>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</si>
  <si>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</si>
  <si>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</si>
  <si>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</si>
  <si>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</si>
  <si>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</si>
  <si>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</si>
  <si>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</si>
  <si>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</si>
  <si>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</si>
  <si>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</si>
  <si>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</si>
  <si>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</si>
  <si>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</si>
  <si>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</si>
  <si>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</si>
  <si>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</si>
  <si>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</si>
  <si>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</si>
  <si>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</si>
  <si>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</si>
  <si>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</si>
  <si>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</si>
  <si>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</si>
  <si>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</si>
  <si>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</si>
  <si>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</si>
  <si>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</si>
  <si>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</si>
  <si>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</si>
  <si>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</si>
  <si>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</si>
  <si>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</si>
  <si>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</si>
  <si>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</si>
  <si>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</si>
  <si>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</si>
  <si>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</si>
  <si>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</si>
  <si>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</si>
  <si>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</si>
  <si>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</si>
  <si>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</si>
  <si>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</si>
  <si>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</si>
  <si>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</si>
  <si>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</si>
  <si>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</si>
  <si>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</si>
  <si>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</si>
  <si>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</si>
  <si>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</si>
  <si>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</si>
  <si>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</si>
  <si>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</si>
  <si>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</si>
  <si>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</si>
  <si>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</si>
  <si>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</si>
  <si>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</si>
  <si>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</si>
  <si>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</si>
  <si>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</si>
  <si>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</si>
  <si>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</si>
  <si>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</si>
  <si>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</si>
  <si>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</si>
  <si>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</si>
  <si>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</si>
  <si>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</si>
  <si>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</si>
  <si>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</si>
  <si>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</si>
  <si>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</si>
  <si>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</si>
  <si>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</si>
  <si>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</si>
  <si>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</si>
  <si>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</si>
  <si>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</si>
  <si>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</si>
  <si>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</si>
  <si>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</si>
  <si>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</si>
  <si>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</si>
  <si>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</si>
  <si>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</si>
  <si>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</si>
  <si>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</si>
  <si>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</si>
  <si>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</si>
  <si>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</si>
  <si>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</si>
  <si>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</si>
  <si>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</si>
  <si>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</si>
  <si>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</si>
  <si>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</si>
  <si>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</si>
  <si>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</si>
  <si>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</si>
  <si>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</si>
  <si>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</si>
  <si>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</si>
  <si>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</si>
  <si>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</si>
  <si>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</si>
  <si>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</si>
  <si>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</si>
  <si>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</si>
  <si>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</si>
  <si>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</si>
  <si>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</si>
  <si>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</si>
  <si>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</si>
  <si>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</si>
  <si>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</si>
  <si>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</si>
  <si>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</si>
  <si>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</si>
  <si>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</si>
  <si>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</si>
  <si>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</si>
  <si>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</si>
  <si>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</si>
  <si>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</si>
  <si>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</si>
  <si>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</si>
  <si>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</si>
  <si>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</si>
  <si>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</si>
  <si>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</si>
  <si>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</si>
  <si>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</si>
  <si>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</si>
  <si>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</si>
  <si>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</si>
  <si>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</si>
  <si>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</si>
  <si>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</si>
  <si>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</si>
  <si>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</si>
  <si>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</si>
  <si>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</si>
  <si>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</si>
  <si>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</si>
  <si>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</si>
  <si>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</si>
  <si>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</si>
  <si>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</si>
  <si>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</si>
  <si>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</si>
  <si>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</si>
  <si>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</si>
  <si>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</si>
  <si>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</si>
  <si>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</si>
  <si>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</si>
  <si>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</si>
  <si>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</si>
  <si>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</si>
  <si>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</si>
  <si>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</si>
  <si>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</si>
  <si>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</si>
  <si>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</si>
  <si>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</si>
  <si>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</si>
  <si>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</si>
  <si>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</si>
  <si>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</si>
  <si>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</si>
  <si>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</si>
  <si>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</si>
  <si>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</si>
  <si>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</si>
  <si>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</si>
  <si>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</si>
  <si>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</si>
  <si>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</si>
  <si>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</si>
  <si>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</si>
  <si>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</si>
  <si>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</si>
  <si>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</si>
  <si>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</si>
  <si>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</si>
  <si>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</si>
  <si>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</si>
  <si>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</si>
  <si>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</si>
  <si>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</si>
  <si>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</si>
  <si>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</si>
  <si>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</si>
  <si>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</si>
  <si>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</si>
  <si>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</si>
  <si>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</si>
  <si>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</si>
  <si>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</si>
  <si>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</si>
  <si>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</si>
  <si>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</si>
  <si>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</si>
  <si>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</si>
  <si>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</si>
  <si>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</si>
  <si>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</si>
  <si>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</si>
  <si>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</si>
  <si>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</si>
  <si>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</si>
  <si>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</si>
  <si>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</si>
  <si>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</si>
  <si>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</si>
  <si>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</si>
  <si>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</si>
  <si>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</si>
  <si>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</si>
  <si>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</si>
  <si>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</si>
  <si>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</si>
  <si>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</si>
  <si>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</si>
  <si>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</si>
  <si>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</si>
  <si>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</si>
  <si>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</si>
  <si>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</si>
  <si>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</si>
  <si>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</si>
  <si>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</si>
  <si>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</si>
  <si>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</si>
  <si>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</si>
  <si>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</si>
  <si>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</si>
  <si>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</si>
  <si>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</si>
  <si>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</si>
  <si>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</si>
  <si>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</si>
  <si>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</si>
  <si>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</si>
  <si>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</si>
  <si>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</si>
  <si>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</si>
  <si>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</si>
  <si>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</si>
  <si>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</si>
  <si>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</si>
  <si>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</si>
  <si>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</si>
  <si>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</si>
  <si>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</si>
  <si>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</si>
  <si>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</si>
  <si>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</si>
  <si>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</si>
  <si>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</si>
  <si>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</si>
  <si>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</si>
  <si>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</si>
  <si>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</si>
  <si>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</si>
  <si>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</si>
  <si>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</si>
  <si>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</si>
  <si>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</si>
  <si>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</si>
  <si>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</si>
  <si>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</si>
  <si>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</si>
  <si>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</si>
  <si>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</si>
  <si>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</si>
  <si>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</si>
  <si>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</si>
  <si>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</si>
  <si>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</si>
  <si>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</si>
  <si>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</si>
  <si>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</si>
  <si>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</si>
  <si>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</si>
  <si>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</si>
  <si>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</si>
  <si>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</si>
  <si>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</si>
  <si>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</si>
  <si>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</si>
  <si>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</si>
  <si>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</si>
  <si>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</si>
  <si>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</si>
  <si>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</si>
  <si>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</si>
  <si>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</si>
  <si>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</si>
  <si>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</si>
  <si>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</si>
  <si>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</si>
  <si>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</si>
  <si>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</si>
  <si>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 xml:space="preserve"> </t>
  </si>
  <si>
    <t>Adjustment from Jan2015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</si>
  <si>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</si>
  <si>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</si>
  <si>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</si>
  <si>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</si>
  <si>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</si>
  <si>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</si>
  <si>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</si>
  <si>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</si>
  <si>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</si>
  <si>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</si>
  <si>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</si>
  <si>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</si>
  <si>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</si>
  <si>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DIFFERENCE</t>
  </si>
  <si>
    <t>NOTES</t>
  </si>
  <si>
    <t>FORTIS: DROP IN PURCHASES $974K</t>
  </si>
  <si>
    <t>JP WA ID - injected more/withdrew less</t>
  </si>
  <si>
    <t>Less sales - NGX, Powerex, Tenaska</t>
  </si>
  <si>
    <t>cost to allocate is negative…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</si>
</sst>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FF0000"/>
      <name val="Helv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3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7" borderId="0" xfId="0" applyFont="1" applyFill="1"/>
    <xf numFmtId="39" fontId="26" fillId="7" borderId="0" xfId="0" applyFont="1" applyFill="1" applyProtection="1">
      <protection locked="0"/>
    </xf>
    <xf numFmtId="39" fontId="19" fillId="7" borderId="0" xfId="0" applyFont="1" applyFill="1" applyProtection="1">
      <protection locked="0"/>
    </xf>
    <xf numFmtId="39" fontId="19" fillId="7" borderId="0" xfId="0" applyFont="1" applyFill="1"/>
    <xf numFmtId="37" fontId="19" fillId="7" borderId="0" xfId="0" applyNumberFormat="1" applyFont="1" applyFill="1"/>
    <xf numFmtId="37" fontId="26" fillId="7" borderId="0" xfId="0" applyNumberFormat="1" applyFont="1" applyFill="1" applyBorder="1" applyAlignment="1" applyProtection="1">
      <alignment horizontal="center"/>
    </xf>
    <xf numFmtId="37" fontId="19" fillId="7" borderId="0" xfId="0" applyNumberFormat="1" applyFont="1" applyFill="1" applyAlignment="1">
      <alignment horizontal="right"/>
    </xf>
    <xf numFmtId="37" fontId="14" fillId="7" borderId="22" xfId="0" applyNumberFormat="1" applyFont="1" applyFill="1" applyBorder="1"/>
    <xf numFmtId="37" fontId="30" fillId="7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8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9" borderId="0" xfId="6" applyNumberFormat="1" applyFont="1" applyFill="1"/>
    <xf numFmtId="44" fontId="15" fillId="7" borderId="0" xfId="0" applyNumberFormat="1" applyFont="1" applyFill="1" applyBorder="1"/>
    <xf numFmtId="44" fontId="26" fillId="7" borderId="0" xfId="0" applyNumberFormat="1" applyFont="1" applyFill="1" applyBorder="1"/>
    <xf numFmtId="44" fontId="26" fillId="7" borderId="9" xfId="0" applyNumberFormat="1" applyFont="1" applyFill="1" applyBorder="1"/>
    <xf numFmtId="8" fontId="26" fillId="7" borderId="0" xfId="0" applyNumberFormat="1" applyFont="1" applyFill="1" applyBorder="1"/>
    <xf numFmtId="8" fontId="26" fillId="7" borderId="9" xfId="0" applyNumberFormat="1" applyFont="1" applyFill="1" applyBorder="1"/>
    <xf numFmtId="39" fontId="15" fillId="7" borderId="0" xfId="0" applyFont="1" applyFill="1" applyBorder="1"/>
    <xf numFmtId="37" fontId="29" fillId="7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7" borderId="0" xfId="0" applyNumberFormat="1" applyFont="1" applyFill="1" applyBorder="1"/>
    <xf numFmtId="7" fontId="14" fillId="0" borderId="0" xfId="1" applyNumberFormat="1" applyFont="1"/>
    <xf numFmtId="39" fontId="26" fillId="7" borderId="0" xfId="0" applyFont="1" applyFill="1" applyBorder="1" applyProtection="1">
      <protection locked="0"/>
    </xf>
    <xf numFmtId="39" fontId="19" fillId="7" borderId="0" xfId="0" applyFont="1" applyFill="1" applyBorder="1" applyProtection="1">
      <protection locked="0"/>
    </xf>
    <xf numFmtId="39" fontId="19" fillId="7" borderId="0" xfId="0" applyFont="1" applyFill="1" applyBorder="1"/>
    <xf numFmtId="164" fontId="14" fillId="7" borderId="0" xfId="0" applyNumberFormat="1" applyFont="1" applyFill="1" applyBorder="1"/>
    <xf numFmtId="39" fontId="14" fillId="7" borderId="0" xfId="0" applyFont="1" applyFill="1" applyBorder="1"/>
    <xf numFmtId="39" fontId="10" fillId="7" borderId="0" xfId="0" applyFont="1" applyFill="1" applyBorder="1"/>
    <xf numFmtId="164" fontId="19" fillId="7" borderId="0" xfId="0" applyNumberFormat="1" applyFont="1" applyFill="1" applyBorder="1" applyAlignment="1" applyProtection="1">
      <alignment horizontal="left"/>
      <protection locked="0"/>
    </xf>
    <xf numFmtId="39" fontId="15" fillId="7" borderId="0" xfId="0" applyFont="1" applyFill="1" applyBorder="1" applyAlignment="1">
      <alignment horizontal="left"/>
    </xf>
    <xf numFmtId="39" fontId="24" fillId="7" borderId="0" xfId="0" applyFont="1" applyFill="1" applyBorder="1" applyAlignment="1">
      <alignment horizontal="center"/>
    </xf>
    <xf numFmtId="39" fontId="13" fillId="7" borderId="0" xfId="0" applyFont="1" applyFill="1" applyBorder="1"/>
    <xf numFmtId="164" fontId="13" fillId="7" borderId="0" xfId="0" applyNumberFormat="1" applyFont="1" applyFill="1" applyBorder="1"/>
    <xf numFmtId="39" fontId="21" fillId="7" borderId="0" xfId="0" applyFont="1" applyFill="1" applyBorder="1" applyAlignment="1">
      <alignment horizontal="right"/>
    </xf>
    <xf numFmtId="164" fontId="15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6" fillId="7" borderId="0" xfId="0" applyFont="1" applyFill="1" applyBorder="1"/>
    <xf numFmtId="9" fontId="13" fillId="7" borderId="0" xfId="0" applyNumberFormat="1" applyFont="1" applyFill="1" applyBorder="1"/>
    <xf numFmtId="39" fontId="21" fillId="7" borderId="0" xfId="0" applyFont="1" applyFill="1" applyBorder="1"/>
    <xf numFmtId="9" fontId="19" fillId="7" borderId="0" xfId="4" applyFont="1" applyFill="1" applyBorder="1" applyAlignment="1">
      <alignment horizontal="center"/>
    </xf>
    <xf numFmtId="39" fontId="20" fillId="7" borderId="0" xfId="0" applyFont="1" applyFill="1" applyBorder="1"/>
    <xf numFmtId="164" fontId="15" fillId="7" borderId="0" xfId="0" applyNumberFormat="1" applyFont="1" applyFill="1" applyBorder="1" applyAlignment="1" applyProtection="1">
      <alignment horizontal="left"/>
      <protection locked="0"/>
    </xf>
    <xf numFmtId="164" fontId="13" fillId="7" borderId="0" xfId="0" quotePrefix="1" applyNumberFormat="1" applyFont="1" applyFill="1" applyBorder="1"/>
    <xf numFmtId="44" fontId="14" fillId="7" borderId="0" xfId="0" applyNumberFormat="1" applyFont="1" applyFill="1" applyBorder="1"/>
    <xf numFmtId="7" fontId="14" fillId="7" borderId="0" xfId="0" applyNumberFormat="1" applyFont="1" applyFill="1" applyBorder="1"/>
    <xf numFmtId="39" fontId="14" fillId="7" borderId="0" xfId="0" applyFont="1" applyFill="1" applyBorder="1" applyAlignment="1">
      <alignment horizontal="left" indent="2"/>
    </xf>
    <xf numFmtId="39" fontId="15" fillId="7" borderId="0" xfId="0" applyFont="1" applyFill="1" applyBorder="1" applyAlignment="1">
      <alignment horizontal="center"/>
    </xf>
    <xf numFmtId="39" fontId="13" fillId="7" borderId="0" xfId="0" applyFont="1" applyFill="1" applyBorder="1" applyAlignment="1">
      <alignment horizontal="right"/>
    </xf>
    <xf numFmtId="40" fontId="14" fillId="7" borderId="0" xfId="1" applyFont="1" applyFill="1" applyBorder="1"/>
    <xf numFmtId="164" fontId="14" fillId="7" borderId="0" xfId="0" applyNumberFormat="1" applyFont="1" applyFill="1"/>
    <xf numFmtId="39" fontId="15" fillId="7" borderId="9" xfId="0" applyFont="1" applyFill="1" applyBorder="1"/>
    <xf numFmtId="39" fontId="14" fillId="7" borderId="0" xfId="0" applyFont="1" applyFill="1"/>
    <xf numFmtId="39" fontId="15" fillId="7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7" borderId="0" xfId="0" applyFont="1" applyFill="1" applyAlignment="1">
      <alignment horizontal="center"/>
    </xf>
    <xf numFmtId="39" fontId="15" fillId="0" borderId="28" xfId="0" applyFont="1" applyFill="1" applyBorder="1"/>
    <xf numFmtId="39" fontId="15" fillId="10" borderId="0" xfId="0" applyFont="1" applyFill="1" applyBorder="1" applyAlignment="1">
      <alignment horizontal="right"/>
    </xf>
    <xf numFmtId="39" fontId="15" fillId="10" borderId="0" xfId="0" applyFont="1" applyFill="1" applyBorder="1"/>
    <xf numFmtId="0" fontId="15" fillId="10" borderId="0" xfId="0" applyNumberFormat="1" applyFont="1" applyFill="1" applyBorder="1"/>
    <xf numFmtId="39" fontId="43" fillId="7" borderId="0" xfId="0" applyFont="1" applyFill="1"/>
    <xf numFmtId="39" fontId="44" fillId="7" borderId="0" xfId="0" applyFont="1" applyFill="1" applyAlignment="1">
      <alignment horizontal="right"/>
    </xf>
    <xf numFmtId="39" fontId="44" fillId="7" borderId="0" xfId="0" applyFont="1" applyFill="1"/>
    <xf numFmtId="39" fontId="45" fillId="7" borderId="0" xfId="0" applyFont="1" applyFill="1"/>
    <xf numFmtId="0" fontId="45" fillId="7" borderId="0" xfId="0" applyNumberFormat="1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 applyAlignment="1">
      <alignment horizontal="center"/>
    </xf>
    <xf numFmtId="39" fontId="45" fillId="7" borderId="0" xfId="0" applyFont="1" applyFill="1" applyAlignment="1">
      <alignment horizontal="center" wrapText="1"/>
    </xf>
    <xf numFmtId="10" fontId="44" fillId="7" borderId="0" xfId="4" applyNumberFormat="1" applyFont="1" applyFill="1"/>
    <xf numFmtId="39" fontId="46" fillId="7" borderId="0" xfId="0" applyFont="1" applyFill="1"/>
    <xf numFmtId="39" fontId="44" fillId="11" borderId="0" xfId="0" applyFont="1" applyFill="1"/>
    <xf numFmtId="38" fontId="44" fillId="7" borderId="0" xfId="1" applyNumberFormat="1" applyFont="1" applyFill="1"/>
    <xf numFmtId="171" fontId="44" fillId="7" borderId="0" xfId="0" applyNumberFormat="1" applyFont="1" applyFill="1"/>
    <xf numFmtId="39" fontId="44" fillId="7" borderId="0" xfId="0" applyFont="1" applyFill="1" applyAlignment="1">
      <alignment horizontal="center"/>
    </xf>
    <xf numFmtId="40" fontId="44" fillId="7" borderId="0" xfId="1" applyNumberFormat="1" applyFont="1" applyFill="1"/>
    <xf numFmtId="38" fontId="44" fillId="7" borderId="0" xfId="1" applyNumberFormat="1" applyFont="1" applyFill="1" applyAlignment="1">
      <alignment horizontal="center"/>
    </xf>
    <xf numFmtId="171" fontId="44" fillId="7" borderId="0" xfId="0" applyNumberFormat="1" applyFont="1" applyFill="1" applyAlignment="1">
      <alignment horizontal="center"/>
    </xf>
    <xf numFmtId="39" fontId="14" fillId="7" borderId="1" xfId="0" applyFont="1" applyFill="1" applyBorder="1"/>
    <xf numFmtId="39" fontId="14" fillId="7" borderId="2" xfId="0" applyFont="1" applyFill="1" applyBorder="1"/>
    <xf numFmtId="39" fontId="14" fillId="7" borderId="7" xfId="0" applyFont="1" applyFill="1" applyBorder="1"/>
    <xf numFmtId="40" fontId="14" fillId="7" borderId="8" xfId="1" applyFont="1" applyFill="1" applyBorder="1"/>
    <xf numFmtId="39" fontId="14" fillId="7" borderId="4" xfId="0" applyFont="1" applyFill="1" applyBorder="1"/>
    <xf numFmtId="39" fontId="14" fillId="7" borderId="5" xfId="0" applyFont="1" applyFill="1" applyBorder="1"/>
    <xf numFmtId="40" fontId="14" fillId="7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7" borderId="1" xfId="0" applyNumberFormat="1" applyFont="1" applyFill="1" applyBorder="1"/>
    <xf numFmtId="39" fontId="44" fillId="7" borderId="2" xfId="0" applyFont="1" applyFill="1" applyBorder="1"/>
    <xf numFmtId="39" fontId="44" fillId="7" borderId="3" xfId="0" applyFont="1" applyFill="1" applyBorder="1"/>
    <xf numFmtId="39" fontId="44" fillId="7" borderId="4" xfId="0" applyFont="1" applyFill="1" applyBorder="1"/>
    <xf numFmtId="39" fontId="44" fillId="7" borderId="5" xfId="0" applyFont="1" applyFill="1" applyBorder="1"/>
    <xf numFmtId="39" fontId="44" fillId="7" borderId="6" xfId="0" applyFont="1" applyFill="1" applyBorder="1"/>
    <xf numFmtId="40" fontId="14" fillId="7" borderId="2" xfId="1" applyFont="1" applyFill="1" applyBorder="1"/>
    <xf numFmtId="40" fontId="14" fillId="7" borderId="3" xfId="1" applyFont="1" applyFill="1" applyBorder="1"/>
    <xf numFmtId="40" fontId="14" fillId="7" borderId="6" xfId="1" applyFont="1" applyFill="1" applyBorder="1"/>
    <xf numFmtId="0" fontId="45" fillId="7" borderId="10" xfId="0" applyNumberFormat="1" applyFont="1" applyFill="1" applyBorder="1"/>
    <xf numFmtId="39" fontId="44" fillId="7" borderId="11" xfId="0" applyFont="1" applyFill="1" applyBorder="1"/>
    <xf numFmtId="39" fontId="44" fillId="7" borderId="17" xfId="0" applyFont="1" applyFill="1" applyBorder="1"/>
    <xf numFmtId="0" fontId="44" fillId="7" borderId="0" xfId="0" applyNumberFormat="1" applyFont="1" applyFill="1"/>
    <xf numFmtId="0" fontId="44" fillId="7" borderId="2" xfId="0" applyNumberFormat="1" applyFont="1" applyFill="1" applyBorder="1"/>
    <xf numFmtId="0" fontId="14" fillId="7" borderId="2" xfId="0" applyNumberFormat="1" applyFont="1" applyFill="1" applyBorder="1"/>
    <xf numFmtId="0" fontId="14" fillId="7" borderId="0" xfId="0" applyNumberFormat="1" applyFont="1" applyFill="1" applyBorder="1"/>
    <xf numFmtId="0" fontId="14" fillId="7" borderId="5" xfId="0" applyNumberFormat="1" applyFont="1" applyFill="1" applyBorder="1"/>
    <xf numFmtId="0" fontId="44" fillId="7" borderId="5" xfId="0" applyNumberFormat="1" applyFont="1" applyFill="1" applyBorder="1"/>
    <xf numFmtId="0" fontId="44" fillId="7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7" borderId="0" xfId="0" applyFont="1" applyFill="1" applyAlignment="1"/>
    <xf numFmtId="0" fontId="45" fillId="7" borderId="0" xfId="0" applyNumberFormat="1" applyFont="1" applyFill="1" applyAlignment="1">
      <alignment horizontal="right"/>
    </xf>
    <xf numFmtId="39" fontId="46" fillId="11" borderId="0" xfId="0" applyFont="1" applyFill="1"/>
    <xf numFmtId="39" fontId="44" fillId="9" borderId="0" xfId="0" applyFont="1" applyFill="1"/>
    <xf numFmtId="40" fontId="44" fillId="7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7" borderId="29" xfId="73" applyNumberFormat="1" applyFont="1" applyFill="1"/>
    <xf numFmtId="37" fontId="48" fillId="7" borderId="29" xfId="73" applyNumberFormat="1" applyFont="1" applyFill="1"/>
    <xf numFmtId="37" fontId="44" fillId="7" borderId="0" xfId="0" applyNumberFormat="1" applyFont="1" applyFill="1"/>
    <xf numFmtId="0" fontId="49" fillId="7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44" fillId="6" borderId="0" xfId="0" applyFont="1" applyFill="1"/>
    <xf numFmtId="39" fontId="44" fillId="7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3" fillId="7" borderId="0" xfId="0" applyFont="1" applyFill="1"/>
    <xf numFmtId="39" fontId="44" fillId="7" borderId="0" xfId="0" applyFont="1" applyFill="1" applyBorder="1"/>
    <xf numFmtId="0" fontId="44" fillId="7" borderId="0" xfId="0" applyNumberFormat="1" applyFont="1" applyFill="1" applyBorder="1"/>
    <xf numFmtId="37" fontId="44" fillId="0" borderId="0" xfId="0" applyNumberFormat="1" applyFont="1" applyFill="1"/>
    <xf numFmtId="38" fontId="44" fillId="0" borderId="0" xfId="1" applyNumberFormat="1" applyFont="1" applyFill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7" fontId="30" fillId="12" borderId="0" xfId="0" applyNumberFormat="1" applyFont="1" applyFill="1" applyBorder="1"/>
    <xf numFmtId="44" fontId="26" fillId="13" borderId="0" xfId="0" applyNumberFormat="1" applyFont="1" applyFill="1" applyBorder="1"/>
    <xf numFmtId="44" fontId="26" fillId="13" borderId="9" xfId="0" applyNumberFormat="1" applyFont="1" applyFill="1" applyBorder="1"/>
    <xf numFmtId="38" fontId="26" fillId="13" borderId="0" xfId="1" applyNumberFormat="1" applyFont="1" applyFill="1" applyBorder="1" applyProtection="1"/>
    <xf numFmtId="39" fontId="44" fillId="13" borderId="0" xfId="0" applyFont="1" applyFill="1" applyAlignment="1">
      <alignment horizontal="right"/>
    </xf>
    <xf numFmtId="39" fontId="45" fillId="7" borderId="0" xfId="0" applyFont="1" applyFill="1" applyAlignment="1">
      <alignment horizontal="left"/>
    </xf>
    <xf numFmtId="38" fontId="26" fillId="14" borderId="0" xfId="1" applyNumberFormat="1" applyFont="1" applyFill="1" applyBorder="1" applyProtection="1"/>
    <xf numFmtId="39" fontId="45" fillId="7" borderId="0" xfId="0" applyFont="1" applyFill="1" applyBorder="1"/>
    <xf numFmtId="0" fontId="45" fillId="7" borderId="0" xfId="0" applyNumberFormat="1" applyFont="1" applyFill="1" applyBorder="1"/>
    <xf numFmtId="38" fontId="44" fillId="7" borderId="0" xfId="1" applyNumberFormat="1" applyFont="1" applyFill="1" applyBorder="1"/>
    <xf numFmtId="37" fontId="48" fillId="7" borderId="0" xfId="73" applyNumberFormat="1" applyFont="1" applyFill="1" applyBorder="1"/>
    <xf numFmtId="37" fontId="44" fillId="7" borderId="0" xfId="0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4" borderId="0" xfId="0" applyNumberFormat="1" applyFont="1" applyFill="1" applyBorder="1"/>
    <xf numFmtId="44" fontId="26" fillId="14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  <xf numFmtId="44" fontId="15" fillId="14" borderId="0" xfId="0" applyNumberFormat="1" applyFont="1" applyFill="1" applyBorder="1"/>
    <xf numFmtId="38" fontId="14" fillId="0" borderId="9" xfId="1" applyNumberFormat="1" applyFont="1" applyFill="1" applyBorder="1" applyProtection="1"/>
    <xf numFmtId="39" fontId="14" fillId="0" borderId="0" xfId="0" applyFont="1" applyFill="1" applyBorder="1" applyAlignment="1">
      <alignment horizontal="center"/>
    </xf>
    <xf numFmtId="39" fontId="44" fillId="15" borderId="0" xfId="0" applyFont="1" applyFill="1"/>
    <xf numFmtId="39" fontId="44" fillId="14" borderId="0" xfId="0" applyFont="1" applyFill="1"/>
    <xf numFmtId="39" fontId="46" fillId="10" borderId="0" xfId="0" applyFont="1" applyFill="1"/>
    <xf numFmtId="39" fontId="14" fillId="0" borderId="0" xfId="0" applyFont="1" applyFill="1" applyBorder="1" applyAlignment="1">
      <alignment horizontal="center"/>
    </xf>
    <xf numFmtId="44" fontId="15" fillId="13" borderId="0" xfId="0" applyNumberFormat="1" applyFont="1" applyFill="1" applyBorder="1"/>
    <xf numFmtId="44" fontId="14" fillId="13" borderId="0" xfId="0" applyNumberFormat="1" applyFont="1" applyFill="1" applyBorder="1"/>
    <xf numFmtId="38" fontId="14" fillId="13" borderId="0" xfId="1" applyNumberFormat="1" applyFont="1" applyFill="1" applyBorder="1" applyProtection="1"/>
    <xf numFmtId="38" fontId="26" fillId="13" borderId="9" xfId="1" applyNumberFormat="1" applyFont="1" applyFill="1" applyBorder="1" applyProtection="1"/>
    <xf numFmtId="7" fontId="30" fillId="13" borderId="0" xfId="0" applyNumberFormat="1" applyFont="1" applyFill="1" applyBorder="1"/>
    <xf numFmtId="44" fontId="14" fillId="13" borderId="8" xfId="2" applyNumberFormat="1" applyFont="1" applyFill="1" applyBorder="1"/>
    <xf numFmtId="39" fontId="44" fillId="17" borderId="0" xfId="0" applyFont="1" applyFill="1"/>
    <xf numFmtId="39" fontId="48" fillId="7" borderId="31" xfId="73" applyNumberFormat="1" applyFont="1" applyFill="1" applyBorder="1"/>
    <xf numFmtId="39" fontId="44" fillId="15" borderId="32" xfId="0" applyFont="1" applyFill="1" applyBorder="1"/>
    <xf numFmtId="39" fontId="44" fillId="14" borderId="33" xfId="0" applyFont="1" applyFill="1" applyBorder="1"/>
    <xf numFmtId="39" fontId="44" fillId="10" borderId="33" xfId="0" applyFont="1" applyFill="1" applyBorder="1"/>
    <xf numFmtId="39" fontId="44" fillId="16" borderId="34" xfId="0" applyFont="1" applyFill="1" applyBorder="1"/>
    <xf numFmtId="39" fontId="44" fillId="17" borderId="30" xfId="0" applyFont="1" applyFill="1" applyBorder="1"/>
    <xf numFmtId="39" fontId="48" fillId="0" borderId="29" xfId="73" applyNumberFormat="1" applyFont="1" applyFill="1"/>
    <xf numFmtId="39" fontId="44" fillId="0" borderId="32" xfId="0" applyFont="1" applyFill="1" applyBorder="1"/>
    <xf numFmtId="39" fontId="44" fillId="0" borderId="33" xfId="0" applyFont="1" applyFill="1" applyBorder="1"/>
    <xf numFmtId="39" fontId="44" fillId="0" borderId="34" xfId="0" applyFont="1" applyFill="1" applyBorder="1"/>
    <xf numFmtId="171" fontId="44" fillId="6" borderId="0" xfId="0" applyNumberFormat="1" applyFont="1" applyFill="1" applyAlignment="1">
      <alignment horizontal="center"/>
    </xf>
    <xf numFmtId="171" fontId="44" fillId="6" borderId="0" xfId="0" applyNumberFormat="1" applyFont="1" applyFill="1"/>
    <xf numFmtId="10" fontId="15" fillId="6" borderId="0" xfId="4" applyNumberFormat="1" applyFont="1" applyFill="1" applyAlignment="1">
      <alignment horizontal="center"/>
    </xf>
    <xf numFmtId="10" fontId="15" fillId="13" borderId="0" xfId="4" applyNumberFormat="1" applyFont="1" applyFill="1" applyAlignment="1">
      <alignment horizontal="center"/>
    </xf>
    <xf numFmtId="171" fontId="44" fillId="13" borderId="0" xfId="0" applyNumberFormat="1" applyFont="1" applyFill="1" applyAlignment="1">
      <alignment horizontal="center"/>
    </xf>
    <xf numFmtId="10" fontId="44" fillId="13" borderId="0" xfId="4" applyNumberFormat="1" applyFont="1" applyFill="1"/>
    <xf numFmtId="171" fontId="44" fillId="13" borderId="0" xfId="0" applyNumberFormat="1" applyFont="1" applyFill="1"/>
    <xf numFmtId="171" fontId="30" fillId="13" borderId="0" xfId="0" applyNumberFormat="1" applyFont="1" applyFill="1" applyBorder="1" applyAlignment="1" applyProtection="1">
      <alignment horizontal="center"/>
      <protection locked="0"/>
    </xf>
    <xf numFmtId="37" fontId="44" fillId="13" borderId="0" xfId="0" applyNumberFormat="1" applyFont="1" applyFill="1"/>
    <xf numFmtId="38" fontId="44" fillId="13" borderId="0" xfId="1" applyNumberFormat="1" applyFont="1" applyFill="1"/>
    <xf numFmtId="39" fontId="44" fillId="7" borderId="10" xfId="0" applyFont="1" applyFill="1" applyBorder="1"/>
    <xf numFmtId="44" fontId="14" fillId="14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44" fillId="13" borderId="0" xfId="0" applyFont="1" applyFill="1"/>
    <xf numFmtId="39" fontId="14" fillId="0" borderId="0" xfId="0" applyFont="1" applyFill="1" applyBorder="1" applyAlignment="1">
      <alignment horizontal="center"/>
    </xf>
    <xf numFmtId="7" fontId="30" fillId="14" borderId="0" xfId="0" applyNumberFormat="1" applyFont="1" applyFill="1" applyBorder="1"/>
    <xf numFmtId="38" fontId="14" fillId="14" borderId="0" xfId="1" applyNumberFormat="1" applyFont="1" applyFill="1" applyBorder="1" applyProtection="1"/>
    <xf numFmtId="38" fontId="26" fillId="14" borderId="9" xfId="1" applyNumberFormat="1" applyFont="1" applyFill="1" applyBorder="1" applyProtection="1"/>
    <xf numFmtId="39" fontId="14" fillId="0" borderId="0" xfId="0" applyFont="1" applyFill="1" applyBorder="1" applyAlignment="1">
      <alignment horizontal="center"/>
    </xf>
    <xf numFmtId="39" fontId="14" fillId="6" borderId="0" xfId="0" applyFont="1" applyFill="1" applyBorder="1" applyAlignment="1">
      <alignment horizontal="center"/>
    </xf>
    <xf numFmtId="44" fontId="26" fillId="6" borderId="0" xfId="0" applyNumberFormat="1" applyFont="1" applyFill="1" applyBorder="1"/>
    <xf numFmtId="39" fontId="14" fillId="6" borderId="0" xfId="0" applyNumberFormat="1" applyFont="1" applyFill="1" applyAlignment="1">
      <alignment horizontal="left" vertical="top"/>
    </xf>
    <xf numFmtId="39" fontId="14" fillId="6" borderId="0" xfId="0" applyNumberFormat="1" applyFont="1" applyFill="1" applyAlignment="1">
      <alignment horizontal="center" vertical="top"/>
    </xf>
    <xf numFmtId="39" fontId="14" fillId="6" borderId="0" xfId="0" applyFont="1" applyFill="1" applyAlignment="1">
      <alignment horizontal="center"/>
    </xf>
    <xf numFmtId="7" fontId="30" fillId="0" borderId="0" xfId="0" applyNumberFormat="1" applyFont="1" applyFill="1" applyBorder="1"/>
    <xf numFmtId="7" fontId="14" fillId="0" borderId="0" xfId="1" applyNumberFormat="1" applyFont="1" applyFill="1"/>
    <xf numFmtId="39" fontId="14" fillId="0" borderId="0" xfId="0" applyFont="1" applyFill="1" applyBorder="1" applyAlignment="1">
      <alignment horizontal="center"/>
    </xf>
    <xf numFmtId="44" fontId="26" fillId="12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3" fillId="7" borderId="0" xfId="0" applyFont="1" applyFill="1" applyAlignment="1">
      <alignment wrapText="1"/>
    </xf>
    <xf numFmtId="39" fontId="0" fillId="0" borderId="0" xfId="0" applyAlignment="1">
      <alignment wrapText="1"/>
    </xf>
    <xf numFmtId="39" fontId="53" fillId="7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83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52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14130552"/>
        <c:axId val="114132120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0552"/>
        <c:axId val="114132120"/>
      </c:lineChart>
      <c:catAx>
        <c:axId val="11413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4132120"/>
        <c:crosses val="autoZero"/>
        <c:auto val="1"/>
        <c:lblAlgn val="ctr"/>
        <c:lblOffset val="10"/>
        <c:noMultiLvlLbl val="0"/>
      </c:catAx>
      <c:valAx>
        <c:axId val="11413212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114130552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14125456"/>
        <c:axId val="114125064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25456"/>
        <c:axId val="114125064"/>
      </c:lineChart>
      <c:catAx>
        <c:axId val="1141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4125064"/>
        <c:crosses val="autoZero"/>
        <c:auto val="1"/>
        <c:lblAlgn val="ctr"/>
        <c:lblOffset val="0"/>
        <c:noMultiLvlLbl val="0"/>
      </c:catAx>
      <c:valAx>
        <c:axId val="114125064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11412545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2.3860000000000001</c:v>
                </c:pt>
                <c:pt idx="4">
                  <c:v>2.3860000000000001</c:v>
                </c:pt>
                <c:pt idx="5">
                  <c:v>2.3860000000000001</c:v>
                </c:pt>
                <c:pt idx="6">
                  <c:v>2.3860000000000001</c:v>
                </c:pt>
                <c:pt idx="7">
                  <c:v>2.3860000000000001</c:v>
                </c:pt>
                <c:pt idx="8">
                  <c:v>2.3860000000000001</c:v>
                </c:pt>
                <c:pt idx="9">
                  <c:v>2.3860000000000001</c:v>
                </c:pt>
                <c:pt idx="10">
                  <c:v>2.3860000000000001</c:v>
                </c:pt>
                <c:pt idx="11">
                  <c:v>2.3860000000000001</c:v>
                </c:pt>
                <c:pt idx="12">
                  <c:v>2.3860000000000001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2.2515519992653972</c:v>
                </c:pt>
                <c:pt idx="4">
                  <c:v>2.311489818900661</c:v>
                </c:pt>
                <c:pt idx="5">
                  <c:v>2.0450092519691241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89000"/>
        <c:axId val="435187040"/>
      </c:lineChart>
      <c:catAx>
        <c:axId val="435189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35187040"/>
        <c:crosses val="autoZero"/>
        <c:auto val="1"/>
        <c:lblAlgn val="ctr"/>
        <c:lblOffset val="100"/>
        <c:noMultiLvlLbl val="0"/>
      </c:catAx>
      <c:valAx>
        <c:axId val="43518704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35189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1.1155279218288066</c:v>
                </c:pt>
                <c:pt idx="4">
                  <c:v>1.099306696538465</c:v>
                </c:pt>
                <c:pt idx="5">
                  <c:v>1.0652826254433267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0.40159287715394509</c:v>
                </c:pt>
                <c:pt idx="4">
                  <c:v>0.49156070472770064</c:v>
                </c:pt>
                <c:pt idx="5">
                  <c:v>0.68040260585030921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87824"/>
        <c:axId val="435185080"/>
      </c:lineChart>
      <c:catAx>
        <c:axId val="43518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35185080"/>
        <c:crosses val="autoZero"/>
        <c:auto val="1"/>
        <c:lblAlgn val="ctr"/>
        <c:lblOffset val="100"/>
        <c:noMultiLvlLbl val="0"/>
      </c:catAx>
      <c:valAx>
        <c:axId val="43518508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3518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1.1331</c:v>
                </c:pt>
                <c:pt idx="4">
                  <c:v>1.1330999999999998</c:v>
                </c:pt>
                <c:pt idx="5">
                  <c:v>1.1331</c:v>
                </c:pt>
                <c:pt idx="6">
                  <c:v>1.1331</c:v>
                </c:pt>
                <c:pt idx="7">
                  <c:v>1.1331</c:v>
                </c:pt>
                <c:pt idx="8">
                  <c:v>1.1331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0.4289025834277691</c:v>
                </c:pt>
                <c:pt idx="4">
                  <c:v>0.56073878354375173</c:v>
                </c:pt>
                <c:pt idx="5">
                  <c:v>0.70672190201602447</c:v>
                </c:pt>
                <c:pt idx="6">
                  <c:v>0.94543211512380787</c:v>
                </c:pt>
                <c:pt idx="7">
                  <c:v>1.6512951599992522</c:v>
                </c:pt>
                <c:pt idx="8">
                  <c:v>2.4665077540659297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90176"/>
        <c:axId val="435190568"/>
      </c:lineChart>
      <c:catAx>
        <c:axId val="43519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35190568"/>
        <c:crosses val="autoZero"/>
        <c:auto val="1"/>
        <c:lblAlgn val="ctr"/>
        <c:lblOffset val="100"/>
        <c:noMultiLvlLbl val="0"/>
      </c:catAx>
      <c:valAx>
        <c:axId val="4351905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3519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2.3894999999999995</c:v>
                </c:pt>
                <c:pt idx="4">
                  <c:v>2.3895</c:v>
                </c:pt>
                <c:pt idx="5">
                  <c:v>2.3894999999999995</c:v>
                </c:pt>
                <c:pt idx="6">
                  <c:v>2.3894999999999995</c:v>
                </c:pt>
                <c:pt idx="7">
                  <c:v>2.3895</c:v>
                </c:pt>
                <c:pt idx="8">
                  <c:v>2.3895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2.253129517207229</c:v>
                </c:pt>
                <c:pt idx="4">
                  <c:v>2.3140732827809436</c:v>
                </c:pt>
                <c:pt idx="5">
                  <c:v>2.0458022474092501</c:v>
                </c:pt>
                <c:pt idx="6">
                  <c:v>1.735039179986686</c:v>
                </c:pt>
                <c:pt idx="7">
                  <c:v>1.7712163855477994</c:v>
                </c:pt>
                <c:pt idx="8">
                  <c:v>1.1465765309900064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584720"/>
        <c:axId val="444580800"/>
      </c:lineChart>
      <c:catAx>
        <c:axId val="44458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4580800"/>
        <c:crosses val="autoZero"/>
        <c:auto val="1"/>
        <c:lblAlgn val="ctr"/>
        <c:lblOffset val="100"/>
        <c:noMultiLvlLbl val="0"/>
      </c:catAx>
      <c:valAx>
        <c:axId val="44458080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458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44" t="s">
        <v>191</v>
      </c>
      <c r="D1" s="644"/>
      <c r="E1" s="644"/>
      <c r="F1" s="644"/>
      <c r="G1" s="644"/>
      <c r="H1" s="644"/>
      <c r="I1" s="644"/>
      <c r="J1" s="644"/>
      <c r="K1" s="644"/>
      <c r="P1" s="646"/>
      <c r="Q1" s="646"/>
      <c r="R1" s="646"/>
      <c r="S1" s="646"/>
      <c r="T1" s="646"/>
      <c r="U1" s="646"/>
      <c r="V1" s="646"/>
      <c r="W1" s="646"/>
      <c r="X1" s="646"/>
    </row>
    <row r="2" spans="1:34" ht="23.25">
      <c r="C2" s="645" t="s">
        <v>246</v>
      </c>
      <c r="D2" s="645"/>
      <c r="E2" s="645"/>
      <c r="F2" s="645"/>
      <c r="G2" s="645"/>
      <c r="H2" s="645"/>
      <c r="I2" s="645"/>
      <c r="J2" s="645"/>
      <c r="K2" s="645"/>
      <c r="P2" s="644"/>
      <c r="Q2" s="644"/>
      <c r="R2" s="644"/>
      <c r="S2" s="644"/>
      <c r="T2" s="644"/>
      <c r="U2" s="644"/>
      <c r="V2" s="644"/>
      <c r="W2" s="644"/>
      <c r="X2" s="644"/>
      <c r="Z2" s="644"/>
      <c r="AA2" s="644"/>
      <c r="AB2" s="644"/>
      <c r="AC2" s="644"/>
      <c r="AD2" s="644"/>
      <c r="AE2" s="644"/>
      <c r="AF2" s="644"/>
      <c r="AG2" s="644"/>
      <c r="AH2" s="644"/>
    </row>
    <row r="3" spans="1:34" ht="23.25">
      <c r="C3" s="644" t="s">
        <v>193</v>
      </c>
      <c r="D3" s="644"/>
      <c r="E3" s="644"/>
      <c r="F3" s="644"/>
      <c r="G3" s="644"/>
      <c r="H3" s="644"/>
      <c r="I3" s="644"/>
      <c r="J3" s="644"/>
      <c r="K3" s="644"/>
      <c r="P3" s="645"/>
      <c r="Q3" s="645"/>
      <c r="R3" s="645"/>
      <c r="S3" s="645"/>
      <c r="T3" s="645"/>
      <c r="U3" s="645"/>
      <c r="V3" s="645"/>
      <c r="W3" s="645"/>
      <c r="X3" s="645"/>
      <c r="Z3" s="647"/>
      <c r="AA3" s="647"/>
      <c r="AB3" s="647"/>
      <c r="AC3" s="647"/>
      <c r="AD3" s="647"/>
      <c r="AE3" s="647"/>
      <c r="AF3" s="647"/>
      <c r="AG3" s="647"/>
      <c r="AH3" s="647"/>
    </row>
    <row r="4" spans="1:34">
      <c r="A4" t="s">
        <v>192</v>
      </c>
      <c r="B4" s="266">
        <v>41183</v>
      </c>
      <c r="C4" s="266">
        <v>41214</v>
      </c>
      <c r="D4" s="266">
        <v>41244</v>
      </c>
      <c r="E4" s="266">
        <v>41275</v>
      </c>
      <c r="F4" s="266">
        <v>41306</v>
      </c>
      <c r="G4" s="266">
        <v>41334</v>
      </c>
      <c r="H4" s="266">
        <v>41365</v>
      </c>
      <c r="I4" s="266">
        <v>41395</v>
      </c>
      <c r="J4" s="266">
        <v>41426</v>
      </c>
      <c r="K4" s="266">
        <v>41456</v>
      </c>
      <c r="L4" s="266">
        <v>41487</v>
      </c>
      <c r="M4" s="266">
        <v>41518</v>
      </c>
      <c r="N4" s="266">
        <v>41548</v>
      </c>
      <c r="P4" s="644"/>
      <c r="Q4" s="644"/>
      <c r="R4" s="644"/>
      <c r="S4" s="644"/>
      <c r="T4" s="644"/>
      <c r="U4" s="644"/>
      <c r="V4" s="644"/>
      <c r="W4" s="644"/>
      <c r="X4" s="644"/>
      <c r="Z4" s="644"/>
      <c r="AA4" s="644"/>
      <c r="AB4" s="644"/>
      <c r="AC4" s="644"/>
      <c r="AD4" s="644"/>
      <c r="AE4" s="644"/>
      <c r="AF4" s="644"/>
      <c r="AG4" s="644"/>
    </row>
    <row r="6" spans="1:34">
      <c r="A6" s="267" t="s">
        <v>194</v>
      </c>
    </row>
    <row r="7" spans="1:34">
      <c r="A7" s="268"/>
      <c r="B7" s="269" t="str">
        <f>TEXT(B4,"mmmmm-YY")</f>
        <v>O-12</v>
      </c>
      <c r="C7" s="269" t="str">
        <f>TEXT(C4,"mmmmm-YY")</f>
        <v>N-12</v>
      </c>
      <c r="D7" s="269" t="str">
        <f>TEXT(D4,"mmmmm")</f>
        <v>D</v>
      </c>
      <c r="E7" s="269" t="str">
        <f>TEXT(E4,"mmmmm-YY")</f>
        <v>J-13</v>
      </c>
      <c r="F7" s="269" t="str">
        <f>TEXT(F4,"mmmmm-YY")</f>
        <v>F-13</v>
      </c>
      <c r="G7" s="269" t="str">
        <f t="shared" ref="G7:N7" si="0">TEXT(G4,"mmmmm")</f>
        <v>M</v>
      </c>
      <c r="H7" s="269" t="str">
        <f t="shared" si="0"/>
        <v>A</v>
      </c>
      <c r="I7" s="269" t="str">
        <f t="shared" si="0"/>
        <v>M</v>
      </c>
      <c r="J7" s="269" t="str">
        <f t="shared" si="0"/>
        <v>J</v>
      </c>
      <c r="K7" s="269" t="str">
        <f t="shared" si="0"/>
        <v>J</v>
      </c>
      <c r="L7" s="269" t="str">
        <f t="shared" si="0"/>
        <v>A</v>
      </c>
      <c r="M7" s="269" t="str">
        <f t="shared" si="0"/>
        <v>S</v>
      </c>
      <c r="N7" s="269" t="str">
        <f t="shared" si="0"/>
        <v>O</v>
      </c>
    </row>
    <row r="8" spans="1:34">
      <c r="A8" t="s">
        <v>2</v>
      </c>
      <c r="B8" s="270">
        <f>'WA Def 191010'!D8/-1000000</f>
        <v>6.691252092754679</v>
      </c>
      <c r="C8" s="270">
        <f>'WA Def 191010'!D19/-1000000</f>
        <v>0.90240319623620857</v>
      </c>
      <c r="D8" s="270">
        <f>'WA Def 191010'!D27/-1000000</f>
        <v>-0.24153536134178891</v>
      </c>
      <c r="E8" s="270">
        <f>'WA Def 191010'!D35/-1000000</f>
        <v>1.612370665690211</v>
      </c>
      <c r="F8" s="270">
        <f>'WA Def 191010'!D43/-1000000</f>
        <v>0.64834278387021227</v>
      </c>
      <c r="G8" s="270">
        <f>'WA Def 191010'!D51/-1000000</f>
        <v>0.33671900480321282</v>
      </c>
      <c r="H8" s="270">
        <f>'WA Def 191010'!D59/-1000000</f>
        <v>0.63119416496921332</v>
      </c>
      <c r="I8" s="270">
        <f>'WA Def 191010'!D67/-1000000</f>
        <v>1.2090547576992148</v>
      </c>
      <c r="J8" s="270">
        <f>'WA Def 191010'!D75/-1000000</f>
        <v>1.3830479967132137</v>
      </c>
      <c r="K8" s="270">
        <f>'WA Def 191010'!D83/-1000000</f>
        <v>1.8775711130472124</v>
      </c>
      <c r="L8" s="270">
        <f>'WA Def 191010'!D91/-1000000</f>
        <v>2.5238373414722122</v>
      </c>
      <c r="M8" s="270">
        <f>'WA Def 191010'!D99/-1000000</f>
        <v>3.3385260271402131</v>
      </c>
      <c r="N8" s="270">
        <f>'WA Def 191010'!E99/-1000000</f>
        <v>-6.0831075290700021</v>
      </c>
    </row>
    <row r="9" spans="1:34">
      <c r="A9" t="s">
        <v>3</v>
      </c>
      <c r="B9" s="270">
        <f>'WA Def 191010'!E8/-1000000</f>
        <v>-0.80916936732299949</v>
      </c>
      <c r="C9" s="270">
        <f>'WA Def 191010'!E19/-1000000</f>
        <v>-3.8730244701439993</v>
      </c>
      <c r="D9" s="270">
        <f>'WA Def 191010'!E27/-1000000</f>
        <v>-3.0674777859969997</v>
      </c>
      <c r="E9" s="270">
        <f>'WA Def 191010'!E35/-1000000</f>
        <v>-1.6934499394870002</v>
      </c>
      <c r="F9" s="270">
        <f>'WA Def 191010'!E43/-1000000</f>
        <v>-0.95669013858100027</v>
      </c>
      <c r="G9" s="270">
        <f>'WA Def 191010'!E51/-1000000</f>
        <v>-0.56131225301100107</v>
      </c>
      <c r="H9" s="270">
        <f>'WA Def 191010'!E59/-1000000</f>
        <v>-0.69541010451100072</v>
      </c>
      <c r="I9" s="270">
        <f>'WA Def 191010'!E67/-1000000</f>
        <v>-1.5643559408390004</v>
      </c>
      <c r="J9" s="270">
        <f>'WA Def 191010'!E75/-1000000</f>
        <v>-2.5778206653800004</v>
      </c>
      <c r="K9" s="270">
        <f>'WA Def 191010'!E83/-1000000</f>
        <v>-3.8494386956210014</v>
      </c>
      <c r="L9" s="270">
        <f>'WA Def 191010'!E91/-1000000</f>
        <v>-5.0597053680260018</v>
      </c>
      <c r="M9" s="270">
        <f>'WA Def 191010'!E99/-1000000</f>
        <v>-6.0831075290700021</v>
      </c>
      <c r="N9" s="270">
        <f>'WA Def 191010'!F99/-1000000</f>
        <v>3.1801240000000015E-2</v>
      </c>
    </row>
    <row r="10" spans="1:34">
      <c r="A10" s="271" t="s">
        <v>21</v>
      </c>
      <c r="B10" s="272">
        <f>SUM(B8:B9)</f>
        <v>5.8820827254316796</v>
      </c>
      <c r="C10" s="272">
        <f>SUM(C8:C9)</f>
        <v>-2.9706212739077906</v>
      </c>
      <c r="D10" s="272">
        <f t="shared" ref="D10:N10" si="1">SUM(D8:D9)</f>
        <v>-3.3090131473387885</v>
      </c>
      <c r="E10" s="272">
        <f t="shared" si="1"/>
        <v>-8.1079273796789142E-2</v>
      </c>
      <c r="F10" s="272">
        <f t="shared" ref="F10" si="2">SUM(F8:F9)</f>
        <v>-0.308347354710788</v>
      </c>
      <c r="G10" s="272">
        <f t="shared" si="1"/>
        <v>-0.22459324820778825</v>
      </c>
      <c r="H10" s="272">
        <f t="shared" si="1"/>
        <v>-6.4215939541787392E-2</v>
      </c>
      <c r="I10" s="272">
        <f t="shared" si="1"/>
        <v>-0.35530118313978565</v>
      </c>
      <c r="J10" s="272">
        <f t="shared" si="1"/>
        <v>-1.1947726686667868</v>
      </c>
      <c r="K10" s="272">
        <f t="shared" ref="K10" si="3">SUM(K8:K9)</f>
        <v>-1.971867582573789</v>
      </c>
      <c r="L10" s="272">
        <f t="shared" si="1"/>
        <v>-2.5358680265537896</v>
      </c>
      <c r="M10" s="272">
        <f t="shared" ref="M10" si="4">SUM(M8:M9)</f>
        <v>-2.744581501929789</v>
      </c>
      <c r="N10" s="272">
        <f t="shared" si="1"/>
        <v>-6.051306289070002</v>
      </c>
    </row>
    <row r="12" spans="1:34">
      <c r="A12" s="267" t="s">
        <v>221</v>
      </c>
    </row>
    <row r="13" spans="1:34">
      <c r="A13" s="268"/>
      <c r="B13" s="269" t="str">
        <f>TEXT(B4,"mmmmm-YY")</f>
        <v>O-12</v>
      </c>
      <c r="C13" s="269" t="str">
        <f>TEXT(C4,"mmmmm")</f>
        <v>N</v>
      </c>
      <c r="D13" s="269" t="str">
        <f>TEXT(D4,"mmmmm")</f>
        <v>D</v>
      </c>
      <c r="E13" s="269" t="str">
        <f t="shared" ref="E13:F13" si="5">TEXT(E4,"mmmmm-YY")</f>
        <v>J-13</v>
      </c>
      <c r="F13" s="269" t="str">
        <f t="shared" si="5"/>
        <v>F-13</v>
      </c>
      <c r="G13" s="269" t="str">
        <f t="shared" ref="G13:L13" si="6">TEXT(G4,"mmmmm")</f>
        <v>M</v>
      </c>
      <c r="H13" s="269" t="str">
        <f t="shared" si="6"/>
        <v>A</v>
      </c>
      <c r="I13" s="269" t="str">
        <f t="shared" si="6"/>
        <v>M</v>
      </c>
      <c r="J13" s="269" t="str">
        <f t="shared" si="6"/>
        <v>J</v>
      </c>
      <c r="K13" s="269" t="str">
        <f t="shared" ref="K13" si="7">TEXT(K4,"mmmmm")</f>
        <v>J</v>
      </c>
      <c r="L13" s="269" t="str">
        <f t="shared" si="6"/>
        <v>A</v>
      </c>
      <c r="M13" s="269" t="str">
        <f t="shared" ref="M13" si="8">TEXT(M4,"mmmmm")</f>
        <v>S</v>
      </c>
      <c r="N13" s="269" t="s">
        <v>245</v>
      </c>
    </row>
    <row r="14" spans="1:34">
      <c r="A14" t="s">
        <v>2</v>
      </c>
      <c r="B14" s="270">
        <f>('ID Def 191010'!D20+'ID Holdback 191015'!D16)/-1000000</f>
        <v>2.1383911983473967</v>
      </c>
      <c r="C14" s="270">
        <f>('ID Def 191010'!D29+'ID Holdback 191015'!D23)/-1000000</f>
        <v>1.2444255776995812</v>
      </c>
      <c r="D14" s="270">
        <f>('ID Def 191010'!D47+'ID Holdback 191015'!D30)/-1000000</f>
        <v>0.87195540999758092</v>
      </c>
      <c r="E14" s="270">
        <f>('ID Def 191010'!D56+'ID Holdback 191015'!D37)/-1000000</f>
        <v>1.6660490220255828</v>
      </c>
      <c r="F14" s="270">
        <f>('ID Def 191010'!D65+'ID Holdback 191015'!D45)/-1000000</f>
        <v>1.2966995405455823</v>
      </c>
      <c r="G14" s="270">
        <f>('ID Def 191010'!D74+'ID Holdback 191015'!D53)/-1000000</f>
        <v>1.1561449650525837</v>
      </c>
      <c r="H14" s="270">
        <f>('ID Def 191010'!D83+'ID Holdback 191015'!D61)/-1000000</f>
        <v>1.2996516898465837</v>
      </c>
      <c r="I14" s="270">
        <f>('ID Def 191010'!D92+'ID Holdback 191015'!D69)/-1000000</f>
        <v>1.5610150065365844</v>
      </c>
      <c r="J14" s="270">
        <f>('ID Def 191010'!D101+'ID Holdback 191015'!D77)/-1000000</f>
        <v>1.6482739833225839</v>
      </c>
      <c r="K14" s="270">
        <f>('ID Def 191010'!D110+'ID Holdback 191015'!D85)/-1000000</f>
        <v>1.8954571715485831</v>
      </c>
      <c r="L14" s="270">
        <f>('ID Def 191010'!D119+'ID Holdback 191015'!D93)/-1000000</f>
        <v>2.2528616869035827</v>
      </c>
      <c r="M14" s="270">
        <f>('ID Def 191010'!D128+'ID Holdback 191015'!D101)/-1000000</f>
        <v>2.7080381318555831</v>
      </c>
      <c r="N14" s="270">
        <f>('ID Def 191010'!D137+'ID Holdback 191015'!D109)/-1000000</f>
        <v>0.56600077745999999</v>
      </c>
    </row>
    <row r="15" spans="1:34">
      <c r="A15" t="s">
        <v>3</v>
      </c>
      <c r="B15" s="270">
        <f>('ID Def 191010'!E20+'ID Holdback 191015'!E16)/-1000000</f>
        <v>-0.82418407251353221</v>
      </c>
      <c r="C15" s="270">
        <f>('ID Def 191010'!E29+'ID Holdback 191015'!E23)/-1000000</f>
        <v>-0.80322416033553246</v>
      </c>
      <c r="D15" s="270">
        <f>('ID Def 191010'!E47+'ID Holdback 191015'!E30)/-1000000</f>
        <v>-0.39310178017253256</v>
      </c>
      <c r="E15" s="270">
        <f>('ID Def 191010'!E56+'ID Holdback 191015'!E37)/-1000000</f>
        <v>0.17129077183746722</v>
      </c>
      <c r="F15" s="270">
        <f>('ID Def 191010'!E65+'ID Holdback 191015'!E45)/-1000000</f>
        <v>0.35307272873146694</v>
      </c>
      <c r="G15" s="270">
        <f>('ID Def 191010'!E74+'ID Holdback 191015'!E53)/-1000000</f>
        <v>0.56382016840146643</v>
      </c>
      <c r="H15" s="270">
        <f>('ID Def 191010'!E83+'ID Holdback 191015'!E61)/-1000000</f>
        <v>0.53955121001146655</v>
      </c>
      <c r="I15" s="270">
        <f>('ID Def 191010'!E92+'ID Holdback 191015'!E69)/-1000000</f>
        <v>0.18205832733946647</v>
      </c>
      <c r="J15" s="270">
        <f>('ID Def 191010'!E101+'ID Holdback 191015'!E77)/-1000000</f>
        <v>-0.22184721294953361</v>
      </c>
      <c r="K15" s="270">
        <f>('ID Def 191010'!E110+'ID Holdback 191015'!E85)/-1000000</f>
        <v>-0.73848372468853407</v>
      </c>
      <c r="L15" s="270">
        <f>('ID Def 191010'!E119+'ID Holdback 191015'!E93)/-1000000</f>
        <v>-1.2085874236835343</v>
      </c>
      <c r="M15" s="270">
        <f>('ID Def 191010'!E128+'ID Holdback 191015'!E101)/-1000000</f>
        <v>-1.5854874293295345</v>
      </c>
      <c r="N15" s="270">
        <f>('ID Def 191010'!E137+'ID Holdback 191015'!E109)/-1000000</f>
        <v>-8.1480250077000355E-2</v>
      </c>
    </row>
    <row r="16" spans="1:34">
      <c r="A16" s="271" t="s">
        <v>21</v>
      </c>
      <c r="B16" s="272">
        <f>SUM(B14:B15)</f>
        <v>1.3142071258338643</v>
      </c>
      <c r="C16" s="272">
        <f>SUM(C14:C15)</f>
        <v>0.44120141736404872</v>
      </c>
      <c r="D16" s="272">
        <f t="shared" ref="D16:L16" si="9">SUM(D14:D15)</f>
        <v>0.47885362982504837</v>
      </c>
      <c r="E16" s="272">
        <f t="shared" si="9"/>
        <v>1.83733979386305</v>
      </c>
      <c r="F16" s="272">
        <f t="shared" ref="F16" si="10">SUM(F14:F15)</f>
        <v>1.6497722692770493</v>
      </c>
      <c r="G16" s="272">
        <f t="shared" si="9"/>
        <v>1.7199651334540502</v>
      </c>
      <c r="H16" s="272">
        <f t="shared" si="9"/>
        <v>1.8392028998580503</v>
      </c>
      <c r="I16" s="272">
        <f t="shared" si="9"/>
        <v>1.7430733338760509</v>
      </c>
      <c r="J16" s="272">
        <f t="shared" si="9"/>
        <v>1.4264267703730502</v>
      </c>
      <c r="K16" s="272">
        <f t="shared" si="9"/>
        <v>1.156973446860049</v>
      </c>
      <c r="L16" s="272">
        <f t="shared" si="9"/>
        <v>1.0442742632200483</v>
      </c>
      <c r="M16" s="272">
        <f t="shared" ref="M16:N16" si="11">SUM(M14:M15)</f>
        <v>1.1225507025260486</v>
      </c>
      <c r="N16" s="272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502" t="s">
        <v>271</v>
      </c>
      <c r="B1" s="503" t="s">
        <v>272</v>
      </c>
      <c r="C1" s="504" t="s">
        <v>273</v>
      </c>
      <c r="D1" s="505" t="s">
        <v>274</v>
      </c>
      <c r="E1" s="504" t="s">
        <v>275</v>
      </c>
      <c r="F1" s="502" t="s">
        <v>276</v>
      </c>
      <c r="G1" s="502" t="s">
        <v>277</v>
      </c>
      <c r="H1" s="502" t="s">
        <v>278</v>
      </c>
      <c r="I1" s="502" t="s">
        <v>279</v>
      </c>
      <c r="J1" s="502" t="s">
        <v>280</v>
      </c>
      <c r="K1" s="506" t="s">
        <v>281</v>
      </c>
      <c r="L1" s="506" t="s">
        <v>282</v>
      </c>
      <c r="M1" s="504" t="s">
        <v>283</v>
      </c>
    </row>
    <row r="2" spans="1:13" ht="15">
      <c r="A2" s="507" t="s">
        <v>284</v>
      </c>
      <c r="B2" s="508"/>
      <c r="C2" s="508"/>
      <c r="D2" s="508"/>
      <c r="E2" s="508"/>
      <c r="F2" s="507">
        <v>1</v>
      </c>
      <c r="G2" s="509" t="str">
        <f>LEFT('WA - Def-Amtz (current)'!BG5,6)</f>
        <v>419600</v>
      </c>
      <c r="H2" s="509" t="str">
        <f>LEFT('WA - Def-Amtz (current)'!BH5,6)</f>
        <v>GD</v>
      </c>
      <c r="I2" s="509" t="str">
        <f>LEFT('WA - Def-Amtz (current)'!BI5,6)</f>
        <v>WA</v>
      </c>
      <c r="J2" s="507" t="s">
        <v>287</v>
      </c>
      <c r="K2" s="510">
        <f>'WA - Def-Amtz (current)'!BJ5</f>
        <v>0</v>
      </c>
      <c r="L2" s="510">
        <f>'WA - Def-Amtz (current)'!BK5</f>
        <v>0</v>
      </c>
      <c r="M2" s="530" t="str">
        <f>'WA - Def-Amtz (current)'!BF5</f>
        <v>WA Deferral Interest Income</v>
      </c>
    </row>
    <row r="3" spans="1:13" ht="15">
      <c r="A3" s="507" t="s">
        <v>284</v>
      </c>
      <c r="B3" s="508"/>
      <c r="C3" s="508"/>
      <c r="D3" s="508"/>
      <c r="E3" s="508"/>
      <c r="F3" s="507">
        <v>1</v>
      </c>
      <c r="G3" s="509" t="str">
        <f>LEFT('WA - Def-Amtz (current)'!BG6,6)</f>
        <v>431600</v>
      </c>
      <c r="H3" s="509" t="str">
        <f>LEFT('WA - Def-Amtz (current)'!BH6,6)</f>
        <v>GD</v>
      </c>
      <c r="I3" s="509" t="str">
        <f>LEFT('WA - Def-Amtz (current)'!BI6,6)</f>
        <v>WA</v>
      </c>
      <c r="J3" s="507" t="s">
        <v>287</v>
      </c>
      <c r="K3" s="510">
        <f>'WA - Def-Amtz (current)'!BJ6</f>
        <v>71650.12</v>
      </c>
      <c r="L3" s="510">
        <f>'WA - Def-Amtz (current)'!BK6</f>
        <v>0</v>
      </c>
      <c r="M3" s="530" t="str">
        <f>'WA - Def-Amtz (current)'!BF6</f>
        <v>WA Deferral Interest Expense</v>
      </c>
    </row>
    <row r="4" spans="1:13" ht="15">
      <c r="A4" s="507" t="s">
        <v>284</v>
      </c>
      <c r="B4" s="508"/>
      <c r="C4" s="508"/>
      <c r="D4" s="508"/>
      <c r="E4" s="508"/>
      <c r="F4" s="507">
        <v>1</v>
      </c>
      <c r="G4" s="509" t="str">
        <f>LEFT('WA - Def-Amtz (current)'!BG7,6)</f>
        <v>191010</v>
      </c>
      <c r="H4" s="509" t="str">
        <f>LEFT('WA - Def-Amtz (current)'!BH7,6)</f>
        <v>GD</v>
      </c>
      <c r="I4" s="509" t="str">
        <f>LEFT('WA - Def-Amtz (current)'!BI7,6)</f>
        <v>WA</v>
      </c>
      <c r="J4" s="507" t="s">
        <v>287</v>
      </c>
      <c r="K4" s="510">
        <f>'WA - Def-Amtz (current)'!BJ7</f>
        <v>0</v>
      </c>
      <c r="L4" s="510">
        <f>'WA - Def-Amtz (current)'!BK7</f>
        <v>2992495.7645779983</v>
      </c>
      <c r="M4" s="530" t="str">
        <f>'WA - Def-Amtz (current)'!BF7</f>
        <v>WA Deferral</v>
      </c>
    </row>
    <row r="5" spans="1:13" ht="15">
      <c r="A5" s="507" t="s">
        <v>284</v>
      </c>
      <c r="B5" s="508"/>
      <c r="C5" s="508"/>
      <c r="D5" s="508"/>
      <c r="E5" s="508"/>
      <c r="F5" s="507">
        <v>1</v>
      </c>
      <c r="G5" s="509" t="str">
        <f>LEFT('WA - Def-Amtz (current)'!BG8,6)</f>
        <v>805120</v>
      </c>
      <c r="H5" s="509" t="str">
        <f>LEFT('WA - Def-Amtz (current)'!BH8,6)</f>
        <v>GD</v>
      </c>
      <c r="I5" s="509" t="str">
        <f>LEFT('WA - Def-Amtz (current)'!BI8,6)</f>
        <v>WA</v>
      </c>
      <c r="J5" s="507" t="s">
        <v>287</v>
      </c>
      <c r="K5" s="510">
        <f>'WA - Def-Amtz (current)'!BJ8</f>
        <v>2920845.6445779982</v>
      </c>
      <c r="L5" s="510">
        <f>'WA - Def-Amtz (current)'!BK8</f>
        <v>0</v>
      </c>
      <c r="M5" s="530" t="str">
        <f>'WA - Def-Amtz (current)'!BF8</f>
        <v>WA Deferral Expense</v>
      </c>
    </row>
    <row r="6" spans="1:13" ht="15">
      <c r="A6" s="507" t="s">
        <v>284</v>
      </c>
      <c r="B6" s="508"/>
      <c r="C6" s="508"/>
      <c r="D6" s="508"/>
      <c r="E6" s="508"/>
      <c r="F6" s="507">
        <v>1</v>
      </c>
      <c r="G6" s="509" t="str">
        <f>LEFT('WA - Def-Amtz (current)'!BG42,6)</f>
        <v>431600</v>
      </c>
      <c r="H6" s="509" t="str">
        <f>LEFT('WA - Def-Amtz (current)'!BH42,6)</f>
        <v>GD</v>
      </c>
      <c r="I6" s="509" t="str">
        <f>LEFT('WA - Def-Amtz (current)'!BI42,6)</f>
        <v>WA</v>
      </c>
      <c r="J6" s="507" t="s">
        <v>287</v>
      </c>
      <c r="K6" s="510">
        <f>'WA - Def-Amtz (current)'!BJ42</f>
        <v>0</v>
      </c>
      <c r="L6" s="510">
        <f>'WA - Def-Amtz (current)'!BK42</f>
        <v>0</v>
      </c>
      <c r="M6" s="530" t="str">
        <f>'WA - Def-Amtz (current)'!BF42</f>
        <v>WA Amortization Interest Expense</v>
      </c>
    </row>
    <row r="7" spans="1:13" ht="15">
      <c r="A7" s="507" t="s">
        <v>284</v>
      </c>
      <c r="B7" s="508"/>
      <c r="C7" s="508"/>
      <c r="D7" s="508"/>
      <c r="E7" s="508"/>
      <c r="F7" s="507">
        <v>1</v>
      </c>
      <c r="G7" s="509" t="str">
        <f>LEFT('WA - Def-Amtz (current)'!BG43,6)</f>
        <v>191000</v>
      </c>
      <c r="H7" s="509" t="str">
        <f>LEFT('WA - Def-Amtz (current)'!BH43,6)</f>
        <v>GD</v>
      </c>
      <c r="I7" s="509" t="str">
        <f>LEFT('WA - Def-Amtz (current)'!BI43,6)</f>
        <v>WA</v>
      </c>
      <c r="J7" s="507" t="s">
        <v>287</v>
      </c>
      <c r="K7" s="510">
        <f>'WA - Def-Amtz (current)'!BJ43</f>
        <v>1089467.8142975126</v>
      </c>
      <c r="L7" s="510">
        <f>'WA - Def-Amtz (current)'!BK43</f>
        <v>0</v>
      </c>
      <c r="M7" s="530" t="str">
        <f>'WA - Def-Amtz (current)'!BF43</f>
        <v>WA Amortization</v>
      </c>
    </row>
    <row r="8" spans="1:13" ht="15">
      <c r="A8" s="507" t="s">
        <v>284</v>
      </c>
      <c r="B8" s="508"/>
      <c r="C8" s="508"/>
      <c r="D8" s="508"/>
      <c r="E8" s="508"/>
      <c r="F8" s="507">
        <v>1</v>
      </c>
      <c r="G8" s="509" t="str">
        <f>LEFT('WA - Def-Amtz (current)'!BG44,6)</f>
        <v>805110</v>
      </c>
      <c r="H8" s="509" t="str">
        <f>LEFT('WA - Def-Amtz (current)'!BH44,6)</f>
        <v>GD</v>
      </c>
      <c r="I8" s="509" t="str">
        <f>LEFT('WA - Def-Amtz (current)'!BI44,6)</f>
        <v>WA</v>
      </c>
      <c r="J8" s="507" t="s">
        <v>287</v>
      </c>
      <c r="K8" s="510">
        <f>'WA - Def-Amtz (current)'!BJ44</f>
        <v>0</v>
      </c>
      <c r="L8" s="510">
        <f>'WA - Def-Amtz (current)'!BK44</f>
        <v>1086057.4122600001</v>
      </c>
      <c r="M8" s="530" t="str">
        <f>'WA - Def-Amtz (current)'!BF44</f>
        <v>WA Amortization Expense</v>
      </c>
    </row>
    <row r="9" spans="1:13" ht="15">
      <c r="A9" s="507" t="s">
        <v>284</v>
      </c>
      <c r="B9" s="508"/>
      <c r="C9" s="508"/>
      <c r="D9" s="508"/>
      <c r="E9" s="508"/>
      <c r="F9" s="507">
        <v>1</v>
      </c>
      <c r="G9" s="509" t="str">
        <f>LEFT('WA - Def-Amtz (current)'!BG76,6)</f>
        <v>191025</v>
      </c>
      <c r="H9" s="509" t="str">
        <f>LEFT('WA - Def-Amtz (current)'!BH76,6)</f>
        <v>GD</v>
      </c>
      <c r="I9" s="509" t="str">
        <f>LEFT('WA - Def-Amtz (current)'!BI76,6)</f>
        <v>WA</v>
      </c>
      <c r="J9" s="507" t="s">
        <v>287</v>
      </c>
      <c r="K9" s="510">
        <f>'WA - Def-Amtz (current)'!BJ76</f>
        <v>128.02517</v>
      </c>
      <c r="L9" s="510">
        <f>'WA - Def-Amtz (current)'!BK76</f>
        <v>0</v>
      </c>
      <c r="M9" s="530" t="str">
        <f>'WA - Def-Amtz (current)'!BF76</f>
        <v>WA Amortization JP</v>
      </c>
    </row>
    <row r="10" spans="1:13" ht="15">
      <c r="A10" s="507" t="s">
        <v>284</v>
      </c>
      <c r="B10" s="508"/>
      <c r="C10" s="508"/>
      <c r="D10" s="508"/>
      <c r="E10" s="508"/>
      <c r="F10" s="507">
        <v>1</v>
      </c>
      <c r="G10" s="509" t="str">
        <f>LEFT('WA - Def-Amtz (current)'!BG77,6)</f>
        <v>805110</v>
      </c>
      <c r="H10" s="509" t="str">
        <f>LEFT('WA - Def-Amtz (current)'!BH77,6)</f>
        <v>GD</v>
      </c>
      <c r="I10" s="509" t="str">
        <f>LEFT('WA - Def-Amtz (current)'!BI77,6)</f>
        <v>WA</v>
      </c>
      <c r="J10" s="507" t="s">
        <v>287</v>
      </c>
      <c r="K10" s="510">
        <f>'WA - Def-Amtz (current)'!BJ77</f>
        <v>0</v>
      </c>
      <c r="L10" s="510">
        <f>'WA - Def-Amtz (current)'!BK77</f>
        <v>128.02517</v>
      </c>
      <c r="M10" s="530" t="str">
        <f>'WA - Def-Amtz (current)'!BF77</f>
        <v>WA Amortization Expense JP</v>
      </c>
    </row>
    <row r="11" spans="1:13" ht="15">
      <c r="A11" s="507"/>
      <c r="B11" s="508"/>
      <c r="C11" s="508"/>
      <c r="D11" s="508"/>
      <c r="E11" s="508"/>
      <c r="F11" s="507"/>
      <c r="G11" s="509"/>
      <c r="H11" s="509"/>
      <c r="I11" s="509"/>
      <c r="J11" s="507"/>
      <c r="K11" s="510"/>
      <c r="L11" s="510"/>
      <c r="M11" s="530"/>
    </row>
    <row r="12" spans="1:13" ht="15">
      <c r="A12" s="507"/>
      <c r="B12" s="508"/>
      <c r="C12" s="508"/>
      <c r="D12" s="508"/>
      <c r="E12" s="508"/>
      <c r="F12" s="507"/>
      <c r="G12" s="509"/>
      <c r="H12" s="509"/>
      <c r="I12" s="509"/>
      <c r="J12" s="507"/>
      <c r="K12" s="510"/>
      <c r="L12" s="510"/>
      <c r="M12" s="530"/>
    </row>
    <row r="13" spans="1:13" ht="15">
      <c r="A13" s="507" t="s">
        <v>284</v>
      </c>
      <c r="B13" s="508"/>
      <c r="C13" s="508"/>
      <c r="D13" s="508"/>
      <c r="E13" s="508"/>
      <c r="F13" s="507">
        <v>1</v>
      </c>
      <c r="G13" s="509" t="str">
        <f>LEFT('ID - Def-Amtz (Jan)'!BH5,6)</f>
        <v>419600</v>
      </c>
      <c r="H13" s="509" t="str">
        <f>LEFT('ID - Def-Amtz (Jan)'!BI5,6)</f>
        <v>GD</v>
      </c>
      <c r="I13" s="509" t="str">
        <f>LEFT('ID - Def-Amtz (Jan)'!BJ5,6)</f>
        <v>ID</v>
      </c>
      <c r="J13" s="507" t="s">
        <v>287</v>
      </c>
      <c r="K13" s="510">
        <f>'ID - Def-Amtz (Jan)'!BK5</f>
        <v>0</v>
      </c>
      <c r="L13" s="510">
        <f>'ID - Def-Amtz (Jan)'!BL5</f>
        <v>0</v>
      </c>
      <c r="M13" s="530" t="str">
        <f>'ID - Def-Amtz (Jan)'!BG5</f>
        <v>ID Deferral Interest Income</v>
      </c>
    </row>
    <row r="14" spans="1:13" ht="15">
      <c r="A14" s="507" t="s">
        <v>284</v>
      </c>
      <c r="B14" s="508"/>
      <c r="C14" s="508"/>
      <c r="D14" s="508"/>
      <c r="E14" s="508"/>
      <c r="F14" s="507">
        <v>1</v>
      </c>
      <c r="G14" s="509" t="str">
        <f>LEFT('ID - Def-Amtz (Jan)'!BH6,6)</f>
        <v>431600</v>
      </c>
      <c r="H14" s="509" t="str">
        <f>LEFT('ID - Def-Amtz (Jan)'!BI6,6)</f>
        <v>GD</v>
      </c>
      <c r="I14" s="509" t="str">
        <f>LEFT('ID - Def-Amtz (Jan)'!BJ6,6)</f>
        <v>ID</v>
      </c>
      <c r="J14" s="507" t="s">
        <v>287</v>
      </c>
      <c r="K14" s="510">
        <f>'ID - Def-Amtz (Jan)'!BK6</f>
        <v>3589.52</v>
      </c>
      <c r="L14" s="510">
        <f>'ID - Def-Amtz (Jan)'!BL6</f>
        <v>0</v>
      </c>
      <c r="M14" s="530" t="str">
        <f>'ID - Def-Amtz (Jan)'!BG6</f>
        <v>ID Deferral Interest Expense</v>
      </c>
    </row>
    <row r="15" spans="1:13" ht="15">
      <c r="A15" s="507" t="s">
        <v>284</v>
      </c>
      <c r="B15" s="508"/>
      <c r="C15" s="508"/>
      <c r="D15" s="508"/>
      <c r="E15" s="508"/>
      <c r="F15" s="507">
        <v>1</v>
      </c>
      <c r="G15" s="509" t="str">
        <f>LEFT('ID - Def-Amtz (Jan)'!BH7,6)</f>
        <v>191010</v>
      </c>
      <c r="H15" s="509" t="str">
        <f>LEFT('ID - Def-Amtz (Jan)'!BI7,6)</f>
        <v>GD</v>
      </c>
      <c r="I15" s="509" t="str">
        <f>LEFT('ID - Def-Amtz (Jan)'!BJ7,6)</f>
        <v>ID</v>
      </c>
      <c r="J15" s="507" t="s">
        <v>287</v>
      </c>
      <c r="K15" s="510">
        <f>'ID - Def-Amtz (Jan)'!BK7</f>
        <v>0</v>
      </c>
      <c r="L15" s="510">
        <f>'ID - Def-Amtz (Jan)'!BL7</f>
        <v>1345629.8891409999</v>
      </c>
      <c r="M15" s="530" t="str">
        <f>'ID - Def-Amtz (Jan)'!BG7</f>
        <v>ID Deferral</v>
      </c>
    </row>
    <row r="16" spans="1:13" ht="15">
      <c r="A16" s="507" t="s">
        <v>284</v>
      </c>
      <c r="B16" s="508"/>
      <c r="C16" s="508"/>
      <c r="D16" s="508"/>
      <c r="E16" s="508"/>
      <c r="F16" s="507">
        <v>1</v>
      </c>
      <c r="G16" s="509" t="str">
        <f>LEFT('ID - Def-Amtz (Jan)'!BH8,6)</f>
        <v>805120</v>
      </c>
      <c r="H16" s="509" t="str">
        <f>LEFT('ID - Def-Amtz (Jan)'!BI8,6)</f>
        <v>GD</v>
      </c>
      <c r="I16" s="509" t="str">
        <f>LEFT('ID - Def-Amtz (Jan)'!BJ8,6)</f>
        <v>ID</v>
      </c>
      <c r="J16" s="507" t="s">
        <v>287</v>
      </c>
      <c r="K16" s="510">
        <f>'ID - Def-Amtz (Jan)'!BK8</f>
        <v>1342040.3691409999</v>
      </c>
      <c r="L16" s="510">
        <f>'ID - Def-Amtz (Jan)'!BL8</f>
        <v>0</v>
      </c>
      <c r="M16" s="530" t="str">
        <f>'ID - Def-Amtz (Jan)'!BG8</f>
        <v>ID Deferral Expense</v>
      </c>
    </row>
    <row r="17" spans="1:13" ht="15">
      <c r="A17" s="507" t="s">
        <v>284</v>
      </c>
      <c r="B17" s="508"/>
      <c r="C17" s="508"/>
      <c r="D17" s="508"/>
      <c r="E17" s="508"/>
      <c r="F17" s="507">
        <v>1</v>
      </c>
      <c r="G17" s="509" t="str">
        <f>LEFT('ID - Def-Amtz (Jan)'!BH42,6)</f>
        <v>419600</v>
      </c>
      <c r="H17" s="509" t="str">
        <f>LEFT('ID - Def-Amtz (Jan)'!BI42,6)</f>
        <v>GD</v>
      </c>
      <c r="I17" s="509" t="str">
        <f>LEFT('ID - Def-Amtz (Jan)'!BJ42,6)</f>
        <v>ID</v>
      </c>
      <c r="J17" s="507" t="s">
        <v>287</v>
      </c>
      <c r="K17" s="510">
        <f>'ID - Def-Amtz (Jan)'!BK42</f>
        <v>0</v>
      </c>
      <c r="L17" s="510">
        <f>'ID - Def-Amtz (Jan)'!BL42</f>
        <v>0</v>
      </c>
      <c r="M17" s="530" t="str">
        <f>'ID - Def-Amtz (Jan)'!BG42</f>
        <v>ID Amortization Interest Income</v>
      </c>
    </row>
    <row r="18" spans="1:13" ht="15">
      <c r="A18" s="507" t="s">
        <v>284</v>
      </c>
      <c r="B18" s="508"/>
      <c r="C18" s="508"/>
      <c r="D18" s="508"/>
      <c r="E18" s="508"/>
      <c r="F18" s="507">
        <v>1</v>
      </c>
      <c r="G18" s="509" t="str">
        <f>LEFT('ID - Def-Amtz (Jan)'!BH43,6)</f>
        <v>431600</v>
      </c>
      <c r="H18" s="509" t="str">
        <f>LEFT('ID - Def-Amtz (Jan)'!BI43,6)</f>
        <v>GD</v>
      </c>
      <c r="I18" s="509" t="str">
        <f>LEFT('ID - Def-Amtz (Jan)'!BJ43,6)</f>
        <v>ID</v>
      </c>
      <c r="J18" s="507" t="s">
        <v>287</v>
      </c>
      <c r="K18" s="510">
        <f>'ID - Def-Amtz (Jan)'!BK43</f>
        <v>3444.5647273259347</v>
      </c>
      <c r="L18" s="510">
        <f>'ID - Def-Amtz (Jan)'!BL43</f>
        <v>0</v>
      </c>
      <c r="M18" s="530" t="str">
        <f>'ID - Def-Amtz (Jan)'!BG43</f>
        <v>ID Amortization Interest Expense</v>
      </c>
    </row>
    <row r="19" spans="1:13" ht="15">
      <c r="A19" s="507" t="s">
        <v>284</v>
      </c>
      <c r="B19" s="508"/>
      <c r="C19" s="508"/>
      <c r="D19" s="508"/>
      <c r="E19" s="508"/>
      <c r="F19" s="507">
        <v>1</v>
      </c>
      <c r="G19" s="509" t="str">
        <f>LEFT('ID - Def-Amtz (Jan)'!BH44,6)</f>
        <v>191000</v>
      </c>
      <c r="H19" s="509" t="str">
        <f>LEFT('ID - Def-Amtz (Jan)'!BI44,6)</f>
        <v>GD</v>
      </c>
      <c r="I19" s="509" t="str">
        <f>LEFT('ID - Def-Amtz (Jan)'!BJ44,6)</f>
        <v>ID</v>
      </c>
      <c r="J19" s="507" t="s">
        <v>287</v>
      </c>
      <c r="K19" s="510">
        <f>'ID - Def-Amtz (Jan)'!BK44</f>
        <v>1482224.489752674</v>
      </c>
      <c r="L19" s="510">
        <f>'ID - Def-Amtz (Jan)'!BL44</f>
        <v>0</v>
      </c>
      <c r="M19" s="530" t="str">
        <f>'ID - Def-Amtz (Jan)'!BG44</f>
        <v>ID Amortization</v>
      </c>
    </row>
    <row r="20" spans="1:13" ht="15">
      <c r="A20" s="507" t="s">
        <v>284</v>
      </c>
      <c r="B20" s="508"/>
      <c r="C20" s="508"/>
      <c r="D20" s="508"/>
      <c r="E20" s="508"/>
      <c r="F20" s="507">
        <v>1</v>
      </c>
      <c r="G20" s="509" t="str">
        <f>LEFT('ID - Def-Amtz (Jan)'!BH45,6)</f>
        <v>805110</v>
      </c>
      <c r="H20" s="509" t="str">
        <f>LEFT('ID - Def-Amtz (Jan)'!BI45,6)</f>
        <v>GD</v>
      </c>
      <c r="I20" s="509" t="str">
        <f>LEFT('ID - Def-Amtz (Jan)'!BJ45,6)</f>
        <v>ID</v>
      </c>
      <c r="J20" s="507" t="s">
        <v>287</v>
      </c>
      <c r="K20" s="510">
        <f>'ID - Def-Amtz (Jan)'!BK45</f>
        <v>0</v>
      </c>
      <c r="L20" s="510">
        <f>'ID - Def-Amtz (Jan)'!BL45</f>
        <v>1485669.0544799999</v>
      </c>
      <c r="M20" s="530" t="str">
        <f>'ID - Def-Amtz (Jan)'!BG45</f>
        <v>ID Amortization Expense</v>
      </c>
    </row>
    <row r="21" spans="1:13" ht="15">
      <c r="A21" s="507"/>
      <c r="B21" s="508"/>
      <c r="C21" s="508"/>
      <c r="D21" s="508"/>
      <c r="E21" s="508"/>
      <c r="F21" s="507"/>
      <c r="G21" s="509"/>
      <c r="H21" s="509"/>
      <c r="I21" s="509"/>
      <c r="J21" s="507"/>
      <c r="K21" s="510"/>
      <c r="L21" s="510"/>
      <c r="M21" s="530"/>
    </row>
    <row r="22" spans="1:13" ht="15">
      <c r="A22" s="507"/>
      <c r="B22" s="508"/>
      <c r="C22" s="508"/>
      <c r="D22" s="508"/>
      <c r="E22" s="508"/>
      <c r="F22" s="507"/>
      <c r="G22" s="509"/>
      <c r="H22" s="509"/>
      <c r="I22" s="509"/>
      <c r="J22" s="507"/>
      <c r="K22" s="510"/>
      <c r="L22" s="510"/>
      <c r="M22" s="530"/>
    </row>
    <row r="23" spans="1:13" s="547" customFormat="1" ht="15">
      <c r="A23" s="507"/>
      <c r="B23" s="508"/>
      <c r="C23" s="508"/>
      <c r="D23" s="508"/>
      <c r="E23" s="508"/>
      <c r="F23" s="507"/>
      <c r="G23" s="509"/>
      <c r="H23" s="509"/>
      <c r="I23" s="509"/>
      <c r="J23" s="507"/>
      <c r="K23" s="510"/>
      <c r="L23" s="510"/>
      <c r="M23" s="557"/>
    </row>
    <row r="24" spans="1:13" s="547" customFormat="1" ht="15">
      <c r="A24" s="507"/>
      <c r="B24" s="508"/>
      <c r="C24" s="508"/>
      <c r="D24" s="508"/>
      <c r="E24" s="508"/>
      <c r="F24" s="507"/>
      <c r="G24" s="509"/>
      <c r="H24" s="509"/>
      <c r="I24" s="509"/>
      <c r="J24" s="507"/>
      <c r="K24" s="510"/>
      <c r="L24" s="510"/>
      <c r="M24" s="557"/>
    </row>
    <row r="25" spans="1:13" ht="15">
      <c r="A25" s="507" t="s">
        <v>284</v>
      </c>
      <c r="B25" s="508"/>
      <c r="C25" s="508"/>
      <c r="D25" s="508"/>
      <c r="E25" s="508"/>
      <c r="F25" s="507">
        <v>1</v>
      </c>
      <c r="G25" s="509" t="str">
        <f>LEFT('ID - Def-Amtz (Jan)'!BH75,6)</f>
        <v>419600</v>
      </c>
      <c r="H25" s="509" t="str">
        <f>LEFT('ID - Def-Amtz (Jan)'!BI75,6)</f>
        <v>GD</v>
      </c>
      <c r="I25" s="509" t="str">
        <f>LEFT('ID - Def-Amtz (Jan)'!BJ75,6)</f>
        <v>ID</v>
      </c>
      <c r="J25" s="507" t="s">
        <v>287</v>
      </c>
      <c r="K25" s="510">
        <f>'ID - Def-Amtz (Jan)'!BK75</f>
        <v>0</v>
      </c>
      <c r="L25" s="510">
        <f>'ID - Def-Amtz (Jan)'!BL75</f>
        <v>0</v>
      </c>
      <c r="M25" s="530" t="str">
        <f>'ID - Def-Amtz (Jan)'!BG75</f>
        <v>ID Amortization Interest Income</v>
      </c>
    </row>
    <row r="26" spans="1:13" ht="15">
      <c r="A26" s="507" t="s">
        <v>284</v>
      </c>
      <c r="B26" s="508"/>
      <c r="C26" s="508"/>
      <c r="D26" s="508"/>
      <c r="E26" s="508"/>
      <c r="F26" s="507">
        <v>1</v>
      </c>
      <c r="G26" s="509" t="str">
        <f>LEFT('ID - Def-Amtz (Jan)'!BH76,6)</f>
        <v>431600</v>
      </c>
      <c r="H26" s="509" t="str">
        <f>LEFT('ID - Def-Amtz (Jan)'!BI76,6)</f>
        <v>GD</v>
      </c>
      <c r="I26" s="509" t="str">
        <f>LEFT('ID - Def-Amtz (Jan)'!BJ76,6)</f>
        <v>ID</v>
      </c>
      <c r="J26" s="507" t="s">
        <v>287</v>
      </c>
      <c r="K26" s="510">
        <f>'ID - Def-Amtz (Jan)'!BK76</f>
        <v>10.10137298722341</v>
      </c>
      <c r="L26" s="510">
        <f>'ID - Def-Amtz (Jan)'!BL76</f>
        <v>0</v>
      </c>
      <c r="M26" s="530" t="str">
        <f>'ID - Def-Amtz (Jan)'!BG76</f>
        <v>ID Amortization Interest Expense</v>
      </c>
    </row>
    <row r="27" spans="1:13" ht="15">
      <c r="A27" s="507" t="s">
        <v>284</v>
      </c>
      <c r="B27" s="508"/>
      <c r="C27" s="508"/>
      <c r="D27" s="508"/>
      <c r="E27" s="508"/>
      <c r="F27" s="507">
        <v>1</v>
      </c>
      <c r="G27" s="509" t="str">
        <f>LEFT('ID - Def-Amtz (Jan)'!BH77,6)</f>
        <v>191015</v>
      </c>
      <c r="H27" s="509" t="str">
        <f>LEFT('ID - Def-Amtz (Jan)'!BI77,6)</f>
        <v>GD</v>
      </c>
      <c r="I27" s="509" t="str">
        <f>LEFT('ID - Def-Amtz (Jan)'!BJ77,6)</f>
        <v>ID</v>
      </c>
      <c r="J27" s="507" t="s">
        <v>287</v>
      </c>
      <c r="K27" s="510">
        <f>'ID - Def-Amtz (Jan)'!BK77</f>
        <v>0</v>
      </c>
      <c r="L27" s="510">
        <f>'ID - Def-Amtz (Jan)'!BL77</f>
        <v>10.10137298722341</v>
      </c>
      <c r="M27" s="530" t="str">
        <f>'ID - Def-Amtz (Jan)'!BG77</f>
        <v>ID Amortization HB</v>
      </c>
    </row>
    <row r="28" spans="1:13" ht="15">
      <c r="A28" s="507" t="s">
        <v>284</v>
      </c>
      <c r="B28" s="508"/>
      <c r="C28" s="508"/>
      <c r="D28" s="508"/>
      <c r="E28" s="508"/>
      <c r="F28" s="507">
        <v>1</v>
      </c>
      <c r="G28" s="509" t="str">
        <f>LEFT('ID - Def-Amtz (Jan)'!BH78,6)</f>
        <v>805111</v>
      </c>
      <c r="H28" s="509" t="str">
        <f>LEFT('ID - Def-Amtz (Jan)'!BI78,6)</f>
        <v>GD</v>
      </c>
      <c r="I28" s="509" t="str">
        <f>LEFT('ID - Def-Amtz (Jan)'!BJ78,6)</f>
        <v>ID</v>
      </c>
      <c r="J28" s="507" t="s">
        <v>287</v>
      </c>
      <c r="K28" s="510">
        <f>'ID - Def-Amtz (Jan)'!BK78</f>
        <v>0</v>
      </c>
      <c r="L28" s="510">
        <f>'ID - Def-Amtz (Jan)'!BL78</f>
        <v>0</v>
      </c>
      <c r="M28" s="530" t="str">
        <f>'ID - Def-Amtz (Jan)'!BG78</f>
        <v>ID Amortization Expense HB</v>
      </c>
    </row>
    <row r="29" spans="1:13" ht="15">
      <c r="A29" s="507" t="s">
        <v>284</v>
      </c>
      <c r="B29" s="508"/>
      <c r="C29" s="508"/>
      <c r="D29" s="508"/>
      <c r="E29" s="508"/>
      <c r="F29" s="507">
        <v>1</v>
      </c>
      <c r="G29" s="509" t="str">
        <f>LEFT('ID - Def-Amtz (Jan)'!BH79,6)</f>
        <v>191015</v>
      </c>
      <c r="H29" s="509" t="str">
        <f>LEFT('ID - Def-Amtz (Jan)'!BI79,6)</f>
        <v>GD</v>
      </c>
      <c r="I29" s="509" t="str">
        <f>LEFT('ID - Def-Amtz (Jan)'!BJ79,6)</f>
        <v>ID</v>
      </c>
      <c r="J29" s="507" t="s">
        <v>287</v>
      </c>
      <c r="K29" s="510">
        <f>'ID - Def-Amtz (Jan)'!BK79</f>
        <v>0</v>
      </c>
      <c r="L29" s="510">
        <f>'ID - Def-Amtz (Jan)'!BL79</f>
        <v>0</v>
      </c>
      <c r="M29" s="530" t="str">
        <f>'ID - Def-Amtz (Jan)'!BG79</f>
        <v>Adjustment from Jan2015</v>
      </c>
    </row>
    <row r="30" spans="1:13" ht="15">
      <c r="A30" s="507" t="s">
        <v>284</v>
      </c>
      <c r="B30" s="508"/>
      <c r="C30" s="508"/>
      <c r="D30" s="508"/>
      <c r="E30" s="508"/>
      <c r="F30" s="507">
        <v>1</v>
      </c>
      <c r="G30" s="509" t="str">
        <f>LEFT('ID - Def-Amtz (Jan)'!BH80,6)</f>
        <v>431600</v>
      </c>
      <c r="H30" s="509" t="str">
        <f>LEFT('ID - Def-Amtz (Jan)'!BI80,6)</f>
        <v>GD</v>
      </c>
      <c r="I30" s="509" t="str">
        <f>LEFT('ID - Def-Amtz (Jan)'!BJ80,6)</f>
        <v>ID</v>
      </c>
      <c r="J30" s="507" t="s">
        <v>287</v>
      </c>
      <c r="K30" s="510">
        <f>'ID - Def-Amtz (Jan)'!BK80</f>
        <v>0</v>
      </c>
      <c r="L30" s="510">
        <f>'ID - Def-Amtz (Jan)'!BL80</f>
        <v>0</v>
      </c>
      <c r="M30" s="530" t="str">
        <f>'ID - Def-Amtz (Jan)'!BG80</f>
        <v>Adjustment from Jan2015</v>
      </c>
    </row>
    <row r="31" spans="1:13" ht="15">
      <c r="A31" s="507"/>
      <c r="B31" s="508"/>
      <c r="C31" s="508"/>
      <c r="D31" s="508"/>
      <c r="E31" s="508"/>
      <c r="F31" s="507"/>
      <c r="G31" s="509"/>
      <c r="H31" s="509"/>
      <c r="I31" s="509"/>
      <c r="J31" s="507"/>
    </row>
    <row r="32" spans="1:13">
      <c r="K32">
        <f>SUM(K2:K31)</f>
        <v>6913400.6490394976</v>
      </c>
      <c r="L32">
        <f>SUM(L2:L31)</f>
        <v>6909990.2470019851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topLeftCell="A37" zoomScale="70" zoomScaleNormal="70" workbookViewId="0">
      <selection activeCell="G52" sqref="G52:G53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31">
        <v>201701</v>
      </c>
      <c r="F1" s="532">
        <f>C1</f>
        <v>201701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71">
        <f>-276.44-276.44-267.52+1908.33-276.44-276.44-267.52-267.52+4598122.63</f>
        <v>4598122.6399999997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71">
        <f>146396.46-1901.83</f>
        <v>144494.63</v>
      </c>
      <c r="D5" s="34"/>
      <c r="F5" s="38"/>
      <c r="G5" s="38"/>
      <c r="H5" s="11"/>
      <c r="I5" s="615">
        <v>0.70530000000000004</v>
      </c>
      <c r="J5" s="615">
        <v>0.29470000000000002</v>
      </c>
      <c r="K5" s="445">
        <f>ROUND(G45/(G45+K43),4)</f>
        <v>0.69599999999999995</v>
      </c>
      <c r="L5" s="445">
        <f>1-K5</f>
        <v>0.30400000000000005</v>
      </c>
      <c r="M5" s="38"/>
    </row>
    <row r="6" spans="1:13" ht="16.5" thickBot="1">
      <c r="A6" s="49" t="s">
        <v>30</v>
      </c>
      <c r="C6" s="572">
        <f>-2343063.08-444850-127100-142987.5-81979.5-102391.76</f>
        <v>-3242371.84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1500245.4299999997</v>
      </c>
      <c r="D7" s="35"/>
      <c r="F7" s="166" t="s">
        <v>139</v>
      </c>
      <c r="G7" s="166"/>
      <c r="H7" s="125">
        <f>C34</f>
        <v>2323653.17</v>
      </c>
      <c r="I7" s="167">
        <f>H7*I5</f>
        <v>1638872.5808010001</v>
      </c>
      <c r="J7" s="167">
        <f>H7*J5</f>
        <v>684780.58919900004</v>
      </c>
      <c r="K7" s="167"/>
      <c r="L7" s="167"/>
      <c r="M7" s="38"/>
    </row>
    <row r="8" spans="1:13" ht="15.75">
      <c r="A8" s="1" t="s">
        <v>89</v>
      </c>
      <c r="C8" s="571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71">
        <f>293.18+244.3+9064.68</f>
        <v>9602.16</v>
      </c>
      <c r="D9" s="36"/>
      <c r="F9" s="166" t="s">
        <v>119</v>
      </c>
      <c r="G9" s="38"/>
      <c r="H9" s="167">
        <f>C55</f>
        <v>11786921.919999998</v>
      </c>
      <c r="I9" s="167"/>
      <c r="J9" s="167"/>
      <c r="K9" s="167">
        <f>H9*K5</f>
        <v>8203697.6563199982</v>
      </c>
      <c r="L9" s="167">
        <f>H9*L5</f>
        <v>3583224.2636799999</v>
      </c>
      <c r="M9" s="38"/>
    </row>
    <row r="10" spans="1:13" ht="15.75">
      <c r="A10" s="49" t="s">
        <v>91</v>
      </c>
      <c r="C10" s="572">
        <v>-3418.47</v>
      </c>
      <c r="D10" s="36"/>
      <c r="F10" s="169" t="s">
        <v>44</v>
      </c>
      <c r="G10" s="38"/>
      <c r="H10" s="167">
        <f>C56</f>
        <v>25201.19</v>
      </c>
      <c r="I10" s="167"/>
      <c r="J10" s="167"/>
      <c r="K10" s="167">
        <f>H10</f>
        <v>25201.19</v>
      </c>
      <c r="L10" s="167"/>
      <c r="M10" s="38"/>
    </row>
    <row r="11" spans="1:13">
      <c r="A11" s="66" t="s">
        <v>145</v>
      </c>
      <c r="C11" s="100">
        <f>SUM(C8:C10)</f>
        <v>258913.00999999998</v>
      </c>
      <c r="D11" s="36"/>
      <c r="F11" s="169" t="s">
        <v>45</v>
      </c>
      <c r="G11" s="38"/>
      <c r="H11" s="170">
        <f>C57</f>
        <v>14094.61</v>
      </c>
      <c r="I11" s="167"/>
      <c r="J11" s="167"/>
      <c r="K11" s="170"/>
      <c r="L11" s="170">
        <f>H11</f>
        <v>14094.61</v>
      </c>
      <c r="M11" s="38"/>
    </row>
    <row r="12" spans="1:13" ht="15.75">
      <c r="A12" s="1" t="s">
        <v>165</v>
      </c>
      <c r="C12" s="571">
        <f>2021.86+182501.01</f>
        <v>184522.87</v>
      </c>
      <c r="D12" s="36"/>
      <c r="F12" s="169" t="s">
        <v>138</v>
      </c>
      <c r="G12" s="38"/>
      <c r="H12" s="167">
        <f>H9+H10+H11</f>
        <v>11826217.719999997</v>
      </c>
      <c r="I12" s="167"/>
      <c r="J12" s="167"/>
      <c r="K12" s="167">
        <f>SUM(K9:K11)</f>
        <v>8228898.8463199986</v>
      </c>
      <c r="L12" s="167">
        <f>SUM(L9:L11)</f>
        <v>3597318.8736799997</v>
      </c>
      <c r="M12" s="38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184522.87</v>
      </c>
      <c r="D14" s="37"/>
      <c r="F14" s="50" t="s">
        <v>69</v>
      </c>
      <c r="G14" s="175"/>
      <c r="H14" s="125">
        <f>H12+H7</f>
        <v>14149870.889999997</v>
      </c>
      <c r="I14" s="176">
        <f>SUM(I7:I13)</f>
        <v>1638872.5808010001</v>
      </c>
      <c r="J14" s="176">
        <f>SUM(J7:J13)</f>
        <v>684780.58919900004</v>
      </c>
      <c r="K14" s="176">
        <f>K12</f>
        <v>8228898.8463199986</v>
      </c>
      <c r="L14" s="176">
        <f>L12</f>
        <v>3597318.8736799997</v>
      </c>
      <c r="M14" s="38"/>
    </row>
    <row r="15" spans="1:13" ht="15.75">
      <c r="A15" s="1" t="s">
        <v>183</v>
      </c>
      <c r="C15" s="571">
        <f>3883.48+450635.15</f>
        <v>454518.63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454518.63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71">
        <f>9987.9+65941.54+662.28</f>
        <v>76591.719999999987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4" ht="15.75">
      <c r="A19" s="46" t="s">
        <v>164</v>
      </c>
      <c r="C19" s="572">
        <f>7465.32</f>
        <v>7465.32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84057.039999999979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4"/>
      <c r="C21" s="572">
        <f>1108.31+1850</f>
        <v>2958.31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2958.31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73">
        <v>27259641</v>
      </c>
      <c r="H23" s="619">
        <v>0.12678</v>
      </c>
      <c r="I23" s="196">
        <f t="shared" ref="I23:I31" si="0">G23*H23</f>
        <v>3455977.2859800002</v>
      </c>
      <c r="J23" s="200" t="s">
        <v>37</v>
      </c>
      <c r="K23" s="573">
        <v>12030330</v>
      </c>
      <c r="L23" s="619">
        <v>0.11330999999999999</v>
      </c>
      <c r="M23" s="196">
        <f>K23*L23</f>
        <v>1363156.6923</v>
      </c>
      <c r="N23" s="384"/>
    </row>
    <row r="24" spans="1:14" ht="15.75">
      <c r="A24" s="208" t="s">
        <v>186</v>
      </c>
      <c r="C24" s="312">
        <v>0</v>
      </c>
      <c r="D24" s="36"/>
      <c r="F24" s="200" t="s">
        <v>324</v>
      </c>
      <c r="G24" s="573">
        <v>40615</v>
      </c>
      <c r="H24" s="619">
        <v>0.12678</v>
      </c>
      <c r="I24" s="196">
        <f t="shared" si="0"/>
        <v>5149.1697000000004</v>
      </c>
      <c r="J24" s="200" t="s">
        <v>38</v>
      </c>
      <c r="K24" s="573">
        <v>3930876</v>
      </c>
      <c r="L24" s="619">
        <v>0.11330999999999999</v>
      </c>
      <c r="M24" s="196">
        <f t="shared" ref="M24:M27" si="1">K24*L24</f>
        <v>445407.55955999997</v>
      </c>
      <c r="N24" s="384"/>
    </row>
    <row r="25" spans="1:14" ht="15.75">
      <c r="A25" s="208" t="s">
        <v>189</v>
      </c>
      <c r="C25" s="314">
        <v>0</v>
      </c>
      <c r="D25" s="36"/>
      <c r="F25" s="200" t="s">
        <v>38</v>
      </c>
      <c r="G25" s="573">
        <v>8738107</v>
      </c>
      <c r="H25" s="619">
        <v>0.11865000000000001</v>
      </c>
      <c r="I25" s="196">
        <f t="shared" si="0"/>
        <v>1036776.39555</v>
      </c>
      <c r="J25" s="200" t="s">
        <v>39</v>
      </c>
      <c r="K25" s="573">
        <v>4671</v>
      </c>
      <c r="L25" s="619">
        <v>0.11330999999999999</v>
      </c>
      <c r="M25" s="196">
        <f t="shared" si="1"/>
        <v>529.27100999999993</v>
      </c>
      <c r="N25" s="384"/>
    </row>
    <row r="26" spans="1:14" ht="15.75">
      <c r="A26" s="209" t="s">
        <v>332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262"/>
      <c r="L26" s="619">
        <v>0.11330999999999999</v>
      </c>
      <c r="M26" s="196">
        <f t="shared" si="1"/>
        <v>0</v>
      </c>
      <c r="N26" s="384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284721</v>
      </c>
      <c r="H27" s="619">
        <v>0.11541</v>
      </c>
      <c r="I27" s="196">
        <f t="shared" si="0"/>
        <v>32859.650609999997</v>
      </c>
      <c r="J27" s="200" t="s">
        <v>41</v>
      </c>
      <c r="K27" s="262"/>
      <c r="L27" s="619">
        <v>0.11330999999999999</v>
      </c>
      <c r="M27" s="196">
        <f t="shared" si="1"/>
        <v>0</v>
      </c>
      <c r="N27" s="384"/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73">
        <v>64203</v>
      </c>
      <c r="H28" s="619">
        <v>0.11541</v>
      </c>
      <c r="I28" s="196">
        <f t="shared" si="0"/>
        <v>7409.6682300000002</v>
      </c>
      <c r="J28" s="199" t="s">
        <v>127</v>
      </c>
      <c r="K28" s="181">
        <f>SUM(K23:K27)</f>
        <v>15965877</v>
      </c>
      <c r="L28" s="182"/>
      <c r="M28" s="197">
        <f>SUM(M23:M27)</f>
        <v>1809093.52287</v>
      </c>
      <c r="N28" s="384"/>
    </row>
    <row r="29" spans="1:14" ht="17.25" thickTop="1" thickBot="1">
      <c r="A29" s="210" t="s">
        <v>167</v>
      </c>
      <c r="B29" s="38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15965877</v>
      </c>
      <c r="L29" s="187" t="s">
        <v>102</v>
      </c>
      <c r="M29" s="465">
        <f>M28/K28</f>
        <v>0.11330999999999999</v>
      </c>
      <c r="N29" s="384"/>
    </row>
    <row r="30" spans="1:14" ht="16.5" thickBot="1">
      <c r="A30" s="2" t="s">
        <v>111</v>
      </c>
      <c r="C30" s="125">
        <f>C7+C11+C14+C17+C20+C22+C27+C28+C29-0.01</f>
        <v>2485215.2799999998</v>
      </c>
      <c r="D30" s="37"/>
      <c r="F30" s="200" t="s">
        <v>43</v>
      </c>
      <c r="G30" s="573">
        <v>160387</v>
      </c>
      <c r="H30" s="619">
        <v>7.4310000000000001E-2</v>
      </c>
      <c r="I30" s="196">
        <f t="shared" si="0"/>
        <v>11918.357970000001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71">
        <v>0</v>
      </c>
      <c r="D31" s="39"/>
      <c r="F31" s="200" t="s">
        <v>74</v>
      </c>
      <c r="G31" s="573">
        <v>4261630</v>
      </c>
      <c r="H31" s="619">
        <v>5.4000000000000001E-4</v>
      </c>
      <c r="I31" s="196">
        <f t="shared" si="0"/>
        <v>2301.2802000000001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239">
        <f>C30+C31</f>
        <v>2485215.2799999998</v>
      </c>
      <c r="D32" s="40"/>
      <c r="F32" s="199" t="s">
        <v>127</v>
      </c>
      <c r="G32" s="181">
        <f>SUM(G23:G31)</f>
        <v>40809304</v>
      </c>
      <c r="H32" s="7"/>
      <c r="I32" s="197">
        <f>SUM(I23:I31)</f>
        <v>4552391.8082400002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311">
        <f>-C5-C9-C13-C16-C19</f>
        <v>-161562.11000000002</v>
      </c>
      <c r="D33" s="36"/>
      <c r="F33" s="186"/>
      <c r="G33" s="231">
        <v>40809304</v>
      </c>
      <c r="H33" s="187" t="s">
        <v>102</v>
      </c>
      <c r="I33" s="216">
        <f>I32/G32</f>
        <v>0.11155279218288065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2323653.17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v>12030330</v>
      </c>
      <c r="L36" s="619">
        <v>0.23895</v>
      </c>
      <c r="M36" s="196">
        <f t="shared" ref="M36:M42" si="2">K36*L36</f>
        <v>2874647.3534999997</v>
      </c>
      <c r="N36" s="384"/>
      <c r="P36" s="273"/>
      <c r="Q36" s="273"/>
    </row>
    <row r="37" spans="1:17" ht="15.75">
      <c r="A37" s="7" t="s">
        <v>129</v>
      </c>
      <c r="B37" s="86" t="s">
        <v>115</v>
      </c>
      <c r="C37" s="571">
        <f>19343086.88</f>
        <v>19343086.879999999</v>
      </c>
      <c r="D37" s="36"/>
      <c r="F37" s="200" t="s">
        <v>37</v>
      </c>
      <c r="G37" s="597">
        <v>27259641</v>
      </c>
      <c r="H37" s="619">
        <v>0.23860000000000001</v>
      </c>
      <c r="I37" s="196">
        <f t="shared" ref="I37:I44" si="3">G37*H37</f>
        <v>6504150.3426000001</v>
      </c>
      <c r="J37" s="200" t="s">
        <v>38</v>
      </c>
      <c r="K37" s="597">
        <v>3930876</v>
      </c>
      <c r="L37" s="619">
        <v>0.23895</v>
      </c>
      <c r="M37" s="196">
        <f t="shared" si="2"/>
        <v>939282.82019999996</v>
      </c>
      <c r="N37" s="384"/>
      <c r="P37" s="273"/>
      <c r="Q37" s="273"/>
    </row>
    <row r="38" spans="1:17" ht="15.75">
      <c r="A38" s="144" t="s">
        <v>14</v>
      </c>
      <c r="B38" s="86" t="s">
        <v>115</v>
      </c>
      <c r="C38" s="122">
        <v>0</v>
      </c>
      <c r="D38" s="36"/>
      <c r="F38" s="200" t="s">
        <v>324</v>
      </c>
      <c r="G38" s="597">
        <v>40615</v>
      </c>
      <c r="H38" s="619">
        <v>0.23860000000000001</v>
      </c>
      <c r="I38" s="196">
        <f t="shared" si="3"/>
        <v>9690.7389999999996</v>
      </c>
      <c r="J38" s="200" t="s">
        <v>39</v>
      </c>
      <c r="K38" s="597">
        <v>4671</v>
      </c>
      <c r="L38" s="619">
        <v>0.23895</v>
      </c>
      <c r="M38" s="196">
        <f t="shared" si="2"/>
        <v>1116.13545</v>
      </c>
      <c r="N38" s="384"/>
      <c r="P38" s="273"/>
      <c r="Q38" s="273"/>
    </row>
    <row r="39" spans="1:17" ht="15.75">
      <c r="A39" s="7" t="s">
        <v>146</v>
      </c>
      <c r="B39" s="86" t="s">
        <v>147</v>
      </c>
      <c r="C39" s="571">
        <v>-10239.61</v>
      </c>
      <c r="D39" s="36"/>
      <c r="F39" s="200" t="s">
        <v>38</v>
      </c>
      <c r="G39" s="597">
        <v>8738107</v>
      </c>
      <c r="H39" s="619">
        <v>0.23860000000000001</v>
      </c>
      <c r="I39" s="196">
        <f t="shared" si="3"/>
        <v>2084912.3302</v>
      </c>
      <c r="J39" s="200" t="s">
        <v>40</v>
      </c>
      <c r="K39" s="263">
        <f>K26</f>
        <v>0</v>
      </c>
      <c r="L39" s="619">
        <v>0.23895</v>
      </c>
      <c r="M39" s="196">
        <f t="shared" si="2"/>
        <v>0</v>
      </c>
      <c r="N39" s="384"/>
      <c r="P39" s="273"/>
      <c r="Q39" s="273"/>
    </row>
    <row r="40" spans="1:17" ht="15.75">
      <c r="A40" s="7" t="s">
        <v>131</v>
      </c>
      <c r="B40" s="86" t="s">
        <v>132</v>
      </c>
      <c r="C40" s="571">
        <v>-853032.32</v>
      </c>
      <c r="D40" s="36"/>
      <c r="F40" s="200" t="s">
        <v>39</v>
      </c>
      <c r="G40" s="597">
        <v>0</v>
      </c>
      <c r="H40" s="619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619">
        <v>0.23895</v>
      </c>
      <c r="M40" s="196">
        <f t="shared" si="2"/>
        <v>0</v>
      </c>
      <c r="N40" s="384"/>
      <c r="P40" s="273"/>
      <c r="Q40" s="273"/>
    </row>
    <row r="41" spans="1:17" ht="15.75">
      <c r="A41" s="7" t="s">
        <v>153</v>
      </c>
      <c r="B41" s="6" t="s">
        <v>155</v>
      </c>
      <c r="C41" s="571">
        <v>-47825.93</v>
      </c>
      <c r="D41" s="36"/>
      <c r="F41" s="200" t="s">
        <v>40</v>
      </c>
      <c r="G41" s="597">
        <v>284721</v>
      </c>
      <c r="H41" s="619">
        <v>0.23860000000000001</v>
      </c>
      <c r="I41" s="196">
        <f t="shared" si="3"/>
        <v>67934.430600000007</v>
      </c>
      <c r="J41" s="200" t="s">
        <v>42</v>
      </c>
      <c r="K41" s="262">
        <v>0</v>
      </c>
      <c r="L41" s="619">
        <v>0.23895</v>
      </c>
      <c r="M41" s="196">
        <f t="shared" si="2"/>
        <v>0</v>
      </c>
      <c r="N41" s="384"/>
      <c r="P41" s="273"/>
      <c r="Q41" s="273"/>
    </row>
    <row r="42" spans="1:17" ht="16.5" thickBot="1">
      <c r="A42" s="7" t="s">
        <v>178</v>
      </c>
      <c r="B42" s="229" t="s">
        <v>179</v>
      </c>
      <c r="C42" s="571">
        <f>1065564.73</f>
        <v>1065564.73</v>
      </c>
      <c r="D42" s="37"/>
      <c r="F42" s="200" t="s">
        <v>41</v>
      </c>
      <c r="G42" s="597">
        <v>64203</v>
      </c>
      <c r="H42" s="619">
        <v>0.23860000000000001</v>
      </c>
      <c r="I42" s="196">
        <f t="shared" si="3"/>
        <v>15318.835800000001</v>
      </c>
      <c r="J42" s="200" t="s">
        <v>43</v>
      </c>
      <c r="K42" s="264">
        <v>0</v>
      </c>
      <c r="L42" s="619">
        <v>0.23895</v>
      </c>
      <c r="M42" s="196">
        <f t="shared" si="2"/>
        <v>0</v>
      </c>
      <c r="N42" s="384"/>
      <c r="P42" s="273"/>
      <c r="Q42" s="273"/>
    </row>
    <row r="43" spans="1:17" ht="16.5" thickBot="1">
      <c r="A43" s="85" t="s">
        <v>123</v>
      </c>
      <c r="B43" s="12"/>
      <c r="C43" s="125">
        <f>SUM(C37:C42)</f>
        <v>19497553.75</v>
      </c>
      <c r="D43" s="36"/>
      <c r="F43" s="200" t="s">
        <v>42</v>
      </c>
      <c r="G43" s="597"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15965877</v>
      </c>
      <c r="L43" s="182"/>
      <c r="M43" s="197">
        <f>SUM(M36:M42)</f>
        <v>3815046.3091499996</v>
      </c>
    </row>
    <row r="44" spans="1:17" ht="16.5" thickBot="1">
      <c r="A44" s="83" t="s">
        <v>177</v>
      </c>
      <c r="B44" s="84" t="s">
        <v>120</v>
      </c>
      <c r="C44" s="571">
        <f>3027324.42-94428.01</f>
        <v>2932896.41</v>
      </c>
      <c r="D44" s="37"/>
      <c r="F44" s="200" t="s">
        <v>43</v>
      </c>
      <c r="G44" s="597">
        <v>160387</v>
      </c>
      <c r="H44" s="619">
        <v>0.23860000000000001</v>
      </c>
      <c r="I44" s="196">
        <f t="shared" si="3"/>
        <v>38268.338199999998</v>
      </c>
      <c r="J44" s="194"/>
      <c r="K44" s="232">
        <v>15965877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36547674</v>
      </c>
      <c r="H45" s="182"/>
      <c r="I45" s="197">
        <f>SUM(I37:I44)</f>
        <v>8720275.0164000001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36547674</v>
      </c>
      <c r="H46" s="189" t="s">
        <v>102</v>
      </c>
      <c r="I46" s="215">
        <f>I45/G45</f>
        <v>0.23860000000000001</v>
      </c>
      <c r="J46" s="124"/>
      <c r="K46" s="230"/>
      <c r="L46" s="385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71">
        <v>24405.67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71">
        <v>3859.72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327</v>
      </c>
      <c r="B51" s="452" t="s">
        <v>152</v>
      </c>
      <c r="C51" s="571">
        <v>15384.65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100">
        <f>-C33</f>
        <v>161562.11000000002</v>
      </c>
      <c r="D52" s="33"/>
      <c r="F52" s="38" t="s">
        <v>136</v>
      </c>
      <c r="G52" s="38"/>
      <c r="H52" s="212">
        <f>K12</f>
        <v>8228898.8463199986</v>
      </c>
      <c r="I52" s="115">
        <f>I14</f>
        <v>1638872.5808010001</v>
      </c>
      <c r="J52" s="115">
        <f>L12</f>
        <v>3597318.8736799997</v>
      </c>
      <c r="K52" s="115">
        <f>J14</f>
        <v>684780.58919900004</v>
      </c>
      <c r="L52" s="132">
        <f>SUM(H52:K52)</f>
        <v>14149870.889999997</v>
      </c>
      <c r="M52" s="38"/>
    </row>
    <row r="53" spans="1:21" ht="16.5" thickBot="1">
      <c r="A53" s="382" t="s">
        <v>124</v>
      </c>
      <c r="B53" s="473" t="s">
        <v>313</v>
      </c>
      <c r="C53" s="571">
        <f>1672102.78-7513762.87-4639080.3</f>
        <v>-10480740.390000001</v>
      </c>
      <c r="D53" s="36"/>
      <c r="F53" s="1" t="s">
        <v>109</v>
      </c>
      <c r="H53" s="212">
        <f>-I45</f>
        <v>-8720275.0164000001</v>
      </c>
      <c r="I53" s="115">
        <f>-I32</f>
        <v>-4552391.8082400002</v>
      </c>
      <c r="J53" s="115">
        <f>-M43</f>
        <v>-3815046.3091499996</v>
      </c>
      <c r="K53" s="115">
        <f>-M28</f>
        <v>-1809093.52287</v>
      </c>
      <c r="L53" s="261">
        <f>SUM(H53:K53)</f>
        <v>-18896806.656660002</v>
      </c>
    </row>
    <row r="54" spans="1:21" ht="16.5" thickBot="1">
      <c r="A54" s="1" t="s">
        <v>331</v>
      </c>
      <c r="B54" s="6" t="s">
        <v>190</v>
      </c>
      <c r="C54" s="571">
        <v>-375000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-4746935.7666600049</v>
      </c>
    </row>
    <row r="55" spans="1:21" ht="16.5" thickBot="1">
      <c r="A55" s="82" t="s">
        <v>119</v>
      </c>
      <c r="B55" s="84"/>
      <c r="C55" s="160">
        <f>SUM(C43:C54)</f>
        <v>11786921.919999998</v>
      </c>
      <c r="D55" s="36"/>
      <c r="F55" s="1" t="s">
        <v>71</v>
      </c>
      <c r="H55" s="125">
        <f>H52+H53+H54</f>
        <v>-491376.17008000147</v>
      </c>
      <c r="I55" s="125">
        <f>I52+I53+I54</f>
        <v>-2913519.2274390003</v>
      </c>
      <c r="J55" s="125">
        <f>J52+J53+J54</f>
        <v>-217727.43546999991</v>
      </c>
      <c r="K55" s="125">
        <f>K52+K53+K54</f>
        <v>-1124312.9336709999</v>
      </c>
      <c r="L55" s="47">
        <f>SUM(H55:K55)</f>
        <v>-4746935.7666600011</v>
      </c>
    </row>
    <row r="56" spans="1:21" ht="17.25" thickTop="1" thickBot="1">
      <c r="A56" s="1" t="s">
        <v>121</v>
      </c>
      <c r="B56" s="6" t="s">
        <v>115</v>
      </c>
      <c r="C56" s="571">
        <v>25201.19</v>
      </c>
      <c r="D56" s="36"/>
      <c r="F56" s="240" t="s">
        <v>181</v>
      </c>
      <c r="H56" s="1" t="s">
        <v>173</v>
      </c>
      <c r="I56" s="5">
        <f>SUM(H55:I55)</f>
        <v>-3404895.3975190017</v>
      </c>
      <c r="J56" s="15" t="s">
        <v>174</v>
      </c>
      <c r="K56" s="1">
        <f>SUM(J55:K55)</f>
        <v>-1342040.3691409999</v>
      </c>
      <c r="L56" s="213">
        <f>ROUND(L54-L55,3)</f>
        <v>0</v>
      </c>
      <c r="T56" s="42"/>
    </row>
    <row r="57" spans="1:21" ht="16.5" thickTop="1">
      <c r="A57" s="1" t="s">
        <v>122</v>
      </c>
      <c r="B57" s="6" t="s">
        <v>115</v>
      </c>
      <c r="C57" s="571">
        <v>14094.61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11826217.719999997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14149870.889999997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350">
        <v>14149870.890000001</v>
      </c>
      <c r="D61" s="37"/>
      <c r="H61" s="349">
        <f ca="1">SUM('WA - Def-Amtz (Jan)'!BJ5:BJ10,'WA - Def-Amtz (Jan)'!BJ41:BJ46,'WA - Def-Amtz (Jan)'!BJ76:BJ79,'ID - Def-Amtz (Jan)'!BK5:BK10,'ID - Def-Amtz (Jan)'!BK42:BK47,'ID - Def-Amtz (Jan)'!BK75:BK80)</f>
        <v>9412633.2612029873</v>
      </c>
      <c r="I61" s="449">
        <f>SUM('WA - Def-Amtz (Jan)'!BK5:BK10,'WA - Def-Amtz (Jan)'!BK41:BK46,'WA - Def-Amtz (Jan)'!BK76:BK79,'ID - Def-Amtz (Jan)'!BL5:BL10,'ID - Def-Amtz (Jan)'!BL42:BL47,'ID - Def-Amtz (Jan)'!BL75:BL80)</f>
        <v>9412633.2612029873</v>
      </c>
      <c r="J61" s="1">
        <f>H53+I53+J53+K53</f>
        <v>-18896806.656660002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135">
        <f ca="1">H61-I61</f>
        <v>0</v>
      </c>
      <c r="N62" s="5"/>
      <c r="O62" s="5"/>
      <c r="P62" s="21"/>
    </row>
    <row r="63" spans="1:21" ht="15.75">
      <c r="A63" s="44"/>
      <c r="C63" s="351"/>
      <c r="D63" s="36"/>
      <c r="G63" s="384"/>
      <c r="H63" s="384"/>
      <c r="I63" s="384"/>
      <c r="J63" s="384"/>
      <c r="S63" s="6"/>
    </row>
    <row r="64" spans="1:21" ht="15.75">
      <c r="A64" s="44"/>
      <c r="C64" s="8"/>
      <c r="D64" s="43"/>
      <c r="G64" s="384"/>
      <c r="H64" s="384"/>
      <c r="I64" s="384"/>
      <c r="J64" s="384"/>
      <c r="N64" s="22"/>
      <c r="U64" s="2"/>
    </row>
    <row r="65" spans="1:21" ht="15.75">
      <c r="A65" s="2"/>
      <c r="C65" s="8"/>
      <c r="D65" s="36"/>
      <c r="G65" s="384"/>
      <c r="H65" s="384"/>
      <c r="I65" s="384"/>
      <c r="J65" s="384"/>
      <c r="N65" s="22"/>
      <c r="S65" s="23"/>
    </row>
    <row r="66" spans="1:21">
      <c r="C66" s="100"/>
      <c r="D66" s="36"/>
      <c r="G66" s="384"/>
      <c r="H66" s="96"/>
      <c r="I66" s="384"/>
      <c r="J66" s="384"/>
      <c r="N66" s="22"/>
      <c r="S66" s="24"/>
    </row>
    <row r="67" spans="1:21">
      <c r="D67" s="36"/>
      <c r="G67" s="384"/>
      <c r="H67" s="384"/>
      <c r="I67" s="384"/>
      <c r="J67" s="384"/>
      <c r="N67" s="22"/>
      <c r="S67" s="25"/>
    </row>
    <row r="68" spans="1:21">
      <c r="D68" s="36"/>
      <c r="G68" s="384"/>
      <c r="H68" s="384"/>
      <c r="I68" s="384"/>
      <c r="J68" s="384"/>
      <c r="N68" s="22"/>
      <c r="S68" s="24"/>
    </row>
    <row r="69" spans="1:21">
      <c r="D69" s="37"/>
      <c r="G69" s="384"/>
      <c r="H69" s="384"/>
      <c r="I69" s="384"/>
      <c r="J69" s="384"/>
      <c r="N69" s="22"/>
    </row>
    <row r="70" spans="1:21">
      <c r="D70" s="36"/>
      <c r="G70" s="384"/>
      <c r="H70" s="384"/>
      <c r="I70" s="384"/>
      <c r="J70" s="384"/>
      <c r="N70" s="22"/>
      <c r="S70" s="26"/>
    </row>
    <row r="71" spans="1:21">
      <c r="D71" s="36"/>
      <c r="G71" s="384"/>
      <c r="H71" s="384"/>
      <c r="I71" s="384"/>
      <c r="J71" s="384"/>
    </row>
    <row r="72" spans="1:21">
      <c r="D72" s="36"/>
      <c r="G72" s="384"/>
      <c r="H72" s="384"/>
      <c r="I72" s="384"/>
      <c r="J72" s="384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831" priority="27" stopIfTrue="1" operator="equal">
      <formula>0</formula>
    </cfRule>
    <cfRule type="cellIs" dxfId="830" priority="28" stopIfTrue="1" operator="notEqual">
      <formula>0</formula>
    </cfRule>
  </conditionalFormatting>
  <conditionalFormatting sqref="G34 G47 K30 K45:K47">
    <cfRule type="cellIs" dxfId="829" priority="20" operator="notEqual">
      <formula>0</formula>
    </cfRule>
  </conditionalFormatting>
  <conditionalFormatting sqref="C62">
    <cfRule type="cellIs" dxfId="828" priority="14" stopIfTrue="1" operator="equal">
      <formula>0</formula>
    </cfRule>
    <cfRule type="cellIs" dxfId="827" priority="15" stopIfTrue="1" operator="notEqual">
      <formula>0</formula>
    </cfRule>
  </conditionalFormatting>
  <conditionalFormatting sqref="K30">
    <cfRule type="cellIs" dxfId="826" priority="13" operator="notEqual">
      <formula>0</formula>
    </cfRule>
  </conditionalFormatting>
  <conditionalFormatting sqref="G59">
    <cfRule type="cellIs" dxfId="825" priority="2" operator="equal">
      <formula>"ERROR"</formula>
    </cfRule>
  </conditionalFormatting>
  <conditionalFormatting sqref="G59">
    <cfRule type="cellIs" dxfId="82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31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4" width="16" style="384"/>
    <col min="15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Jan!C1+1</f>
        <v>201702</v>
      </c>
      <c r="F1" s="532">
        <f>C1</f>
        <v>201702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f>4153143.02</f>
        <v>4153143.02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96376.73-660.78</f>
        <v>95715.95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0.70730000000000004</v>
      </c>
      <c r="L5" s="445">
        <f>1-K5</f>
        <v>0.29269999999999996</v>
      </c>
      <c r="M5" s="385"/>
    </row>
    <row r="6" spans="1:13" ht="16.5" thickBot="1">
      <c r="A6" s="49" t="s">
        <v>30</v>
      </c>
      <c r="C6" s="572">
        <f>-74046-92482.88-2116315.04-401800-114800-129150</f>
        <v>-2928593.92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1320265.0499999998</v>
      </c>
      <c r="D7" s="35"/>
      <c r="F7" s="166" t="s">
        <v>139</v>
      </c>
      <c r="G7" s="166"/>
      <c r="H7" s="125">
        <f>C34</f>
        <v>2128840.1299999994</v>
      </c>
      <c r="I7" s="167">
        <f>H7*I5</f>
        <v>1501470.9436889996</v>
      </c>
      <c r="J7" s="167">
        <f>H7*J5</f>
        <v>627369.18631099991</v>
      </c>
      <c r="K7" s="167"/>
      <c r="L7" s="167"/>
      <c r="M7" s="385"/>
    </row>
    <row r="8" spans="1:13" ht="15.75">
      <c r="A8" s="384" t="s">
        <v>89</v>
      </c>
      <c r="C8" s="571">
        <f>228271.63</f>
        <v>228271.63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198.93+8119.25</f>
        <v>8318.18</v>
      </c>
      <c r="D9" s="36"/>
      <c r="F9" s="166" t="s">
        <v>119</v>
      </c>
      <c r="G9" s="385"/>
      <c r="H9" s="167">
        <f>C55</f>
        <v>8714199.4400000013</v>
      </c>
      <c r="I9" s="167"/>
      <c r="J9" s="167"/>
      <c r="K9" s="167">
        <f>H9*K5</f>
        <v>6163553.2639120016</v>
      </c>
      <c r="L9" s="167">
        <f>H9*L5</f>
        <v>2550646.1760880002</v>
      </c>
      <c r="M9" s="385"/>
    </row>
    <row r="10" spans="1:13" ht="15.75">
      <c r="A10" s="49" t="s">
        <v>91</v>
      </c>
      <c r="C10" s="572">
        <v>-3087.64</v>
      </c>
      <c r="D10" s="36"/>
      <c r="F10" s="169" t="s">
        <v>44</v>
      </c>
      <c r="G10" s="385"/>
      <c r="H10" s="167">
        <f>C56</f>
        <v>84716.23</v>
      </c>
      <c r="I10" s="167"/>
      <c r="J10" s="167"/>
      <c r="K10" s="167">
        <f>H10</f>
        <v>84716.23</v>
      </c>
      <c r="L10" s="167"/>
      <c r="M10" s="385"/>
    </row>
    <row r="11" spans="1:13">
      <c r="A11" s="66" t="s">
        <v>145</v>
      </c>
      <c r="C11" s="100">
        <f>SUM(C8:C10)</f>
        <v>233502.16999999998</v>
      </c>
      <c r="D11" s="36"/>
      <c r="F11" s="169" t="s">
        <v>45</v>
      </c>
      <c r="G11" s="385"/>
      <c r="H11" s="170">
        <f>C57</f>
        <v>38399.410000000003</v>
      </c>
      <c r="I11" s="167"/>
      <c r="J11" s="167"/>
      <c r="K11" s="170"/>
      <c r="L11" s="170">
        <f>H11</f>
        <v>38399.410000000003</v>
      </c>
      <c r="M11" s="385"/>
    </row>
    <row r="12" spans="1:13" ht="15.75">
      <c r="A12" s="384" t="s">
        <v>165</v>
      </c>
      <c r="C12" s="571">
        <f>178605.37-2492.27</f>
        <v>176113.1</v>
      </c>
      <c r="D12" s="36"/>
      <c r="F12" s="169" t="s">
        <v>138</v>
      </c>
      <c r="G12" s="385"/>
      <c r="H12" s="167">
        <f>H9+H10+H11</f>
        <v>8837315.0800000019</v>
      </c>
      <c r="I12" s="167"/>
      <c r="J12" s="167"/>
      <c r="K12" s="167">
        <f>SUM(K9:K11)</f>
        <v>6248269.4939120021</v>
      </c>
      <c r="L12" s="167">
        <f>SUM(L9:L11)</f>
        <v>2589045.5860880003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176113.1</v>
      </c>
      <c r="D14" s="37"/>
      <c r="F14" s="50" t="s">
        <v>69</v>
      </c>
      <c r="G14" s="175"/>
      <c r="H14" s="125">
        <f>H12+H7</f>
        <v>10966155.210000001</v>
      </c>
      <c r="I14" s="176">
        <f>SUM(I7:I13)</f>
        <v>1501470.9436889996</v>
      </c>
      <c r="J14" s="176">
        <f>SUM(J7:J13)</f>
        <v>627369.18631099991</v>
      </c>
      <c r="K14" s="176">
        <f>K12</f>
        <v>6248269.4939120021</v>
      </c>
      <c r="L14" s="176">
        <f>L12</f>
        <v>2589045.5860880003</v>
      </c>
      <c r="M14" s="385"/>
    </row>
    <row r="15" spans="1:13" ht="15.75">
      <c r="A15" s="384" t="s">
        <v>183</v>
      </c>
      <c r="C15" s="571">
        <f>441015.98-6270.12</f>
        <v>434745.86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434745.86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9774.7+64533.97-990.25</f>
        <v>73318.42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72">
        <v>3763.45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77081.87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1850+2008.09</f>
        <v>3858.09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3858.09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19157522</v>
      </c>
      <c r="H23" s="619">
        <v>0.12678</v>
      </c>
      <c r="I23" s="196">
        <f t="shared" ref="I23:I31" si="0">G23*H23</f>
        <v>2428790.6391600003</v>
      </c>
      <c r="J23" s="200" t="s">
        <v>37</v>
      </c>
      <c r="K23" s="573">
        <v>8205105</v>
      </c>
      <c r="L23" s="619">
        <v>0.11330999999999999</v>
      </c>
      <c r="M23" s="196">
        <f>K23*L23</f>
        <v>929720.44754999992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3">
        <v>29103</v>
      </c>
      <c r="H24" s="619">
        <v>0.12678</v>
      </c>
      <c r="I24" s="196">
        <f t="shared" si="0"/>
        <v>3689.6783399999999</v>
      </c>
      <c r="J24" s="200" t="s">
        <v>38</v>
      </c>
      <c r="K24" s="573">
        <v>2972280</v>
      </c>
      <c r="L24" s="619">
        <v>0.11330999999999999</v>
      </c>
      <c r="M24" s="196">
        <f t="shared" ref="M24:M27" si="1">K24*L24</f>
        <v>336789.04680000001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7258148</v>
      </c>
      <c r="H25" s="619">
        <v>0.11865000000000001</v>
      </c>
      <c r="I25" s="196">
        <f t="shared" si="0"/>
        <v>861179.26020000002</v>
      </c>
      <c r="J25" s="200" t="s">
        <v>39</v>
      </c>
      <c r="K25" s="573">
        <v>10876</v>
      </c>
      <c r="L25" s="619">
        <v>0.11330999999999999</v>
      </c>
      <c r="M25" s="196">
        <f t="shared" si="1"/>
        <v>1232.3595599999999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573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399264</v>
      </c>
      <c r="H27" s="619">
        <v>0.11541</v>
      </c>
      <c r="I27" s="196">
        <f t="shared" si="0"/>
        <v>46079.058239999998</v>
      </c>
      <c r="J27" s="200" t="s">
        <v>41</v>
      </c>
      <c r="K27" s="573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55333</v>
      </c>
      <c r="H28" s="619">
        <v>0.11541</v>
      </c>
      <c r="I28" s="196">
        <f t="shared" si="0"/>
        <v>6385.98153</v>
      </c>
      <c r="J28" s="199" t="s">
        <v>127</v>
      </c>
      <c r="K28" s="181">
        <f>SUM(K23:K27)</f>
        <v>11188261</v>
      </c>
      <c r="L28" s="182"/>
      <c r="M28" s="197">
        <f>SUM(M23:M27)</f>
        <v>1267741.8539099998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11188261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2245566.1399999997</v>
      </c>
      <c r="D30" s="37"/>
      <c r="F30" s="200" t="s">
        <v>43</v>
      </c>
      <c r="G30" s="573">
        <v>131982</v>
      </c>
      <c r="H30" s="619">
        <v>7.4310000000000001E-2</v>
      </c>
      <c r="I30" s="196">
        <f t="shared" si="0"/>
        <v>9807.5824200000006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v>-8928.43</v>
      </c>
      <c r="D31" s="39"/>
      <c r="F31" s="200" t="s">
        <v>74</v>
      </c>
      <c r="G31" s="573">
        <v>3513623</v>
      </c>
      <c r="H31" s="619">
        <v>5.4000000000000001E-4</v>
      </c>
      <c r="I31" s="196">
        <f t="shared" si="0"/>
        <v>1897.3564200000001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95">
        <f>C30+C31</f>
        <v>2236637.7099999995</v>
      </c>
      <c r="D32" s="40"/>
      <c r="F32" s="199" t="s">
        <v>127</v>
      </c>
      <c r="G32" s="181">
        <f>SUM(G23:G31)</f>
        <v>30544975</v>
      </c>
      <c r="H32" s="7"/>
      <c r="I32" s="197">
        <f>SUM(I23:I31)</f>
        <v>3357829.5563100004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-107797.58</v>
      </c>
      <c r="D33" s="36"/>
      <c r="F33" s="186"/>
      <c r="G33" s="231">
        <v>30544975</v>
      </c>
      <c r="H33" s="187" t="s">
        <v>102</v>
      </c>
      <c r="I33" s="216">
        <f>I32/G32</f>
        <v>0.10993066965384651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2128840.1299999994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8205105</v>
      </c>
      <c r="L36" s="619">
        <v>0.23895</v>
      </c>
      <c r="M36" s="196">
        <f t="shared" ref="M36:M42" si="2">K36*L36</f>
        <v>1960609.83975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10130075.869999999</v>
      </c>
      <c r="D37" s="36"/>
      <c r="F37" s="200" t="s">
        <v>37</v>
      </c>
      <c r="G37" s="597">
        <v>19157522</v>
      </c>
      <c r="H37" s="619">
        <v>0.23860000000000001</v>
      </c>
      <c r="I37" s="196">
        <f t="shared" ref="I37:I44" si="3">G37*H37</f>
        <v>4570984.7492000004</v>
      </c>
      <c r="J37" s="200" t="s">
        <v>38</v>
      </c>
      <c r="K37" s="597">
        <f>K24</f>
        <v>2972280</v>
      </c>
      <c r="L37" s="619">
        <v>0.23895</v>
      </c>
      <c r="M37" s="196">
        <f t="shared" si="2"/>
        <v>710226.30599999998</v>
      </c>
      <c r="P37" s="273"/>
      <c r="Q37" s="273"/>
    </row>
    <row r="38" spans="1:17" ht="15.75">
      <c r="A38" s="144" t="s">
        <v>14</v>
      </c>
      <c r="B38" s="538" t="s">
        <v>115</v>
      </c>
      <c r="C38" s="122">
        <v>0</v>
      </c>
      <c r="D38" s="36"/>
      <c r="F38" s="200" t="s">
        <v>324</v>
      </c>
      <c r="G38" s="597">
        <v>29103</v>
      </c>
      <c r="H38" s="619">
        <v>0.23860000000000001</v>
      </c>
      <c r="I38" s="196">
        <f t="shared" si="3"/>
        <v>6943.9758000000002</v>
      </c>
      <c r="J38" s="200" t="s">
        <v>39</v>
      </c>
      <c r="K38" s="597">
        <f>K25</f>
        <v>10876</v>
      </c>
      <c r="L38" s="619">
        <v>0.23895</v>
      </c>
      <c r="M38" s="196">
        <f t="shared" si="2"/>
        <v>2598.8202000000001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-96409.49</v>
      </c>
      <c r="D39" s="36"/>
      <c r="F39" s="200" t="s">
        <v>38</v>
      </c>
      <c r="G39" s="597">
        <v>7258148</v>
      </c>
      <c r="H39" s="619">
        <v>0.23860000000000001</v>
      </c>
      <c r="I39" s="196">
        <f t="shared" si="3"/>
        <v>1731794.1128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697370.8</v>
      </c>
      <c r="D40" s="36"/>
      <c r="F40" s="200" t="s">
        <v>39</v>
      </c>
      <c r="G40" s="597">
        <f t="shared" ref="G40:G43" si="4">G26</f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41212.58</v>
      </c>
      <c r="D41" s="36"/>
      <c r="F41" s="200" t="s">
        <v>40</v>
      </c>
      <c r="G41" s="597">
        <v>399264</v>
      </c>
      <c r="H41" s="619">
        <v>0.23860000000000001</v>
      </c>
      <c r="I41" s="196">
        <f t="shared" si="3"/>
        <v>95264.390400000004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723815.09</v>
      </c>
      <c r="D42" s="37"/>
      <c r="F42" s="200" t="s">
        <v>41</v>
      </c>
      <c r="G42" s="597">
        <v>55333</v>
      </c>
      <c r="H42" s="619">
        <v>0.23860000000000001</v>
      </c>
      <c r="I42" s="196">
        <f t="shared" si="3"/>
        <v>13202.453800000001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11496064.85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11188261</v>
      </c>
      <c r="L43" s="182"/>
      <c r="M43" s="197">
        <f>SUM(M36:M42)</f>
        <v>2673434.9659500001</v>
      </c>
    </row>
    <row r="44" spans="1:17" ht="16.5" thickBot="1">
      <c r="A44" s="83" t="s">
        <v>177</v>
      </c>
      <c r="B44" s="84" t="s">
        <v>120</v>
      </c>
      <c r="C44" s="571">
        <f>-349445.97+2637264.49+2036.6</f>
        <v>2289855.1200000006</v>
      </c>
      <c r="D44" s="37"/>
      <c r="F44" s="200" t="s">
        <v>43</v>
      </c>
      <c r="G44" s="597">
        <v>131982</v>
      </c>
      <c r="H44" s="619">
        <v>0.23860000000000001</v>
      </c>
      <c r="I44" s="196">
        <f t="shared" si="3"/>
        <v>31490.905200000001</v>
      </c>
      <c r="J44" s="194"/>
      <c r="K44" s="232">
        <v>11188261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27031352</v>
      </c>
      <c r="H45" s="182"/>
      <c r="I45" s="197">
        <f>SUM(I37:I44)</f>
        <v>6449680.5872000009</v>
      </c>
      <c r="J45" s="85"/>
      <c r="K45" s="230">
        <f>K43-K44</f>
        <v>0</v>
      </c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27031352</v>
      </c>
      <c r="H46" s="189" t="s">
        <v>102</v>
      </c>
      <c r="I46" s="215">
        <f>I45/G45</f>
        <v>0.23860000000000003</v>
      </c>
      <c r="J46" s="85"/>
      <c r="K46" s="231"/>
      <c r="L46" s="187"/>
      <c r="M46" s="567"/>
    </row>
    <row r="47" spans="1:17" ht="15.75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27793.919999999998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5264.82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13341.55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96">
        <f>-C33</f>
        <v>107797.58</v>
      </c>
      <c r="D52" s="33"/>
      <c r="F52" s="385" t="s">
        <v>136</v>
      </c>
      <c r="G52" s="385"/>
      <c r="H52" s="212">
        <f>K12</f>
        <v>6248269.4939120021</v>
      </c>
      <c r="I52" s="115">
        <f>I14</f>
        <v>1501470.9436889996</v>
      </c>
      <c r="J52" s="115">
        <f>L12</f>
        <v>2589045.5860880003</v>
      </c>
      <c r="K52" s="115">
        <f>J14</f>
        <v>627369.18631099991</v>
      </c>
      <c r="L52" s="132">
        <f>SUM(H52:K52)</f>
        <v>10966155.210000001</v>
      </c>
      <c r="M52" s="385"/>
    </row>
    <row r="53" spans="1:21" ht="16.5" thickBot="1">
      <c r="A53" s="382" t="s">
        <v>124</v>
      </c>
      <c r="B53" s="473" t="s">
        <v>313</v>
      </c>
      <c r="C53" s="571">
        <f>143797.5-2735388.45-2266327.45</f>
        <v>-4857918.4000000004</v>
      </c>
      <c r="D53" s="36"/>
      <c r="F53" s="384" t="s">
        <v>109</v>
      </c>
      <c r="H53" s="212">
        <f>-I45</f>
        <v>-6449680.5872000009</v>
      </c>
      <c r="I53" s="115">
        <f>-I32</f>
        <v>-3357829.5563100004</v>
      </c>
      <c r="J53" s="115">
        <f>-M43</f>
        <v>-2673434.9659500001</v>
      </c>
      <c r="K53" s="115">
        <f>-M28</f>
        <v>-1267741.8539099998</v>
      </c>
      <c r="L53" s="261">
        <f>SUM(H53:K53)</f>
        <v>-13748686.963369999</v>
      </c>
    </row>
    <row r="54" spans="1:21" ht="16.5" thickBot="1">
      <c r="A54" s="384" t="s">
        <v>331</v>
      </c>
      <c r="B54" s="6" t="s">
        <v>190</v>
      </c>
      <c r="C54" s="571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-2782531.7533699982</v>
      </c>
    </row>
    <row r="55" spans="1:21" ht="16.5" thickBot="1">
      <c r="A55" s="82" t="s">
        <v>119</v>
      </c>
      <c r="B55" s="84"/>
      <c r="C55" s="160">
        <f>SUM(C43:C54)</f>
        <v>8714199.4400000013</v>
      </c>
      <c r="D55" s="36"/>
      <c r="F55" s="384" t="s">
        <v>71</v>
      </c>
      <c r="H55" s="125">
        <f>IFERROR(H52+H53+H54,0)</f>
        <v>-201411.09328799881</v>
      </c>
      <c r="I55" s="125">
        <f>I52+I53+I54</f>
        <v>-1856358.6126210007</v>
      </c>
      <c r="J55" s="125">
        <f>IFERROR(J52+J53+J54,0)</f>
        <v>-84389.379861999769</v>
      </c>
      <c r="K55" s="125">
        <f>K52+K53+K54</f>
        <v>-640372.66759899992</v>
      </c>
      <c r="L55" s="47">
        <f>SUM(H55:K55)</f>
        <v>-2782531.7533699991</v>
      </c>
    </row>
    <row r="56" spans="1:21" ht="17.25" thickTop="1" thickBot="1">
      <c r="A56" s="384" t="s">
        <v>121</v>
      </c>
      <c r="B56" s="6" t="s">
        <v>115</v>
      </c>
      <c r="C56" s="571">
        <f>84716.23</f>
        <v>84716.23</v>
      </c>
      <c r="D56" s="36"/>
      <c r="F56" s="240" t="s">
        <v>181</v>
      </c>
      <c r="H56" s="384" t="s">
        <v>173</v>
      </c>
      <c r="I56" s="5">
        <f>SUM(H55:I55)</f>
        <v>-2057769.7059089995</v>
      </c>
      <c r="J56" s="15" t="s">
        <v>174</v>
      </c>
      <c r="K56" s="384">
        <f>SUM(J55:K55)</f>
        <v>-724762.04746099969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71">
        <f>38399.41</f>
        <v>38399.410000000003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8837315.0800000019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10966155.210000001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99">
        <v>10966155.210000001</v>
      </c>
      <c r="D61" s="37"/>
      <c r="H61" s="349">
        <f>SUM('WA - Def-Amtz (Feb)'!BJ5:BJ10,'WA - Def-Amtz (Feb)'!BJ41:BJ46,'WA - Def-Amtz (Feb)'!BJ76:BJ79,'ID - Def-Amtz (Feb)'!BK5:BK10,'ID - Def-Amtz (Feb)'!BK42:BK47,'ID - Def-Amtz (Feb)'!BK75:BK80)</f>
        <v>6164631.2012207974</v>
      </c>
      <c r="I61" s="449">
        <f>SUM('WA - Def-Amtz (Feb)'!BK5:BK10,'WA - Def-Amtz (Feb)'!BK41:BK46,'WA - Def-Amtz (Feb)'!BK76:BK79,'ID - Def-Amtz (Feb)'!BL5:BL10,'ID - Def-Amtz (Feb)'!BL42:BL47,'ID - Def-Amtz (Feb)'!BL75:BL80)</f>
        <v>6164631.2012207983</v>
      </c>
      <c r="J61" s="384">
        <f>H53+I53+J53+K53</f>
        <v>-13748686.963369999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>
        <f>H61-I61</f>
        <v>0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823" priority="9" stopIfTrue="1" operator="equal">
      <formula>0</formula>
    </cfRule>
    <cfRule type="cellIs" dxfId="822" priority="10" stopIfTrue="1" operator="notEqual">
      <formula>0</formula>
    </cfRule>
  </conditionalFormatting>
  <conditionalFormatting sqref="G34 G47 K30 K47">
    <cfRule type="cellIs" dxfId="821" priority="8" operator="notEqual">
      <formula>0</formula>
    </cfRule>
  </conditionalFormatting>
  <conditionalFormatting sqref="C62">
    <cfRule type="cellIs" dxfId="820" priority="6" stopIfTrue="1" operator="equal">
      <formula>0</formula>
    </cfRule>
    <cfRule type="cellIs" dxfId="819" priority="7" stopIfTrue="1" operator="notEqual">
      <formula>0</formula>
    </cfRule>
  </conditionalFormatting>
  <conditionalFormatting sqref="K30">
    <cfRule type="cellIs" dxfId="818" priority="5" operator="notEqual">
      <formula>0</formula>
    </cfRule>
  </conditionalFormatting>
  <conditionalFormatting sqref="G59">
    <cfRule type="cellIs" dxfId="817" priority="4" operator="equal">
      <formula>"""ERROR"""</formula>
    </cfRule>
  </conditionalFormatting>
  <conditionalFormatting sqref="G59">
    <cfRule type="cellIs" dxfId="816" priority="3" operator="equal">
      <formula>"ERROR"</formula>
    </cfRule>
  </conditionalFormatting>
  <conditionalFormatting sqref="G59">
    <cfRule type="cellIs" dxfId="815" priority="2" operator="equal">
      <formula>"ERROR"</formula>
    </cfRule>
  </conditionalFormatting>
  <conditionalFormatting sqref="K45">
    <cfRule type="cellIs" dxfId="814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28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Feb!C1+1</f>
        <v>201703</v>
      </c>
      <c r="F1" s="532">
        <f>C1</f>
        <v>201703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84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84">
        <f>-312.87+73985.42</f>
        <v>73672.55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0.68079999999999996</v>
      </c>
      <c r="L5" s="445">
        <f>1-K5</f>
        <v>0.31920000000000004</v>
      </c>
      <c r="M5" s="385"/>
    </row>
    <row r="6" spans="1:13" ht="16.5" thickBot="1">
      <c r="A6" s="49" t="s">
        <v>30</v>
      </c>
      <c r="C6" s="585">
        <f>-81979.5-102391.76-2343063.08-444850-127100-142987.5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1429423.3399999999</v>
      </c>
      <c r="D7" s="35"/>
      <c r="F7" s="166" t="s">
        <v>139</v>
      </c>
      <c r="G7" s="166"/>
      <c r="H7" s="125">
        <f>C34</f>
        <v>2297443.3099999996</v>
      </c>
      <c r="I7" s="167">
        <f>H7*I5</f>
        <v>1620386.7665429998</v>
      </c>
      <c r="J7" s="167">
        <f>H7*J5</f>
        <v>677056.54345699993</v>
      </c>
      <c r="K7" s="167"/>
      <c r="L7" s="167"/>
      <c r="M7" s="385"/>
    </row>
    <row r="8" spans="1:13" ht="15.75">
      <c r="A8" s="384" t="s">
        <v>89</v>
      </c>
      <c r="C8" s="584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84">
        <f>8377.64</f>
        <v>8377.64</v>
      </c>
      <c r="D9" s="36"/>
      <c r="F9" s="166" t="s">
        <v>119</v>
      </c>
      <c r="G9" s="385"/>
      <c r="H9" s="167">
        <f>C55</f>
        <v>6248823.6599999983</v>
      </c>
      <c r="I9" s="167"/>
      <c r="J9" s="167"/>
      <c r="K9" s="167">
        <f>H9*K5</f>
        <v>4254199.1477279989</v>
      </c>
      <c r="L9" s="167">
        <f>H9*L5</f>
        <v>1994624.5122719996</v>
      </c>
      <c r="M9" s="385"/>
    </row>
    <row r="10" spans="1:13" ht="15.75">
      <c r="A10" s="49" t="s">
        <v>91</v>
      </c>
      <c r="C10" s="585">
        <f>-3418.47</f>
        <v>-3418.47</v>
      </c>
      <c r="D10" s="36"/>
      <c r="F10" s="169" t="s">
        <v>44</v>
      </c>
      <c r="G10" s="385"/>
      <c r="H10" s="167">
        <f>C56</f>
        <v>-75592.070000000007</v>
      </c>
      <c r="I10" s="167"/>
      <c r="J10" s="167"/>
      <c r="K10" s="167">
        <f>H10</f>
        <v>-75592.070000000007</v>
      </c>
      <c r="L10" s="167"/>
      <c r="M10" s="385"/>
    </row>
    <row r="11" spans="1:13">
      <c r="A11" s="66" t="s">
        <v>145</v>
      </c>
      <c r="C11" s="100">
        <f>SUM(C8:C10)</f>
        <v>257688.49000000002</v>
      </c>
      <c r="D11" s="36"/>
      <c r="F11" s="169" t="s">
        <v>45</v>
      </c>
      <c r="G11" s="385"/>
      <c r="H11" s="170">
        <f>C57</f>
        <v>-34696.86</v>
      </c>
      <c r="I11" s="167"/>
      <c r="J11" s="167"/>
      <c r="K11" s="170"/>
      <c r="L11" s="170">
        <f>H11</f>
        <v>-34696.86</v>
      </c>
      <c r="M11" s="385"/>
    </row>
    <row r="12" spans="1:13" ht="15.75">
      <c r="A12" s="384" t="s">
        <v>165</v>
      </c>
      <c r="C12" s="584">
        <f>178747.89+206.23</f>
        <v>178954.12000000002</v>
      </c>
      <c r="D12" s="36"/>
      <c r="F12" s="169" t="s">
        <v>138</v>
      </c>
      <c r="G12" s="385"/>
      <c r="H12" s="167">
        <f>H9+H10+H11</f>
        <v>6138534.7299999977</v>
      </c>
      <c r="I12" s="167"/>
      <c r="J12" s="167"/>
      <c r="K12" s="167">
        <f>SUM(K9:K11)</f>
        <v>4178607.0777279991</v>
      </c>
      <c r="L12" s="167">
        <f>SUM(L9:L11)</f>
        <v>1959927.6522719995</v>
      </c>
      <c r="M12" s="385"/>
    </row>
    <row r="13" spans="1:13" ht="16.5" thickBot="1">
      <c r="A13" s="49" t="s">
        <v>166</v>
      </c>
      <c r="C13" s="56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178954.12000000002</v>
      </c>
      <c r="D14" s="37"/>
      <c r="F14" s="50" t="s">
        <v>69</v>
      </c>
      <c r="G14" s="175"/>
      <c r="H14" s="125">
        <f>H12+H7</f>
        <v>8435978.0399999972</v>
      </c>
      <c r="I14" s="176">
        <f>SUM(I7:I13)</f>
        <v>1620386.7665429998</v>
      </c>
      <c r="J14" s="176">
        <f>SUM(J7:J13)</f>
        <v>677056.54345699993</v>
      </c>
      <c r="K14" s="176">
        <f>K12</f>
        <v>4178607.0777279991</v>
      </c>
      <c r="L14" s="176">
        <f>L12</f>
        <v>1959927.6522719995</v>
      </c>
      <c r="M14" s="385"/>
    </row>
    <row r="15" spans="1:13" ht="15.75">
      <c r="A15" s="384" t="s">
        <v>183</v>
      </c>
      <c r="C15" s="584">
        <f>441286.46-81.42-81.42+576.98</f>
        <v>441700.60000000003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6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441700.60000000003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84">
        <f>64585.46+9782.5+1039.47</f>
        <v>75407.429999999993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85">
        <f>2133.72</f>
        <v>2133.7199999999998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77541.149999999994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5">
        <f>1850+2540.8</f>
        <v>4390.8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4390.8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14316138</v>
      </c>
      <c r="H23" s="619">
        <v>0.12678</v>
      </c>
      <c r="I23" s="196">
        <f t="shared" ref="I23:I31" si="0">G23*H23</f>
        <v>1814999.9756400001</v>
      </c>
      <c r="J23" s="200" t="s">
        <v>37</v>
      </c>
      <c r="K23" s="573">
        <v>7018804</v>
      </c>
      <c r="L23" s="619">
        <v>0.11330999999999999</v>
      </c>
      <c r="M23" s="196">
        <f>K23*L23</f>
        <v>795300.68123999995</v>
      </c>
    </row>
    <row r="24" spans="1:13" ht="15.75">
      <c r="A24" s="208" t="s">
        <v>186</v>
      </c>
      <c r="C24" s="122">
        <v>0</v>
      </c>
      <c r="D24" s="36"/>
      <c r="F24" s="200" t="s">
        <v>324</v>
      </c>
      <c r="G24" s="573">
        <v>22738</v>
      </c>
      <c r="H24" s="619">
        <v>0.12678</v>
      </c>
      <c r="I24" s="196">
        <f t="shared" si="0"/>
        <v>2882.7236400000002</v>
      </c>
      <c r="J24" s="200" t="s">
        <v>38</v>
      </c>
      <c r="K24" s="573">
        <v>2558534</v>
      </c>
      <c r="L24" s="619">
        <v>0.11330999999999999</v>
      </c>
      <c r="M24" s="196">
        <f t="shared" ref="M24:M27" si="1">K24*L24</f>
        <v>289907.48754</v>
      </c>
    </row>
    <row r="25" spans="1:13" ht="15.75">
      <c r="A25" s="208" t="s">
        <v>189</v>
      </c>
      <c r="C25" s="568">
        <v>0</v>
      </c>
      <c r="D25" s="36"/>
      <c r="F25" s="200" t="s">
        <v>38</v>
      </c>
      <c r="G25" s="573">
        <v>5603968</v>
      </c>
      <c r="H25" s="619">
        <v>0.11865000000000001</v>
      </c>
      <c r="I25" s="196">
        <f t="shared" si="0"/>
        <v>664910.80320000008</v>
      </c>
      <c r="J25" s="200" t="s">
        <v>39</v>
      </c>
      <c r="K25" s="573">
        <v>2902</v>
      </c>
      <c r="L25" s="619">
        <v>0.11330999999999999</v>
      </c>
      <c r="M25" s="196">
        <f t="shared" si="1"/>
        <v>328.82561999999996</v>
      </c>
    </row>
    <row r="26" spans="1:13" ht="15.75">
      <c r="A26" s="209" t="s">
        <v>188</v>
      </c>
      <c r="C26" s="569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262"/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334116</v>
      </c>
      <c r="H27" s="619">
        <v>0.11541</v>
      </c>
      <c r="I27" s="196">
        <f t="shared" si="0"/>
        <v>38560.327559999998</v>
      </c>
      <c r="J27" s="200" t="s">
        <v>41</v>
      </c>
      <c r="K27" s="262"/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53363</v>
      </c>
      <c r="H28" s="619">
        <v>0.11541</v>
      </c>
      <c r="I28" s="196">
        <f t="shared" si="0"/>
        <v>6158.6238299999995</v>
      </c>
      <c r="J28" s="199" t="s">
        <v>127</v>
      </c>
      <c r="K28" s="181">
        <f>SUM(K23:K27)</f>
        <v>9580240</v>
      </c>
      <c r="L28" s="182"/>
      <c r="M28" s="197">
        <f>SUM(M23:M27)</f>
        <v>1085536.9944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9580240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2389698.4999999995</v>
      </c>
      <c r="D30" s="37"/>
      <c r="F30" s="200" t="s">
        <v>43</v>
      </c>
      <c r="G30" s="573">
        <v>102871</v>
      </c>
      <c r="H30" s="619">
        <v>7.4310000000000001E-2</v>
      </c>
      <c r="I30" s="196">
        <f t="shared" si="0"/>
        <v>7644.3440099999998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f>-8071.28</f>
        <v>-8071.28</v>
      </c>
      <c r="D31" s="39"/>
      <c r="F31" s="200" t="s">
        <v>74</v>
      </c>
      <c r="G31" s="573">
        <v>3381923</v>
      </c>
      <c r="H31" s="619">
        <v>5.4000000000000001E-4</v>
      </c>
      <c r="I31" s="196">
        <f t="shared" si="0"/>
        <v>1826.2384200000001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8">
        <f>C30+C31</f>
        <v>2381627.2199999997</v>
      </c>
      <c r="D32" s="40"/>
      <c r="F32" s="199" t="s">
        <v>127</v>
      </c>
      <c r="G32" s="181">
        <f>SUM(G23:G31)</f>
        <v>23815117</v>
      </c>
      <c r="H32" s="7"/>
      <c r="I32" s="197">
        <f>SUM(I23:I31)</f>
        <v>2536983.0363000003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-84183.91</v>
      </c>
      <c r="D33" s="36"/>
      <c r="F33" s="186"/>
      <c r="G33" s="231">
        <v>23815117</v>
      </c>
      <c r="H33" s="187" t="s">
        <v>102</v>
      </c>
      <c r="I33" s="216">
        <f>I32/G32</f>
        <v>0.10652826254433267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2297443.3099999996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7018804</v>
      </c>
      <c r="L36" s="619">
        <v>0.23895</v>
      </c>
      <c r="M36" s="196">
        <f t="shared" ref="M36:M42" si="2">K36*L36</f>
        <v>1677143.2157999999</v>
      </c>
      <c r="P36" s="273"/>
      <c r="Q36" s="273"/>
    </row>
    <row r="37" spans="1:17" ht="15.75">
      <c r="A37" s="7" t="s">
        <v>129</v>
      </c>
      <c r="B37" s="538" t="s">
        <v>115</v>
      </c>
      <c r="C37" s="571">
        <f>9074120.32</f>
        <v>9074120.3200000003</v>
      </c>
      <c r="D37" s="36"/>
      <c r="F37" s="200" t="s">
        <v>37</v>
      </c>
      <c r="G37" s="597">
        <f>G23</f>
        <v>14316138</v>
      </c>
      <c r="H37" s="619">
        <v>0.23860000000000001</v>
      </c>
      <c r="I37" s="196">
        <f t="shared" ref="I37:I44" si="3">G37*H37</f>
        <v>3415830.5268000001</v>
      </c>
      <c r="J37" s="200" t="s">
        <v>38</v>
      </c>
      <c r="K37" s="597">
        <f>K24</f>
        <v>2558534</v>
      </c>
      <c r="L37" s="619">
        <v>0.23895</v>
      </c>
      <c r="M37" s="196">
        <f t="shared" si="2"/>
        <v>611361.69929999998</v>
      </c>
      <c r="P37" s="273"/>
      <c r="Q37" s="273"/>
    </row>
    <row r="38" spans="1:17" ht="15.75">
      <c r="A38" s="144" t="s">
        <v>14</v>
      </c>
      <c r="B38" s="538" t="s">
        <v>115</v>
      </c>
      <c r="C38" s="122">
        <v>0</v>
      </c>
      <c r="D38" s="36"/>
      <c r="F38" s="200" t="s">
        <v>324</v>
      </c>
      <c r="G38" s="597">
        <f>G24</f>
        <v>22738</v>
      </c>
      <c r="H38" s="619">
        <v>0.23860000000000001</v>
      </c>
      <c r="I38" s="196">
        <f t="shared" si="3"/>
        <v>5425.2867999999999</v>
      </c>
      <c r="J38" s="200" t="s">
        <v>39</v>
      </c>
      <c r="K38" s="597">
        <f>K25</f>
        <v>2902</v>
      </c>
      <c r="L38" s="619">
        <v>0.23895</v>
      </c>
      <c r="M38" s="196">
        <f t="shared" si="2"/>
        <v>693.43290000000002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-65215.32</v>
      </c>
      <c r="D39" s="36"/>
      <c r="F39" s="200" t="s">
        <v>38</v>
      </c>
      <c r="G39" s="597">
        <f t="shared" ref="G39:G44" si="4">G25</f>
        <v>5603968</v>
      </c>
      <c r="H39" s="619">
        <v>0.23860000000000001</v>
      </c>
      <c r="I39" s="196">
        <f t="shared" si="3"/>
        <v>1337106.7648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1546674.48</v>
      </c>
      <c r="D40" s="36"/>
      <c r="F40" s="200" t="s">
        <v>39</v>
      </c>
      <c r="G40" s="597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-36628.71</v>
      </c>
      <c r="D41" s="36"/>
      <c r="F41" s="200" t="s">
        <v>40</v>
      </c>
      <c r="G41" s="597">
        <f t="shared" si="4"/>
        <v>334116</v>
      </c>
      <c r="H41" s="619">
        <v>0.23860000000000001</v>
      </c>
      <c r="I41" s="196">
        <f t="shared" si="3"/>
        <v>79720.077600000004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454092.34</v>
      </c>
      <c r="D42" s="37"/>
      <c r="F42" s="200" t="s">
        <v>41</v>
      </c>
      <c r="G42" s="597">
        <f t="shared" si="4"/>
        <v>53363</v>
      </c>
      <c r="H42" s="619">
        <v>0.23860000000000001</v>
      </c>
      <c r="I42" s="196">
        <f t="shared" si="3"/>
        <v>12732.4118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10973043.109999999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9580240</v>
      </c>
      <c r="L43" s="182"/>
      <c r="M43" s="197">
        <f>SUM(M36:M42)</f>
        <v>2289198.3479999998</v>
      </c>
    </row>
    <row r="44" spans="1:17" ht="16.5" thickBot="1">
      <c r="A44" s="83" t="s">
        <v>177</v>
      </c>
      <c r="B44" s="84" t="s">
        <v>120</v>
      </c>
      <c r="C44" s="571">
        <f>-263325.46+1279478.31-27464.41+173423.4</f>
        <v>1162111.8400000001</v>
      </c>
      <c r="D44" s="37"/>
      <c r="F44" s="200" t="s">
        <v>43</v>
      </c>
      <c r="G44" s="597">
        <f t="shared" si="4"/>
        <v>102871</v>
      </c>
      <c r="H44" s="619">
        <v>0.23860000000000001</v>
      </c>
      <c r="I44" s="196">
        <f t="shared" si="3"/>
        <v>24545.0206</v>
      </c>
      <c r="J44" s="194"/>
      <c r="K44" s="232">
        <v>9580240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20433194</v>
      </c>
      <c r="H45" s="182"/>
      <c r="I45" s="197">
        <f>SUM(I37:I44)</f>
        <v>4875360.0884000007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20433194</v>
      </c>
      <c r="H46" s="189" t="s">
        <v>102</v>
      </c>
      <c r="I46" s="215">
        <f>I45/G45</f>
        <v>0.23860000000000003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571">
        <v>-10462.91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220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28664.94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1810.65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8007.93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84183.91</v>
      </c>
      <c r="D52" s="33"/>
      <c r="F52" s="385" t="s">
        <v>136</v>
      </c>
      <c r="G52" s="385"/>
      <c r="H52" s="212">
        <f>K12</f>
        <v>4178607.0777279991</v>
      </c>
      <c r="I52" s="115">
        <f>I14</f>
        <v>1620386.7665429998</v>
      </c>
      <c r="J52" s="115">
        <f>L12</f>
        <v>1959927.6522719995</v>
      </c>
      <c r="K52" s="115">
        <f>J14</f>
        <v>677056.54345699993</v>
      </c>
      <c r="L52" s="132">
        <f>SUM(H52:K52)</f>
        <v>8435978.0399999972</v>
      </c>
      <c r="M52" s="385"/>
    </row>
    <row r="53" spans="1:21" ht="16.5" thickBot="1">
      <c r="A53" s="382" t="s">
        <v>124</v>
      </c>
      <c r="B53" s="473" t="s">
        <v>313</v>
      </c>
      <c r="C53" s="571">
        <f>-593705.04-3489345.06-1547485.71</f>
        <v>-5630535.8100000005</v>
      </c>
      <c r="D53" s="36"/>
      <c r="F53" s="384" t="s">
        <v>109</v>
      </c>
      <c r="H53" s="212">
        <f>-I45</f>
        <v>-4875360.0884000007</v>
      </c>
      <c r="I53" s="115">
        <f>-I32</f>
        <v>-2536983.0363000003</v>
      </c>
      <c r="J53" s="115">
        <f>-M43</f>
        <v>-2289198.3479999998</v>
      </c>
      <c r="K53" s="115">
        <f>-M28</f>
        <v>-1085536.9944</v>
      </c>
      <c r="L53" s="261">
        <f>SUM(H53:K53)</f>
        <v>-10787078.4671</v>
      </c>
    </row>
    <row r="54" spans="1:21" ht="16.5" thickBot="1">
      <c r="A54" s="384" t="s">
        <v>331</v>
      </c>
      <c r="B54" s="6" t="s">
        <v>190</v>
      </c>
      <c r="C54" s="571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-2351100.4271000028</v>
      </c>
    </row>
    <row r="55" spans="1:21" ht="16.5" thickBot="1">
      <c r="A55" s="82" t="s">
        <v>119</v>
      </c>
      <c r="B55" s="84"/>
      <c r="C55" s="160">
        <f>SUM(C43:C54)</f>
        <v>6248823.6599999983</v>
      </c>
      <c r="D55" s="36"/>
      <c r="F55" s="384" t="s">
        <v>71</v>
      </c>
      <c r="H55" s="125">
        <f>IFERROR(H52+H53+H54,0)</f>
        <v>-696753.01067200163</v>
      </c>
      <c r="I55" s="125">
        <f>I52+I53+I54</f>
        <v>-916596.2697570005</v>
      </c>
      <c r="J55" s="125">
        <f>IFERROR(J52+J53+J54,0)</f>
        <v>-329270.69572800025</v>
      </c>
      <c r="K55" s="125">
        <f>K52+K53+K54</f>
        <v>-408480.45094300003</v>
      </c>
      <c r="L55" s="47">
        <f>SUM(H55:K55)</f>
        <v>-2351100.4271000023</v>
      </c>
    </row>
    <row r="56" spans="1:21" ht="17.25" thickTop="1" thickBot="1">
      <c r="A56" s="384" t="s">
        <v>121</v>
      </c>
      <c r="B56" s="6" t="s">
        <v>115</v>
      </c>
      <c r="C56" s="571">
        <v>-75592.070000000007</v>
      </c>
      <c r="D56" s="36"/>
      <c r="F56" s="240" t="s">
        <v>181</v>
      </c>
      <c r="H56" s="384" t="s">
        <v>173</v>
      </c>
      <c r="I56" s="5">
        <f>SUM(H55:I55)</f>
        <v>-1613349.2804290021</v>
      </c>
      <c r="J56" s="15" t="s">
        <v>174</v>
      </c>
      <c r="K56" s="384">
        <f>SUM(J55:K55)</f>
        <v>-737751.14667100029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71">
        <v>-34696.86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6138534.7299999977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8435978.0399999972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350">
        <v>8435978.0399999991</v>
      </c>
      <c r="D61" s="37"/>
      <c r="H61" s="349">
        <f>SUM('WA - Def-Amtz (Mar)'!BJ5:BJ10,'WA - Def-Amtz (Mar)'!BJ41:BJ46,'WA - Def-Amtz (Mar)'!BJ76:BJ79,'ID - Def-Amtz (Mar)'!BK5:BK10,'ID - Def-Amtz (Mar)'!BK42:BK47,'ID - Def-Amtz (Mar)'!BK75:BK80)</f>
        <v>5022722.4825356258</v>
      </c>
      <c r="I61" s="449">
        <f>SUM('WA - Def-Amtz (Mar)'!BK5:BK10,'WA - Def-Amtz (Mar)'!BK41:BK46,'WA - Def-Amtz (Mar)'!BK76:BK79,'ID - Def-Amtz (Mar)'!BL5:BL10,'ID - Def-Amtz (Mar)'!BL42:BL47,'ID - Def-Amtz (Mar)'!BL75:BL80)</f>
        <v>5022722.4825356258</v>
      </c>
      <c r="J61" s="384">
        <f>H53+I53+J53+K53</f>
        <v>-10787078.4671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>
        <f>H61-I61</f>
        <v>0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813" priority="8" stopIfTrue="1" operator="equal">
      <formula>0</formula>
    </cfRule>
    <cfRule type="cellIs" dxfId="812" priority="9" stopIfTrue="1" operator="notEqual">
      <formula>0</formula>
    </cfRule>
  </conditionalFormatting>
  <conditionalFormatting sqref="G34 G47 K30 K47">
    <cfRule type="cellIs" dxfId="811" priority="7" operator="notEqual">
      <formula>0</formula>
    </cfRule>
  </conditionalFormatting>
  <conditionalFormatting sqref="C62">
    <cfRule type="cellIs" dxfId="810" priority="5" stopIfTrue="1" operator="equal">
      <formula>0</formula>
    </cfRule>
    <cfRule type="cellIs" dxfId="809" priority="6" stopIfTrue="1" operator="notEqual">
      <formula>0</formula>
    </cfRule>
  </conditionalFormatting>
  <conditionalFormatting sqref="K30">
    <cfRule type="cellIs" dxfId="808" priority="4" operator="notEqual">
      <formula>0</formula>
    </cfRule>
  </conditionalFormatting>
  <conditionalFormatting sqref="G59">
    <cfRule type="cellIs" dxfId="807" priority="3" operator="equal">
      <formula>"""ERROR"""</formula>
    </cfRule>
  </conditionalFormatting>
  <conditionalFormatting sqref="G59">
    <cfRule type="cellIs" dxfId="806" priority="2" operator="equal">
      <formula>"ERROR"</formula>
    </cfRule>
  </conditionalFormatting>
  <conditionalFormatting sqref="G59">
    <cfRule type="cellIs" dxfId="80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31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Mar!C1+1</f>
        <v>201704</v>
      </c>
      <c r="F1" s="532">
        <f>C1</f>
        <v>201704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84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84">
        <f>79305.26-2.34-268.09</f>
        <v>79034.83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0.67689999999999995</v>
      </c>
      <c r="L5" s="445">
        <f>1-K5</f>
        <v>0.32310000000000005</v>
      </c>
      <c r="M5" s="385"/>
    </row>
    <row r="6" spans="1:13" ht="16.5" thickBot="1">
      <c r="A6" s="49" t="s">
        <v>30</v>
      </c>
      <c r="C6" s="585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1391051.7200000002</v>
      </c>
      <c r="D7" s="35"/>
      <c r="F7" s="166" t="s">
        <v>139</v>
      </c>
      <c r="G7" s="166"/>
      <c r="H7" s="125">
        <f>C34</f>
        <v>2157588.0500000007</v>
      </c>
      <c r="I7" s="167">
        <f>H7*I5</f>
        <v>1521746.8516650007</v>
      </c>
      <c r="J7" s="167">
        <f>H7*J5</f>
        <v>635841.19833500031</v>
      </c>
      <c r="K7" s="167"/>
      <c r="L7" s="167"/>
      <c r="M7" s="385"/>
    </row>
    <row r="8" spans="1:13" ht="15.75">
      <c r="A8" s="384" t="s">
        <v>89</v>
      </c>
      <c r="C8" s="584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84">
        <f>6318.34+153.7</f>
        <v>6472.04</v>
      </c>
      <c r="D9" s="36"/>
      <c r="F9" s="166" t="s">
        <v>119</v>
      </c>
      <c r="G9" s="385"/>
      <c r="H9" s="167">
        <f>C55</f>
        <v>3514160.1999999983</v>
      </c>
      <c r="I9" s="167"/>
      <c r="J9" s="167"/>
      <c r="K9" s="167">
        <f>H9*K5</f>
        <v>2378735.0393799986</v>
      </c>
      <c r="L9" s="167">
        <f>H9*L5</f>
        <v>1135425.1606199997</v>
      </c>
      <c r="M9" s="385"/>
    </row>
    <row r="10" spans="1:13" ht="15.75">
      <c r="A10" s="49" t="s">
        <v>91</v>
      </c>
      <c r="C10" s="585">
        <f>-3308.2</f>
        <v>-3308.2</v>
      </c>
      <c r="D10" s="36"/>
      <c r="F10" s="169" t="s">
        <v>44</v>
      </c>
      <c r="G10" s="385"/>
      <c r="H10" s="167">
        <f>C56</f>
        <v>70287.94</v>
      </c>
      <c r="I10" s="167"/>
      <c r="J10" s="167"/>
      <c r="K10" s="167">
        <f>H10</f>
        <v>70287.94</v>
      </c>
      <c r="L10" s="167"/>
      <c r="M10" s="385"/>
    </row>
    <row r="11" spans="1:13">
      <c r="A11" s="66" t="s">
        <v>145</v>
      </c>
      <c r="C11" s="100">
        <f>SUM(C8:C10)</f>
        <v>188498.78</v>
      </c>
      <c r="D11" s="36"/>
      <c r="F11" s="169" t="s">
        <v>45</v>
      </c>
      <c r="G11" s="385"/>
      <c r="H11" s="170">
        <f>C57</f>
        <v>31458.61</v>
      </c>
      <c r="I11" s="167"/>
      <c r="J11" s="167"/>
      <c r="K11" s="170"/>
      <c r="L11" s="170">
        <f>H11</f>
        <v>31458.61</v>
      </c>
      <c r="M11" s="385"/>
    </row>
    <row r="12" spans="1:13" ht="15.75">
      <c r="A12" s="384" t="s">
        <v>165</v>
      </c>
      <c r="C12" s="584">
        <f>173973.36-2925.51</f>
        <v>171047.84999999998</v>
      </c>
      <c r="D12" s="36"/>
      <c r="F12" s="169" t="s">
        <v>138</v>
      </c>
      <c r="G12" s="385"/>
      <c r="H12" s="167">
        <f>H9+H10+H11</f>
        <v>3615906.7499999981</v>
      </c>
      <c r="I12" s="167"/>
      <c r="J12" s="167"/>
      <c r="K12" s="167">
        <f>SUM(K9:K11)</f>
        <v>2449022.9793799985</v>
      </c>
      <c r="L12" s="167">
        <f>SUM(L9:L11)</f>
        <v>1166883.7706199999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171047.84999999998</v>
      </c>
      <c r="D14" s="37"/>
      <c r="F14" s="50" t="s">
        <v>69</v>
      </c>
      <c r="G14" s="175"/>
      <c r="H14" s="125">
        <f>H12+H7</f>
        <v>5773494.7999999989</v>
      </c>
      <c r="I14" s="176">
        <f>SUM(I7:I13)</f>
        <v>1521746.8516650007</v>
      </c>
      <c r="J14" s="176">
        <f>SUM(J7:J13)</f>
        <v>635841.19833500031</v>
      </c>
      <c r="K14" s="176">
        <f>K12</f>
        <v>2449022.9793799985</v>
      </c>
      <c r="L14" s="176">
        <f>L12</f>
        <v>1166883.7706199999</v>
      </c>
      <c r="M14" s="385"/>
    </row>
    <row r="15" spans="1:13" ht="15.75">
      <c r="A15" s="384" t="s">
        <v>183</v>
      </c>
      <c r="C15" s="584">
        <f>-7222.98+429499.28</f>
        <v>422276.30000000005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422276.30000000005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84">
        <f>9521.2-1214.19+59136.08</f>
        <v>67443.09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85">
        <f>3314.65</f>
        <v>3314.65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70757.739999999991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5">
        <f>1850+927.18</f>
        <v>2777.18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2777.18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9641125</v>
      </c>
      <c r="H23" s="619">
        <v>0.12678</v>
      </c>
      <c r="I23" s="196">
        <f t="shared" ref="I23:I31" si="0">G23*H23</f>
        <v>1222301.8275000001</v>
      </c>
      <c r="J23" s="200" t="s">
        <v>37</v>
      </c>
      <c r="K23" s="573">
        <v>4807641</v>
      </c>
      <c r="L23" s="619">
        <v>0.11330999999999999</v>
      </c>
      <c r="M23" s="196">
        <f>K23*L23</f>
        <v>544753.80171000003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3">
        <v>15697</v>
      </c>
      <c r="H24" s="619">
        <v>0.12678</v>
      </c>
      <c r="I24" s="196">
        <f t="shared" si="0"/>
        <v>1990.06566</v>
      </c>
      <c r="J24" s="200" t="s">
        <v>38</v>
      </c>
      <c r="K24" s="573">
        <v>1910087</v>
      </c>
      <c r="L24" s="619">
        <v>0.11330999999999999</v>
      </c>
      <c r="M24" s="196">
        <f t="shared" ref="M24:M27" si="1">K24*L24</f>
        <v>216431.95796999999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4021494</v>
      </c>
      <c r="H25" s="619">
        <v>0.11865000000000001</v>
      </c>
      <c r="I25" s="196">
        <f t="shared" si="0"/>
        <v>477150.26310000004</v>
      </c>
      <c r="J25" s="200" t="s">
        <v>39</v>
      </c>
      <c r="K25" s="573">
        <v>7675</v>
      </c>
      <c r="L25" s="619">
        <v>0.11330999999999999</v>
      </c>
      <c r="M25" s="196">
        <f t="shared" si="1"/>
        <v>869.65424999999993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573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288026</v>
      </c>
      <c r="H27" s="619">
        <v>0.11541</v>
      </c>
      <c r="I27" s="196">
        <f t="shared" si="0"/>
        <v>33241.08066</v>
      </c>
      <c r="J27" s="200" t="s">
        <v>41</v>
      </c>
      <c r="K27" s="573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35134</v>
      </c>
      <c r="H28" s="619">
        <v>0.11541</v>
      </c>
      <c r="I28" s="196">
        <f t="shared" si="0"/>
        <v>4054.8149399999998</v>
      </c>
      <c r="J28" s="199" t="s">
        <v>127</v>
      </c>
      <c r="K28" s="181">
        <f>SUM(K23:K27)</f>
        <v>6725403</v>
      </c>
      <c r="L28" s="182"/>
      <c r="M28" s="197">
        <f>SUM(M23:M27)</f>
        <v>762055.41393000004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6725403</v>
      </c>
      <c r="L29" s="187" t="s">
        <v>102</v>
      </c>
      <c r="M29" s="465">
        <f>M28/K28</f>
        <v>0.11331000000000001</v>
      </c>
    </row>
    <row r="30" spans="1:13" ht="16.5" thickBot="1">
      <c r="A30" s="2" t="s">
        <v>111</v>
      </c>
      <c r="C30" s="125">
        <f>C7+C11+C14+C17+C20+C22+C27+C28+C29</f>
        <v>2246409.5700000008</v>
      </c>
      <c r="D30" s="37"/>
      <c r="F30" s="200" t="s">
        <v>43</v>
      </c>
      <c r="G30" s="573">
        <v>88850</v>
      </c>
      <c r="H30" s="619">
        <v>7.4310000000000001E-2</v>
      </c>
      <c r="I30" s="196">
        <f t="shared" si="0"/>
        <v>6602.4435000000003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v>0</v>
      </c>
      <c r="D31" s="39"/>
      <c r="F31" s="200" t="s">
        <v>74</v>
      </c>
      <c r="G31" s="573">
        <v>2868630</v>
      </c>
      <c r="H31" s="619">
        <v>5.4000000000000001E-4</v>
      </c>
      <c r="I31" s="196">
        <f t="shared" si="0"/>
        <v>1549.0602000000001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8">
        <f>C30+C31</f>
        <v>2246409.5700000008</v>
      </c>
      <c r="D32" s="40"/>
      <c r="F32" s="199" t="s">
        <v>127</v>
      </c>
      <c r="G32" s="181">
        <f>SUM(G23:G31)</f>
        <v>16958956</v>
      </c>
      <c r="H32" s="7"/>
      <c r="I32" s="197">
        <f>SUM(I23:I31)</f>
        <v>1746889.5555600002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-88821.51999999999</v>
      </c>
      <c r="D33" s="36"/>
      <c r="F33" s="186"/>
      <c r="G33" s="231">
        <v>16958956</v>
      </c>
      <c r="H33" s="187" t="s">
        <v>102</v>
      </c>
      <c r="I33" s="216">
        <f>I32/G32</f>
        <v>0.10300690417263894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2157588.0500000007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4807641</v>
      </c>
      <c r="L36" s="619">
        <v>0.23895</v>
      </c>
      <c r="M36" s="196">
        <f t="shared" ref="M36:M42" si="2">K36*L36</f>
        <v>1148785.8169499999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9356409.9399999995</v>
      </c>
      <c r="D37" s="36"/>
      <c r="F37" s="200" t="s">
        <v>37</v>
      </c>
      <c r="G37" s="597">
        <f>G23</f>
        <v>9641125</v>
      </c>
      <c r="H37" s="619">
        <v>0.23860000000000001</v>
      </c>
      <c r="I37" s="196">
        <f t="shared" ref="I37:I44" si="3">G37*H37</f>
        <v>2300372.4250000003</v>
      </c>
      <c r="J37" s="200" t="s">
        <v>38</v>
      </c>
      <c r="K37" s="597">
        <f>K24</f>
        <v>1910087</v>
      </c>
      <c r="L37" s="619">
        <v>0.23895</v>
      </c>
      <c r="M37" s="196">
        <f t="shared" si="2"/>
        <v>456415.28865</v>
      </c>
      <c r="P37" s="273"/>
      <c r="Q37" s="273"/>
    </row>
    <row r="38" spans="1:17" ht="15.75">
      <c r="A38" s="144" t="s">
        <v>14</v>
      </c>
      <c r="B38" s="538" t="s">
        <v>115</v>
      </c>
      <c r="C38" s="584"/>
      <c r="D38" s="36"/>
      <c r="F38" s="200" t="s">
        <v>324</v>
      </c>
      <c r="G38" s="597">
        <f>G24</f>
        <v>15697</v>
      </c>
      <c r="H38" s="619">
        <v>0.23860000000000001</v>
      </c>
      <c r="I38" s="196">
        <f t="shared" si="3"/>
        <v>3745.3042</v>
      </c>
      <c r="J38" s="200" t="s">
        <v>39</v>
      </c>
      <c r="K38" s="597">
        <f>K25</f>
        <v>7675</v>
      </c>
      <c r="L38" s="619">
        <v>0.23895</v>
      </c>
      <c r="M38" s="196">
        <f t="shared" si="2"/>
        <v>1833.9412499999999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-41723.83</v>
      </c>
      <c r="D39" s="36"/>
      <c r="F39" s="200" t="s">
        <v>38</v>
      </c>
      <c r="G39" s="597">
        <f t="shared" ref="G39:G44" si="4">G25</f>
        <v>4021494</v>
      </c>
      <c r="H39" s="619">
        <v>0.23860000000000001</v>
      </c>
      <c r="I39" s="196">
        <f t="shared" si="3"/>
        <v>959528.46840000001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180549.6</v>
      </c>
      <c r="D40" s="36"/>
      <c r="F40" s="200" t="s">
        <v>39</v>
      </c>
      <c r="G40" s="597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112268.62</v>
      </c>
      <c r="D41" s="36"/>
      <c r="F41" s="200" t="s">
        <v>40</v>
      </c>
      <c r="G41" s="597">
        <f t="shared" si="4"/>
        <v>288026</v>
      </c>
      <c r="H41" s="619">
        <v>0.23860000000000001</v>
      </c>
      <c r="I41" s="196">
        <f t="shared" si="3"/>
        <v>68723.003599999996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875984.83</v>
      </c>
      <c r="D42" s="37"/>
      <c r="F42" s="200" t="s">
        <v>41</v>
      </c>
      <c r="G42" s="597">
        <f t="shared" si="4"/>
        <v>35134</v>
      </c>
      <c r="H42" s="619">
        <v>0.23860000000000001</v>
      </c>
      <c r="I42" s="196">
        <f t="shared" si="3"/>
        <v>8382.9724000000006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10483489.159999998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6725403</v>
      </c>
      <c r="L43" s="182"/>
      <c r="M43" s="197">
        <f>SUM(M36:M42)</f>
        <v>1607035.0468499998</v>
      </c>
    </row>
    <row r="44" spans="1:17" ht="16.5" thickBot="1">
      <c r="A44" s="83" t="s">
        <v>177</v>
      </c>
      <c r="B44" s="84" t="s">
        <v>120</v>
      </c>
      <c r="C44" s="571">
        <f>-2840374.66+449101.41-36226.26+36348.14</f>
        <v>-2391151.3699999996</v>
      </c>
      <c r="D44" s="37"/>
      <c r="F44" s="200" t="s">
        <v>43</v>
      </c>
      <c r="G44" s="597">
        <f t="shared" si="4"/>
        <v>88850</v>
      </c>
      <c r="H44" s="619">
        <v>0.23860000000000001</v>
      </c>
      <c r="I44" s="196">
        <f t="shared" si="3"/>
        <v>21199.61</v>
      </c>
      <c r="J44" s="194"/>
      <c r="K44" s="232">
        <v>6725403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584">
        <v>0</v>
      </c>
      <c r="D45" s="39"/>
      <c r="F45" s="199" t="s">
        <v>133</v>
      </c>
      <c r="G45" s="181">
        <f>SUM(G37:G44)</f>
        <v>14090326</v>
      </c>
      <c r="H45" s="182"/>
      <c r="I45" s="197">
        <f>SUM(I37:I44)</f>
        <v>3361951.7836000002</v>
      </c>
      <c r="J45" s="85"/>
      <c r="K45" s="230">
        <f>K43-K44</f>
        <v>0</v>
      </c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584">
        <v>0</v>
      </c>
      <c r="D46" s="40"/>
      <c r="F46" s="188"/>
      <c r="G46" s="232">
        <v>14090326</v>
      </c>
      <c r="H46" s="189" t="s">
        <v>102</v>
      </c>
      <c r="I46" s="215">
        <f>I45/G45</f>
        <v>0.23860000000000001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571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28969.96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1083.8900000000001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7091.91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23">
        <f>-C33</f>
        <v>88821.51999999999</v>
      </c>
      <c r="D52" s="33"/>
      <c r="F52" s="385" t="s">
        <v>136</v>
      </c>
      <c r="G52" s="385"/>
      <c r="H52" s="212">
        <f>K12</f>
        <v>2449022.9793799985</v>
      </c>
      <c r="I52" s="115">
        <f>I14</f>
        <v>1521746.8516650007</v>
      </c>
      <c r="J52" s="115">
        <f>L12</f>
        <v>1166883.7706199999</v>
      </c>
      <c r="K52" s="115">
        <f>J14</f>
        <v>635841.19833500031</v>
      </c>
      <c r="L52" s="132">
        <f>SUM(H52:K52)</f>
        <v>5773494.7999999989</v>
      </c>
      <c r="M52" s="385"/>
    </row>
    <row r="53" spans="1:21" ht="16.5" thickBot="1">
      <c r="A53" s="382" t="s">
        <v>124</v>
      </c>
      <c r="B53" s="473" t="s">
        <v>313</v>
      </c>
      <c r="C53" s="571">
        <f>-2861255.56-27114.75-1447774.56</f>
        <v>-4336144.87</v>
      </c>
      <c r="D53" s="36"/>
      <c r="F53" s="384" t="s">
        <v>109</v>
      </c>
      <c r="H53" s="212">
        <f>-I45</f>
        <v>-3361951.7836000002</v>
      </c>
      <c r="I53" s="115">
        <f>-I32</f>
        <v>-1746889.5555600002</v>
      </c>
      <c r="J53" s="115">
        <f>-M43</f>
        <v>-1607035.0468499998</v>
      </c>
      <c r="K53" s="115">
        <f>-M28</f>
        <v>-762055.41393000004</v>
      </c>
      <c r="L53" s="261">
        <f>SUM(H53:K53)</f>
        <v>-7477931.7999400003</v>
      </c>
    </row>
    <row r="54" spans="1:21" ht="16.5" thickBot="1">
      <c r="A54" s="384" t="s">
        <v>331</v>
      </c>
      <c r="B54" s="6" t="s">
        <v>190</v>
      </c>
      <c r="C54" s="571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-1704436.9999400014</v>
      </c>
    </row>
    <row r="55" spans="1:21" ht="16.5" thickBot="1">
      <c r="A55" s="82" t="s">
        <v>119</v>
      </c>
      <c r="B55" s="84"/>
      <c r="C55" s="160">
        <f>SUM(C43:C54)</f>
        <v>3514160.1999999983</v>
      </c>
      <c r="D55" s="36"/>
      <c r="F55" s="384" t="s">
        <v>71</v>
      </c>
      <c r="H55" s="125">
        <f>IFERROR(H52+H53+H54,0)</f>
        <v>-912928.80422000168</v>
      </c>
      <c r="I55" s="125">
        <f>I52+I53+I54</f>
        <v>-225142.70389499958</v>
      </c>
      <c r="J55" s="125">
        <f>IFERROR(J52+J53+J54,0)</f>
        <v>-440151.27622999996</v>
      </c>
      <c r="K55" s="125">
        <f>K52+K53+K54</f>
        <v>-126214.21559499972</v>
      </c>
      <c r="L55" s="47">
        <f>SUM(H55:K55)</f>
        <v>-1704436.9999400009</v>
      </c>
    </row>
    <row r="56" spans="1:21" ht="17.25" thickTop="1" thickBot="1">
      <c r="A56" s="384" t="s">
        <v>121</v>
      </c>
      <c r="B56" s="6" t="s">
        <v>115</v>
      </c>
      <c r="C56" s="571">
        <v>70287.94</v>
      </c>
      <c r="D56" s="36"/>
      <c r="F56" s="240" t="s">
        <v>181</v>
      </c>
      <c r="H56" s="384" t="s">
        <v>173</v>
      </c>
      <c r="I56" s="5">
        <f>SUM(H55:I55)</f>
        <v>-1138071.5081150013</v>
      </c>
      <c r="J56" s="15" t="s">
        <v>174</v>
      </c>
      <c r="K56" s="384">
        <f>SUM(J55:K55)</f>
        <v>-566365.49182499968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71">
        <v>31458.61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3615906.7499999981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5773494.7999999989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99">
        <v>5773494.7999999998</v>
      </c>
      <c r="D61" s="37"/>
      <c r="H61" s="349">
        <f>SUM('WA - Def-Amtz (Apr)'!BJ5:BJ10,'WA - Def-Amtz (Apr)'!BJ41:BJ46,'WA - Def-Amtz (Apr)'!BJ76:BJ79,'ID - Def-Amtz (Apr)'!BK5:BK10,'ID - Def-Amtz (Apr)'!BK42:BK47,'ID - Def-Amtz (Apr)'!BK75:BK80)</f>
        <v>3570747.6889074715</v>
      </c>
      <c r="I61" s="449">
        <f>SUM('WA - Def-Amtz (Apr)'!BK5:BK10,'WA - Def-Amtz (Apr)'!BK41:BK46,'WA - Def-Amtz (Apr)'!BK76:BK79,'ID - Def-Amtz (Apr)'!BL5:BL10,'ID - Def-Amtz (Apr)'!BL42:BL47,'ID - Def-Amtz (Apr)'!BL75:BL80)</f>
        <v>3570747.688907471</v>
      </c>
      <c r="J61" s="384">
        <f>H53+I53+J53+K53</f>
        <v>-7477931.7999400003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>
        <f>H61-I61</f>
        <v>0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804" priority="9" stopIfTrue="1" operator="equal">
      <formula>0</formula>
    </cfRule>
    <cfRule type="cellIs" dxfId="803" priority="10" stopIfTrue="1" operator="notEqual">
      <formula>0</formula>
    </cfRule>
  </conditionalFormatting>
  <conditionalFormatting sqref="G34 G47 K30 K47">
    <cfRule type="cellIs" dxfId="802" priority="8" operator="notEqual">
      <formula>0</formula>
    </cfRule>
  </conditionalFormatting>
  <conditionalFormatting sqref="C62">
    <cfRule type="cellIs" dxfId="801" priority="6" stopIfTrue="1" operator="equal">
      <formula>0</formula>
    </cfRule>
    <cfRule type="cellIs" dxfId="800" priority="7" stopIfTrue="1" operator="notEqual">
      <formula>0</formula>
    </cfRule>
  </conditionalFormatting>
  <conditionalFormatting sqref="K30">
    <cfRule type="cellIs" dxfId="799" priority="5" operator="notEqual">
      <formula>0</formula>
    </cfRule>
  </conditionalFormatting>
  <conditionalFormatting sqref="G59">
    <cfRule type="cellIs" dxfId="798" priority="4" operator="equal">
      <formula>"""ERROR"""</formula>
    </cfRule>
  </conditionalFormatting>
  <conditionalFormatting sqref="G59">
    <cfRule type="cellIs" dxfId="797" priority="3" operator="equal">
      <formula>"ERROR"</formula>
    </cfRule>
  </conditionalFormatting>
  <conditionalFormatting sqref="G59">
    <cfRule type="cellIs" dxfId="796" priority="2" operator="equal">
      <formula>"ERROR"</formula>
    </cfRule>
  </conditionalFormatting>
  <conditionalFormatting sqref="K45">
    <cfRule type="cellIs" dxfId="79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40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Apr!C1+1</f>
        <v>201705</v>
      </c>
      <c r="F1" s="532">
        <f>C1</f>
        <v>201705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v>91385.34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0.66269999999999996</v>
      </c>
      <c r="L5" s="445">
        <f>1-K5</f>
        <v>0.33730000000000004</v>
      </c>
      <c r="M5" s="385"/>
    </row>
    <row r="6" spans="1:13" ht="16.5" thickBot="1">
      <c r="A6" s="49" t="s">
        <v>30</v>
      </c>
      <c r="C6" s="572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1447136.13</v>
      </c>
      <c r="D7" s="35"/>
      <c r="F7" s="166" t="s">
        <v>139</v>
      </c>
      <c r="G7" s="166"/>
      <c r="H7" s="125">
        <f>C34</f>
        <v>2218045.21</v>
      </c>
      <c r="I7" s="167">
        <f>H7*I5</f>
        <v>1564387.2866130001</v>
      </c>
      <c r="J7" s="167">
        <f>H7*J5</f>
        <v>653657.92338699999</v>
      </c>
      <c r="K7" s="167"/>
      <c r="L7" s="167"/>
      <c r="M7" s="385"/>
    </row>
    <row r="8" spans="1:13" ht="15.75">
      <c r="A8" s="384" t="s">
        <v>89</v>
      </c>
      <c r="C8" s="571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28.67+6237.62-244.2</f>
        <v>6022.09</v>
      </c>
      <c r="D9" s="36"/>
      <c r="F9" s="166" t="s">
        <v>119</v>
      </c>
      <c r="G9" s="385"/>
      <c r="H9" s="167">
        <f>C56</f>
        <v>2256068.79</v>
      </c>
      <c r="I9" s="167"/>
      <c r="J9" s="167"/>
      <c r="K9" s="167">
        <f>H9*K5</f>
        <v>1495096.7871329999</v>
      </c>
      <c r="L9" s="167">
        <f>H9*L5</f>
        <v>760972.00286700006</v>
      </c>
      <c r="M9" s="385"/>
    </row>
    <row r="10" spans="1:13" ht="15.75">
      <c r="A10" s="49" t="s">
        <v>91</v>
      </c>
      <c r="C10" s="572">
        <v>-3418.47</v>
      </c>
      <c r="D10" s="36"/>
      <c r="F10" s="169" t="s">
        <v>44</v>
      </c>
      <c r="G10" s="385"/>
      <c r="H10" s="167">
        <f>C57</f>
        <v>-121291.31</v>
      </c>
      <c r="I10" s="167"/>
      <c r="J10" s="167"/>
      <c r="K10" s="167">
        <f>H10</f>
        <v>-121291.31</v>
      </c>
      <c r="L10" s="167"/>
      <c r="M10" s="385"/>
    </row>
    <row r="11" spans="1:13">
      <c r="A11" s="66" t="s">
        <v>145</v>
      </c>
      <c r="C11" s="100">
        <f>SUM(C8:C10)</f>
        <v>194116.37</v>
      </c>
      <c r="D11" s="36"/>
      <c r="F11" s="169" t="s">
        <v>45</v>
      </c>
      <c r="G11" s="385"/>
      <c r="H11" s="170">
        <f>C58</f>
        <v>-59843.79</v>
      </c>
      <c r="I11" s="167"/>
      <c r="J11" s="167"/>
      <c r="K11" s="170"/>
      <c r="L11" s="170">
        <f>H11</f>
        <v>-59843.79</v>
      </c>
      <c r="M11" s="385"/>
    </row>
    <row r="12" spans="1:13" ht="15.75">
      <c r="A12" s="384" t="s">
        <v>165</v>
      </c>
      <c r="C12" s="571">
        <f>2499.4+175992.44</f>
        <v>178491.84</v>
      </c>
      <c r="D12" s="36"/>
      <c r="F12" s="169" t="s">
        <v>138</v>
      </c>
      <c r="G12" s="385"/>
      <c r="H12" s="167">
        <f>H9+H10+H11</f>
        <v>2074933.69</v>
      </c>
      <c r="I12" s="167"/>
      <c r="J12" s="167"/>
      <c r="K12" s="167">
        <f>SUM(K9:K11)</f>
        <v>1373805.4771329998</v>
      </c>
      <c r="L12" s="167">
        <f>SUM(L9:L11)</f>
        <v>701128.21286700002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178491.84</v>
      </c>
      <c r="D14" s="37"/>
      <c r="F14" s="50" t="s">
        <v>69</v>
      </c>
      <c r="G14" s="175"/>
      <c r="H14" s="125">
        <f>H12+H7</f>
        <v>4292978.9000000004</v>
      </c>
      <c r="I14" s="176">
        <f>SUM(I7:I13)</f>
        <v>1564387.2866130001</v>
      </c>
      <c r="J14" s="176">
        <f>SUM(J7:J13)</f>
        <v>653657.92338699999</v>
      </c>
      <c r="K14" s="176">
        <f>K12</f>
        <v>1373805.4771329998</v>
      </c>
      <c r="L14" s="176">
        <f>L12</f>
        <v>701128.21286700002</v>
      </c>
      <c r="M14" s="385"/>
    </row>
    <row r="15" spans="1:13" ht="15.75">
      <c r="A15" s="384" t="s">
        <v>183</v>
      </c>
      <c r="C15" s="571">
        <f>434483.91+6169.92</f>
        <v>440653.82999999996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440653.82999999996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9631.7+59822.39+986.36</f>
        <v>70440.45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72">
        <v>275.20999999999998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70715.66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1850+346.41</f>
        <v>2196.41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2196.41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4941679</v>
      </c>
      <c r="H23" s="619">
        <v>0.12678</v>
      </c>
      <c r="I23" s="196">
        <f t="shared" ref="I23:I31" si="0">G23*H23</f>
        <v>626506.06362000003</v>
      </c>
      <c r="J23" s="200" t="s">
        <v>37</v>
      </c>
      <c r="K23" s="573">
        <v>2613793</v>
      </c>
      <c r="L23" s="619">
        <v>0.11330999999999999</v>
      </c>
      <c r="M23" s="196">
        <f>K23*L23</f>
        <v>296168.88483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3">
        <v>8078</v>
      </c>
      <c r="H24" s="619">
        <v>0.12678</v>
      </c>
      <c r="I24" s="196">
        <f t="shared" si="0"/>
        <v>1024.1288400000001</v>
      </c>
      <c r="J24" s="200" t="s">
        <v>38</v>
      </c>
      <c r="K24" s="573">
        <v>1315495</v>
      </c>
      <c r="L24" s="619">
        <v>0.11330999999999999</v>
      </c>
      <c r="M24" s="196">
        <f t="shared" ref="M24:M27" si="1">K24*L24</f>
        <v>149058.73845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2425238</v>
      </c>
      <c r="H25" s="619">
        <v>0.11865000000000001</v>
      </c>
      <c r="I25" s="196">
        <f t="shared" si="0"/>
        <v>287754.48869999999</v>
      </c>
      <c r="J25" s="200" t="s">
        <v>39</v>
      </c>
      <c r="K25" s="573">
        <v>29168</v>
      </c>
      <c r="L25" s="619">
        <v>0.11330999999999999</v>
      </c>
      <c r="M25" s="196">
        <f t="shared" si="1"/>
        <v>3305.0260799999996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573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302382</v>
      </c>
      <c r="H27" s="619">
        <v>0.11541</v>
      </c>
      <c r="I27" s="196">
        <f t="shared" si="0"/>
        <v>34897.906620000002</v>
      </c>
      <c r="J27" s="200" t="s">
        <v>41</v>
      </c>
      <c r="K27" s="573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29064</v>
      </c>
      <c r="H28" s="619">
        <v>0.11541</v>
      </c>
      <c r="I28" s="196">
        <f t="shared" si="0"/>
        <v>3354.2762400000001</v>
      </c>
      <c r="J28" s="199" t="s">
        <v>127</v>
      </c>
      <c r="K28" s="181">
        <f>SUM(K23:K27)</f>
        <v>3958456</v>
      </c>
      <c r="L28" s="182"/>
      <c r="M28" s="197">
        <f>SUM(M23:M27)</f>
        <v>448532.64935999998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3958456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2333310.2400000002</v>
      </c>
      <c r="D30" s="37"/>
      <c r="F30" s="200" t="s">
        <v>43</v>
      </c>
      <c r="G30" s="573">
        <v>71877</v>
      </c>
      <c r="H30" s="619">
        <v>7.4310000000000001E-2</v>
      </c>
      <c r="I30" s="196">
        <f t="shared" si="0"/>
        <v>5341.1798699999999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v>-17582.39</v>
      </c>
      <c r="D31" s="39"/>
      <c r="F31" s="200" t="s">
        <v>74</v>
      </c>
      <c r="G31" s="573">
        <v>2501903</v>
      </c>
      <c r="H31" s="619">
        <v>5.4000000000000001E-4</v>
      </c>
      <c r="I31" s="196">
        <f t="shared" si="0"/>
        <v>1351.0276200000001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95">
        <f>C30+C31</f>
        <v>2315727.85</v>
      </c>
      <c r="D32" s="40"/>
      <c r="F32" s="199" t="s">
        <v>127</v>
      </c>
      <c r="G32" s="181">
        <f>SUM(G23:G31)</f>
        <v>10280221</v>
      </c>
      <c r="H32" s="7"/>
      <c r="I32" s="197">
        <f>SUM(I23:I31)</f>
        <v>960229.07151000004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95">
        <f>-C5-C9-C13-C16-C19</f>
        <v>-97682.64</v>
      </c>
      <c r="D33" s="36"/>
      <c r="F33" s="186"/>
      <c r="G33" s="231">
        <v>10280221</v>
      </c>
      <c r="H33" s="187" t="s">
        <v>102</v>
      </c>
      <c r="I33" s="216">
        <f>I32/G32</f>
        <v>9.3405489192304333E-2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2218045.21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2613793</v>
      </c>
      <c r="L36" s="619">
        <v>0.23895</v>
      </c>
      <c r="M36" s="196">
        <f t="shared" ref="M36:M42" si="2">K36*L36</f>
        <v>624565.83735000005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11437837.800000001</v>
      </c>
      <c r="D37" s="36"/>
      <c r="F37" s="200" t="s">
        <v>37</v>
      </c>
      <c r="G37" s="597">
        <f>G23</f>
        <v>4941679</v>
      </c>
      <c r="H37" s="619">
        <v>0.23860000000000001</v>
      </c>
      <c r="I37" s="196">
        <f t="shared" ref="I37:I44" si="3">G37*H37</f>
        <v>1179084.6094</v>
      </c>
      <c r="J37" s="200" t="s">
        <v>38</v>
      </c>
      <c r="K37" s="597">
        <f>K24</f>
        <v>1315495</v>
      </c>
      <c r="L37" s="619">
        <v>0.23895</v>
      </c>
      <c r="M37" s="196">
        <f t="shared" si="2"/>
        <v>314337.53025000001</v>
      </c>
      <c r="P37" s="273"/>
      <c r="Q37" s="273"/>
    </row>
    <row r="38" spans="1:17" ht="15.75">
      <c r="A38" s="144" t="s">
        <v>14</v>
      </c>
      <c r="B38" s="538" t="s">
        <v>115</v>
      </c>
      <c r="C38" s="122"/>
      <c r="D38" s="36"/>
      <c r="F38" s="200" t="s">
        <v>324</v>
      </c>
      <c r="G38" s="597">
        <f>G24</f>
        <v>8078</v>
      </c>
      <c r="H38" s="619">
        <v>0.23860000000000001</v>
      </c>
      <c r="I38" s="196">
        <f t="shared" si="3"/>
        <v>1927.4108000000001</v>
      </c>
      <c r="J38" s="200" t="s">
        <v>39</v>
      </c>
      <c r="K38" s="597">
        <f>K25</f>
        <v>29168</v>
      </c>
      <c r="L38" s="619">
        <v>0.23895</v>
      </c>
      <c r="M38" s="196">
        <f t="shared" si="2"/>
        <v>6969.6935999999996</v>
      </c>
      <c r="P38" s="273"/>
      <c r="Q38" s="273"/>
    </row>
    <row r="39" spans="1:17" ht="15.75">
      <c r="A39" s="7" t="s">
        <v>146</v>
      </c>
      <c r="B39" s="538" t="s">
        <v>147</v>
      </c>
      <c r="C39" s="571">
        <f>-43054.17</f>
        <v>-43054.17</v>
      </c>
      <c r="D39" s="36"/>
      <c r="F39" s="200" t="s">
        <v>38</v>
      </c>
      <c r="G39" s="597">
        <f t="shared" ref="G39:G44" si="4">G25</f>
        <v>2425238</v>
      </c>
      <c r="H39" s="619">
        <v>0.23860000000000001</v>
      </c>
      <c r="I39" s="196">
        <f t="shared" si="3"/>
        <v>578661.7868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-32552.85</v>
      </c>
      <c r="D40" s="36"/>
      <c r="F40" s="200" t="s">
        <v>39</v>
      </c>
      <c r="G40" s="597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f>-122764.98</f>
        <v>-122764.98</v>
      </c>
      <c r="D41" s="36"/>
      <c r="F41" s="200" t="s">
        <v>40</v>
      </c>
      <c r="G41" s="597">
        <f t="shared" si="4"/>
        <v>302382</v>
      </c>
      <c r="H41" s="619">
        <v>0.23860000000000001</v>
      </c>
      <c r="I41" s="196">
        <f t="shared" si="3"/>
        <v>72148.345199999996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1383448.91</v>
      </c>
      <c r="D42" s="37"/>
      <c r="F42" s="200" t="s">
        <v>41</v>
      </c>
      <c r="G42" s="597">
        <f t="shared" si="4"/>
        <v>29064</v>
      </c>
      <c r="H42" s="619">
        <v>0.23860000000000001</v>
      </c>
      <c r="I42" s="196">
        <f t="shared" si="3"/>
        <v>6934.6704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12622914.710000001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3958456</v>
      </c>
      <c r="L43" s="182"/>
      <c r="M43" s="197">
        <f>SUM(M36:M42)</f>
        <v>945873.0612</v>
      </c>
    </row>
    <row r="44" spans="1:17" ht="16.5" thickBot="1">
      <c r="A44" s="83" t="s">
        <v>177</v>
      </c>
      <c r="B44" s="84" t="s">
        <v>120</v>
      </c>
      <c r="C44" s="571">
        <f>-5928843.18+16336.32+1475.13</f>
        <v>-5911031.7299999995</v>
      </c>
      <c r="D44" s="37"/>
      <c r="F44" s="200" t="s">
        <v>43</v>
      </c>
      <c r="G44" s="597">
        <f t="shared" si="4"/>
        <v>71877</v>
      </c>
      <c r="H44" s="619">
        <v>0.23860000000000001</v>
      </c>
      <c r="I44" s="196">
        <f t="shared" si="3"/>
        <v>17149.852200000001</v>
      </c>
      <c r="J44" s="194"/>
      <c r="K44" s="232">
        <v>3958456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7778318</v>
      </c>
      <c r="H45" s="182"/>
      <c r="I45" s="197">
        <f>SUM(I37:I44)</f>
        <v>1855906.6748000002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7778318</v>
      </c>
      <c r="H46" s="189" t="s">
        <v>102</v>
      </c>
      <c r="I46" s="215">
        <f>I45/G45</f>
        <v>0.23860000000000001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122"/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24679.43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754.97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5383.39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96">
        <f>-C33</f>
        <v>97682.64</v>
      </c>
      <c r="D52" s="33"/>
      <c r="F52" s="385" t="s">
        <v>136</v>
      </c>
      <c r="G52" s="385"/>
      <c r="H52" s="212">
        <f>K12</f>
        <v>1373805.4771329998</v>
      </c>
      <c r="I52" s="115">
        <f>I14</f>
        <v>1564387.2866130001</v>
      </c>
      <c r="J52" s="115">
        <f>L12</f>
        <v>701128.21286700002</v>
      </c>
      <c r="K52" s="115">
        <f>J14</f>
        <v>653657.92338699999</v>
      </c>
      <c r="L52" s="132">
        <f>SUM(H52:K52)</f>
        <v>4292978.9000000004</v>
      </c>
      <c r="M52" s="385"/>
    </row>
    <row r="53" spans="1:21" ht="16.5" thickBot="1">
      <c r="A53" s="385" t="s">
        <v>334</v>
      </c>
      <c r="B53" s="624" t="s">
        <v>335</v>
      </c>
      <c r="C53" s="571">
        <f>94701.61</f>
        <v>94701.61</v>
      </c>
      <c r="D53" s="33"/>
      <c r="F53" s="384" t="s">
        <v>109</v>
      </c>
      <c r="H53" s="212">
        <f>-I45</f>
        <v>-1855906.6748000002</v>
      </c>
      <c r="I53" s="115">
        <f>-I32</f>
        <v>-960229.07151000004</v>
      </c>
      <c r="J53" s="115">
        <f>-M43</f>
        <v>-945873.0612</v>
      </c>
      <c r="K53" s="115">
        <f>-M28</f>
        <v>-448532.64935999998</v>
      </c>
      <c r="L53" s="261">
        <f>SUM(H53:K53)</f>
        <v>-4210541.4568699999</v>
      </c>
    </row>
    <row r="54" spans="1:21" ht="16.5" thickBot="1">
      <c r="A54" s="382" t="s">
        <v>124</v>
      </c>
      <c r="B54" s="473" t="s">
        <v>313</v>
      </c>
      <c r="C54" s="571">
        <f>32697.23-2581922.56-1761790.9</f>
        <v>-4311016.2300000004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82437.443130000494</v>
      </c>
    </row>
    <row r="55" spans="1:21" ht="16.5" thickBot="1">
      <c r="A55" s="384" t="s">
        <v>331</v>
      </c>
      <c r="B55" s="6" t="s">
        <v>190</v>
      </c>
      <c r="C55" s="571">
        <v>-375000</v>
      </c>
      <c r="D55" s="36"/>
      <c r="F55" s="384" t="s">
        <v>71</v>
      </c>
      <c r="H55" s="125">
        <f>IFERROR(H52+H53+H54,0)</f>
        <v>-482101.19766700035</v>
      </c>
      <c r="I55" s="125">
        <f>I52+I53+I54</f>
        <v>604158.21510300005</v>
      </c>
      <c r="J55" s="125">
        <f>IFERROR(J52+J53+J54,0)</f>
        <v>-244744.84833299997</v>
      </c>
      <c r="K55" s="125">
        <f>K52+K53+K54</f>
        <v>205125.27402700001</v>
      </c>
      <c r="L55" s="47">
        <f>SUM(H55:K55)</f>
        <v>82437.443129999738</v>
      </c>
    </row>
    <row r="56" spans="1:21" ht="16.5" thickBot="1">
      <c r="A56" s="82" t="s">
        <v>119</v>
      </c>
      <c r="B56" s="84"/>
      <c r="C56" s="160">
        <f>SUM(C43:C55)</f>
        <v>2256068.79</v>
      </c>
      <c r="D56" s="36"/>
      <c r="F56" s="240" t="s">
        <v>181</v>
      </c>
      <c r="H56" s="384" t="s">
        <v>173</v>
      </c>
      <c r="I56" s="5">
        <f>SUM(H55:I55)</f>
        <v>122057.0174359997</v>
      </c>
      <c r="J56" s="15" t="s">
        <v>174</v>
      </c>
      <c r="K56" s="384">
        <f>SUM(J55:K55)</f>
        <v>-39619.574305999966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71">
        <v>-121291.31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71">
        <v>-59843.79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2074933.69</v>
      </c>
      <c r="D59" s="36"/>
      <c r="F59" s="549" t="s">
        <v>320</v>
      </c>
      <c r="G59" s="550" t="str">
        <f>IF(OR(AND(I56&gt;0,K56&gt;0),AND(I56&lt;0,K56&lt;0)),"OK","ERROR")</f>
        <v>ERROR</v>
      </c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4292978.9000000004</v>
      </c>
      <c r="D61" s="36"/>
      <c r="H61" s="349">
        <f>SUM('WA - Def-Amtz (May)'!BJ5:BJ10,'WA - Def-Amtz (May)'!BJ41:BJ46,'WA - Def-Amtz (May)'!BJ76:BJ79,'ID - Def-Amtz (May)'!BL5:BL10,'ID - Def-Amtz (May)'!BL42:BL47,'ID - Def-Amtz (May)'!BL75:BL80)</f>
        <v>1176720.3482083427</v>
      </c>
      <c r="I61" s="449">
        <f>SUM('WA - Def-Amtz (May)'!BK5:BK10,'WA - Def-Amtz (May)'!BK41:BK46,'WA - Def-Amtz (May)'!BK76:BK79,'ID - Def-Amtz (May)'!BL5:BL10,'ID - Def-Amtz (May)'!BL42:BL47,'ID - Def-Amtz (May)'!BL75:BL80)</f>
        <v>1176720.3482083427</v>
      </c>
      <c r="J61" s="384">
        <f>H53+I53+J53+K53</f>
        <v>-4210541.4568699999</v>
      </c>
    </row>
    <row r="62" spans="1:21" ht="15.75">
      <c r="A62" s="2"/>
      <c r="B62" s="9" t="s">
        <v>160</v>
      </c>
      <c r="C62" s="350">
        <v>4292978.9000000004</v>
      </c>
      <c r="D62" s="37"/>
      <c r="G62" s="5"/>
      <c r="I62" s="338">
        <f>H61-I61</f>
        <v>0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94" priority="7" stopIfTrue="1" operator="equal">
      <formula>0</formula>
    </cfRule>
    <cfRule type="cellIs" dxfId="793" priority="8" stopIfTrue="1" operator="notEqual">
      <formula>0</formula>
    </cfRule>
  </conditionalFormatting>
  <conditionalFormatting sqref="G34 G47 K30 K47">
    <cfRule type="cellIs" dxfId="792" priority="6" operator="notEqual">
      <formula>0</formula>
    </cfRule>
  </conditionalFormatting>
  <conditionalFormatting sqref="C63">
    <cfRule type="cellIs" dxfId="791" priority="4" stopIfTrue="1" operator="equal">
      <formula>0</formula>
    </cfRule>
    <cfRule type="cellIs" dxfId="790" priority="5" stopIfTrue="1" operator="notEqual">
      <formula>0</formula>
    </cfRule>
  </conditionalFormatting>
  <conditionalFormatting sqref="K30">
    <cfRule type="cellIs" dxfId="789" priority="3" operator="notEqual">
      <formula>0</formula>
    </cfRule>
  </conditionalFormatting>
  <conditionalFormatting sqref="G59">
    <cfRule type="cellIs" dxfId="788" priority="2" operator="equal">
      <formula>"ERROR"</formula>
    </cfRule>
  </conditionalFormatting>
  <conditionalFormatting sqref="G59">
    <cfRule type="cellIs" dxfId="78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31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May!C1+1</f>
        <v>201706</v>
      </c>
      <c r="F1" s="532">
        <f>C1</f>
        <v>201706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65499.83-6.51+2.96</f>
        <v>65496.28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0.6472</v>
      </c>
      <c r="L5" s="445">
        <f>1-K5</f>
        <v>0.3528</v>
      </c>
      <c r="M5" s="385"/>
    </row>
    <row r="6" spans="1:13" ht="16.5" thickBot="1">
      <c r="A6" s="49" t="s">
        <v>30</v>
      </c>
      <c r="C6" s="572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1377513.1700000004</v>
      </c>
      <c r="D7" s="35"/>
      <c r="F7" s="166" t="s">
        <v>139</v>
      </c>
      <c r="G7" s="166"/>
      <c r="H7" s="125">
        <f>C34</f>
        <v>2182997.4600000004</v>
      </c>
      <c r="I7" s="167">
        <f>H7*I5</f>
        <v>1539668.1085380004</v>
      </c>
      <c r="J7" s="167">
        <f>H7*J5</f>
        <v>643329.35146200017</v>
      </c>
      <c r="K7" s="167"/>
      <c r="L7" s="167"/>
      <c r="M7" s="385"/>
    </row>
    <row r="8" spans="1:13" ht="15.75">
      <c r="A8" s="384" t="s">
        <v>89</v>
      </c>
      <c r="C8" s="571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4289.37</f>
        <v>4289.37</v>
      </c>
      <c r="D9" s="36"/>
      <c r="F9" s="166" t="s">
        <v>119</v>
      </c>
      <c r="G9" s="385"/>
      <c r="H9" s="167">
        <f>C56</f>
        <v>720702.23999999836</v>
      </c>
      <c r="I9" s="167"/>
      <c r="J9" s="167"/>
      <c r="K9" s="167">
        <f>H9*K5</f>
        <v>466438.48972799891</v>
      </c>
      <c r="L9" s="167">
        <f>H9*L5</f>
        <v>254263.75027199942</v>
      </c>
      <c r="M9" s="385"/>
    </row>
    <row r="10" spans="1:13" ht="15.75">
      <c r="A10" s="49" t="s">
        <v>91</v>
      </c>
      <c r="C10" s="572">
        <f>-3308.2</f>
        <v>-3308.2</v>
      </c>
      <c r="D10" s="36"/>
      <c r="F10" s="169" t="s">
        <v>44</v>
      </c>
      <c r="G10" s="385"/>
      <c r="H10" s="167">
        <f>C57</f>
        <v>94937.33</v>
      </c>
      <c r="I10" s="167"/>
      <c r="J10" s="167"/>
      <c r="K10" s="167">
        <f>H10</f>
        <v>94937.33</v>
      </c>
      <c r="L10" s="167"/>
      <c r="M10" s="385"/>
    </row>
    <row r="11" spans="1:13">
      <c r="A11" s="66" t="s">
        <v>145</v>
      </c>
      <c r="C11" s="100">
        <f>SUM(C8:C10)</f>
        <v>186316.11</v>
      </c>
      <c r="D11" s="36"/>
      <c r="F11" s="169" t="s">
        <v>45</v>
      </c>
      <c r="G11" s="385"/>
      <c r="H11" s="170">
        <f>C58</f>
        <v>44793.22</v>
      </c>
      <c r="I11" s="167"/>
      <c r="J11" s="167"/>
      <c r="K11" s="170"/>
      <c r="L11" s="170">
        <f>H11</f>
        <v>44793.22</v>
      </c>
      <c r="M11" s="385"/>
    </row>
    <row r="12" spans="1:13" ht="15.75">
      <c r="A12" s="384" t="s">
        <v>165</v>
      </c>
      <c r="C12" s="571">
        <f>183284.87+3233.85</f>
        <v>186518.72</v>
      </c>
      <c r="D12" s="36"/>
      <c r="F12" s="169" t="s">
        <v>138</v>
      </c>
      <c r="G12" s="385"/>
      <c r="H12" s="167">
        <f>H9+H10+H11</f>
        <v>860432.78999999829</v>
      </c>
      <c r="I12" s="167"/>
      <c r="J12" s="167"/>
      <c r="K12" s="167">
        <f>SUM(K9:K11)</f>
        <v>561375.81972799893</v>
      </c>
      <c r="L12" s="167">
        <f>SUM(L9:L11)</f>
        <v>299056.97027199942</v>
      </c>
      <c r="M12" s="385"/>
    </row>
    <row r="13" spans="1:13" ht="16.5" thickBot="1">
      <c r="A13" s="49" t="s">
        <v>166</v>
      </c>
      <c r="C13" s="56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186518.72</v>
      </c>
      <c r="D14" s="37"/>
      <c r="F14" s="50" t="s">
        <v>69</v>
      </c>
      <c r="G14" s="175"/>
      <c r="H14" s="125">
        <f>H12+H7</f>
        <v>3043430.2499999986</v>
      </c>
      <c r="I14" s="176">
        <f>SUM(I7:I13)</f>
        <v>1539668.1085380004</v>
      </c>
      <c r="J14" s="176">
        <f>SUM(J7:J13)</f>
        <v>643329.35146200017</v>
      </c>
      <c r="K14" s="176">
        <f>K12</f>
        <v>561375.81972799893</v>
      </c>
      <c r="L14" s="176">
        <f>L12</f>
        <v>299056.97027199942</v>
      </c>
      <c r="M14" s="385"/>
    </row>
    <row r="15" spans="1:13" ht="15.75">
      <c r="A15" s="384" t="s">
        <v>183</v>
      </c>
      <c r="C15" s="571">
        <f>428276.65+7983.61</f>
        <v>436260.26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6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436260.26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62301.2+10030.8+806.32</f>
        <v>73138.320000000007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66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73138.320000000007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1850+98.89</f>
        <v>1948.89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1948.89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2542069</v>
      </c>
      <c r="H23" s="619">
        <v>0.12678</v>
      </c>
      <c r="I23" s="196">
        <f>G23*H23</f>
        <v>322283.50782</v>
      </c>
      <c r="J23" s="200" t="s">
        <v>37</v>
      </c>
      <c r="K23" s="573">
        <v>1233197</v>
      </c>
      <c r="L23" s="619">
        <v>0.11330999999999999</v>
      </c>
      <c r="M23" s="196">
        <f>K23*L23</f>
        <v>139733.55207000001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3">
        <v>3619</v>
      </c>
      <c r="H24" s="619">
        <v>0.12678</v>
      </c>
      <c r="I24" s="196">
        <f t="shared" ref="I24:I31" si="0">G24*H24</f>
        <v>458.81682000000001</v>
      </c>
      <c r="J24" s="200" t="s">
        <v>38</v>
      </c>
      <c r="K24" s="573">
        <v>1319570</v>
      </c>
      <c r="L24" s="619">
        <v>0.11330999999999999</v>
      </c>
      <c r="M24" s="196">
        <f t="shared" ref="M24:M27" si="1">K24*L24</f>
        <v>149520.4767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1878375</v>
      </c>
      <c r="H25" s="619">
        <v>0.11865000000000001</v>
      </c>
      <c r="I25" s="196">
        <f t="shared" si="0"/>
        <v>222869.19375000001</v>
      </c>
      <c r="J25" s="200" t="s">
        <v>39</v>
      </c>
      <c r="K25" s="573">
        <v>55493</v>
      </c>
      <c r="L25" s="619">
        <v>0.11330999999999999</v>
      </c>
      <c r="M25" s="196">
        <f t="shared" si="1"/>
        <v>6287.91183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573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289055</v>
      </c>
      <c r="H27" s="619">
        <v>0.11541</v>
      </c>
      <c r="I27" s="196">
        <f t="shared" si="0"/>
        <v>33359.837549999997</v>
      </c>
      <c r="J27" s="200" t="s">
        <v>41</v>
      </c>
      <c r="K27" s="573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17666</v>
      </c>
      <c r="H28" s="619">
        <v>0.11541</v>
      </c>
      <c r="I28" s="196">
        <f t="shared" si="0"/>
        <v>2038.8330599999999</v>
      </c>
      <c r="J28" s="199" t="s">
        <v>127</v>
      </c>
      <c r="K28" s="181">
        <f>SUM(K23:K27)</f>
        <v>2608260</v>
      </c>
      <c r="L28" s="182"/>
      <c r="M28" s="197">
        <f>SUM(M23:M27)</f>
        <v>295541.94059999997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2608260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2261695.4700000002</v>
      </c>
      <c r="D30" s="37"/>
      <c r="F30" s="200" t="s">
        <v>43</v>
      </c>
      <c r="G30" s="573">
        <v>53882</v>
      </c>
      <c r="H30" s="619">
        <v>7.4310000000000001E-2</v>
      </c>
      <c r="I30" s="196">
        <f t="shared" si="0"/>
        <v>4003.9714199999999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f>-8912.36</f>
        <v>-8912.36</v>
      </c>
      <c r="D31" s="39"/>
      <c r="F31" s="200" t="s">
        <v>74</v>
      </c>
      <c r="G31" s="573">
        <v>2531843</v>
      </c>
      <c r="H31" s="619">
        <v>5.4000000000000001E-4</v>
      </c>
      <c r="I31" s="196">
        <f t="shared" si="0"/>
        <v>1367.1952200000001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239">
        <f>C30+C31</f>
        <v>2252783.1100000003</v>
      </c>
      <c r="D32" s="40"/>
      <c r="F32" s="199" t="s">
        <v>127</v>
      </c>
      <c r="G32" s="181">
        <f>SUM(G23:G31)</f>
        <v>7316509</v>
      </c>
      <c r="H32" s="7"/>
      <c r="I32" s="197">
        <f>SUM(I23:I31)</f>
        <v>586381.35563999985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-69785.649999999994</v>
      </c>
      <c r="D33" s="36"/>
      <c r="F33" s="186"/>
      <c r="G33" s="231">
        <v>7316509</v>
      </c>
      <c r="H33" s="187" t="s">
        <v>102</v>
      </c>
      <c r="I33" s="216">
        <f>I32/G32</f>
        <v>8.0144964714729372E-2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2182997.4600000004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1233197</v>
      </c>
      <c r="L36" s="619">
        <v>0.23895</v>
      </c>
      <c r="M36" s="196">
        <f t="shared" ref="M36:M42" si="2">K36*L36</f>
        <v>294672.42314999999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9114751.2899999991</v>
      </c>
      <c r="D37" s="36"/>
      <c r="F37" s="200" t="s">
        <v>37</v>
      </c>
      <c r="G37" s="597">
        <f>G23</f>
        <v>2542069</v>
      </c>
      <c r="H37" s="619">
        <v>0.23860000000000001</v>
      </c>
      <c r="I37" s="196">
        <f t="shared" ref="I37:I44" si="3">G37*H37</f>
        <v>606537.66339999996</v>
      </c>
      <c r="J37" s="200" t="s">
        <v>38</v>
      </c>
      <c r="K37" s="597">
        <f>K24</f>
        <v>1319570</v>
      </c>
      <c r="L37" s="619">
        <v>0.23895</v>
      </c>
      <c r="M37" s="196">
        <f t="shared" si="2"/>
        <v>315311.25150000001</v>
      </c>
      <c r="P37" s="273"/>
      <c r="Q37" s="273"/>
    </row>
    <row r="38" spans="1:17" ht="15.75">
      <c r="A38" s="144" t="s">
        <v>14</v>
      </c>
      <c r="B38" s="538" t="s">
        <v>115</v>
      </c>
      <c r="C38" s="571">
        <v>0</v>
      </c>
      <c r="D38" s="36"/>
      <c r="F38" s="200" t="s">
        <v>324</v>
      </c>
      <c r="G38" s="597">
        <f>G24</f>
        <v>3619</v>
      </c>
      <c r="H38" s="619">
        <v>0.23860000000000001</v>
      </c>
      <c r="I38" s="196">
        <f t="shared" si="3"/>
        <v>863.49340000000007</v>
      </c>
      <c r="J38" s="200" t="s">
        <v>39</v>
      </c>
      <c r="K38" s="597">
        <f>K25</f>
        <v>55493</v>
      </c>
      <c r="L38" s="619">
        <v>0.23895</v>
      </c>
      <c r="M38" s="196">
        <f t="shared" si="2"/>
        <v>13260.05235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-35272.519999999997</v>
      </c>
      <c r="D39" s="36"/>
      <c r="F39" s="200" t="s">
        <v>38</v>
      </c>
      <c r="G39" s="597">
        <f t="shared" ref="G39:G44" si="4">G25</f>
        <v>1878375</v>
      </c>
      <c r="H39" s="619">
        <v>0.23860000000000001</v>
      </c>
      <c r="I39" s="196">
        <f t="shared" si="3"/>
        <v>448180.27500000002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-296417.55</v>
      </c>
      <c r="D40" s="36"/>
      <c r="F40" s="200" t="s">
        <v>39</v>
      </c>
      <c r="G40" s="597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-76044.240000000005</v>
      </c>
      <c r="D41" s="36"/>
      <c r="F41" s="200" t="s">
        <v>40</v>
      </c>
      <c r="G41" s="597">
        <f t="shared" si="4"/>
        <v>289055</v>
      </c>
      <c r="H41" s="619">
        <v>0.23860000000000001</v>
      </c>
      <c r="I41" s="196">
        <f t="shared" si="3"/>
        <v>68968.523000000001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978495.27</v>
      </c>
      <c r="D42" s="37"/>
      <c r="F42" s="200" t="s">
        <v>41</v>
      </c>
      <c r="G42" s="597">
        <f t="shared" si="4"/>
        <v>17666</v>
      </c>
      <c r="H42" s="619">
        <v>0.23860000000000001</v>
      </c>
      <c r="I42" s="196">
        <f t="shared" si="3"/>
        <v>4215.1076000000003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9685512.2499999981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2608260</v>
      </c>
      <c r="L43" s="182"/>
      <c r="M43" s="197">
        <f>SUM(M36:M42)</f>
        <v>623243.72699999996</v>
      </c>
    </row>
    <row r="44" spans="1:17" ht="16.5" thickBot="1">
      <c r="A44" s="83" t="s">
        <v>177</v>
      </c>
      <c r="B44" s="84" t="s">
        <v>120</v>
      </c>
      <c r="C44" s="571">
        <f>-4479530.18+1084985.05+10055.88</f>
        <v>-3384489.25</v>
      </c>
      <c r="D44" s="37"/>
      <c r="F44" s="200" t="s">
        <v>43</v>
      </c>
      <c r="G44" s="597">
        <f t="shared" si="4"/>
        <v>53882</v>
      </c>
      <c r="H44" s="619">
        <v>0.23860000000000001</v>
      </c>
      <c r="I44" s="196">
        <f t="shared" si="3"/>
        <v>12856.245200000001</v>
      </c>
      <c r="J44" s="194"/>
      <c r="K44" s="232">
        <v>2608260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4784666</v>
      </c>
      <c r="H45" s="182"/>
      <c r="I45" s="197">
        <f>SUM(I37:I44)</f>
        <v>1141621.3075999999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4784666</v>
      </c>
      <c r="H46" s="189" t="s">
        <v>102</v>
      </c>
      <c r="I46" s="215">
        <f>I45/G45</f>
        <v>0.23859999999999998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571">
        <v>21755.06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20134.36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1106.52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6943.44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169" t="s">
        <v>118</v>
      </c>
      <c r="B52" s="626"/>
      <c r="C52" s="596">
        <f>-C33</f>
        <v>69785.649999999994</v>
      </c>
      <c r="D52" s="33"/>
      <c r="F52" s="385" t="s">
        <v>136</v>
      </c>
      <c r="G52" s="385"/>
      <c r="H52" s="212">
        <f>K12</f>
        <v>561375.81972799893</v>
      </c>
      <c r="I52" s="115">
        <f>I14</f>
        <v>1539668.1085380004</v>
      </c>
      <c r="J52" s="115">
        <f>L12</f>
        <v>299056.97027199942</v>
      </c>
      <c r="K52" s="115">
        <f>J14</f>
        <v>643329.35146200017</v>
      </c>
      <c r="L52" s="132">
        <f>SUM(H52:K52)</f>
        <v>3043430.2499999986</v>
      </c>
      <c r="M52" s="385"/>
    </row>
    <row r="53" spans="1:21" ht="16.5" thickBot="1">
      <c r="A53" s="385" t="s">
        <v>334</v>
      </c>
      <c r="B53" s="625" t="s">
        <v>335</v>
      </c>
      <c r="C53" s="571">
        <v>15372.09</v>
      </c>
      <c r="D53" s="33"/>
      <c r="F53" s="384" t="s">
        <v>109</v>
      </c>
      <c r="H53" s="212">
        <f>-I45</f>
        <v>-1141621.3075999999</v>
      </c>
      <c r="I53" s="115">
        <f>-I32</f>
        <v>-586381.35563999985</v>
      </c>
      <c r="J53" s="115">
        <f>-M43</f>
        <v>-623243.72699999996</v>
      </c>
      <c r="K53" s="115">
        <f>-M28</f>
        <v>-295541.94059999997</v>
      </c>
      <c r="L53" s="261">
        <f>SUM(H53:K53)</f>
        <v>-2646788.3308399995</v>
      </c>
    </row>
    <row r="54" spans="1:21" ht="16.5" thickBot="1">
      <c r="A54" s="382" t="s">
        <v>124</v>
      </c>
      <c r="B54" s="473" t="s">
        <v>313</v>
      </c>
      <c r="C54" s="571">
        <f>150582.75-3901605.45-1596395.18</f>
        <v>-5347417.88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396641.91915999912</v>
      </c>
    </row>
    <row r="55" spans="1:21" ht="16.5" thickBot="1">
      <c r="A55" s="384" t="s">
        <v>331</v>
      </c>
      <c r="B55" s="6" t="s">
        <v>190</v>
      </c>
      <c r="C55" s="571">
        <v>-375000</v>
      </c>
      <c r="D55" s="36"/>
      <c r="F55" s="384" t="s">
        <v>71</v>
      </c>
      <c r="H55" s="125">
        <f>IFERROR(H52+H53+H54,0)</f>
        <v>-580245.48787200102</v>
      </c>
      <c r="I55" s="125">
        <f>I52+I53+I54</f>
        <v>953286.75289800053</v>
      </c>
      <c r="J55" s="125">
        <f>IFERROR(J52+J53+J54,0)</f>
        <v>-324186.75672800053</v>
      </c>
      <c r="K55" s="125">
        <f>K52+K53+K54</f>
        <v>347787.41086200019</v>
      </c>
      <c r="L55" s="47">
        <f>SUM(H55:K55)</f>
        <v>396641.91915999918</v>
      </c>
    </row>
    <row r="56" spans="1:21" ht="16.5" thickBot="1">
      <c r="A56" s="82" t="s">
        <v>119</v>
      </c>
      <c r="B56" s="84"/>
      <c r="C56" s="160">
        <f>SUM(C43:C55)</f>
        <v>720702.23999999836</v>
      </c>
      <c r="D56" s="36"/>
      <c r="F56" s="240" t="s">
        <v>181</v>
      </c>
      <c r="H56" s="384" t="s">
        <v>173</v>
      </c>
      <c r="I56" s="5">
        <f>SUM(H55:I55)</f>
        <v>373041.26502599951</v>
      </c>
      <c r="J56" s="15" t="s">
        <v>174</v>
      </c>
      <c r="K56" s="384">
        <f>SUM(J55:K55)</f>
        <v>23600.654133999662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71">
        <v>94937.33</v>
      </c>
      <c r="D57" s="36"/>
      <c r="F57" s="397"/>
      <c r="H57" s="96"/>
    </row>
    <row r="58" spans="1:21" ht="16.5" thickBot="1">
      <c r="A58" s="384" t="s">
        <v>122</v>
      </c>
      <c r="B58" s="6" t="s">
        <v>115</v>
      </c>
      <c r="C58" s="571">
        <v>44793.22</v>
      </c>
      <c r="D58" s="36"/>
      <c r="F58" s="397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860432.78999999829</v>
      </c>
      <c r="D59" s="36"/>
      <c r="F59" s="549"/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3043430.2499999986</v>
      </c>
      <c r="D61" s="36"/>
      <c r="H61" s="349">
        <f>SUM('WA - Def-Amtz (June)'!BJ5:BJ10,'WA - Def-Amtz (June)'!BJ41:BJ46,'WA - Def-Amtz (June)'!BJ76:BJ79,'ID - Def-Amtz (June)'!BK5:BK10,'ID - Def-Amtz (June)'!BK42:BK47,'ID - Def-Amtz (June)'!BK75:BK80)</f>
        <v>1016873.4489822474</v>
      </c>
      <c r="I61" s="449">
        <f>SUM('WA - Def-Amtz (June)'!BK5:BK10,'WA - Def-Amtz (June)'!BJ41:BJ46,'WA - Def-Amtz (June)'!BJ76:BJ79,'ID - Def-Amtz (June)'!BL5:BL10,'ID - Def-Amtz (June)'!BL42:BL47,'ID - Def-Amtz (June)'!BL75:BL80)</f>
        <v>1016873.4489822475</v>
      </c>
      <c r="J61" s="384">
        <f>H53+I53+J53+K53</f>
        <v>-2646788.3308399995</v>
      </c>
    </row>
    <row r="62" spans="1:21" ht="15.75">
      <c r="A62" s="2"/>
      <c r="B62" s="9" t="s">
        <v>160</v>
      </c>
      <c r="C62" s="570">
        <v>3043430.25</v>
      </c>
      <c r="D62" s="37"/>
      <c r="G62" s="5"/>
      <c r="I62" s="338">
        <f>H61-I61</f>
        <v>0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86" priority="7" stopIfTrue="1" operator="equal">
      <formula>0</formula>
    </cfRule>
    <cfRule type="cellIs" dxfId="785" priority="8" stopIfTrue="1" operator="notEqual">
      <formula>0</formula>
    </cfRule>
  </conditionalFormatting>
  <conditionalFormatting sqref="G34 G47 K30 K47">
    <cfRule type="cellIs" dxfId="784" priority="6" operator="notEqual">
      <formula>0</formula>
    </cfRule>
  </conditionalFormatting>
  <conditionalFormatting sqref="C63">
    <cfRule type="cellIs" dxfId="783" priority="4" stopIfTrue="1" operator="equal">
      <formula>0</formula>
    </cfRule>
    <cfRule type="cellIs" dxfId="782" priority="5" stopIfTrue="1" operator="notEqual">
      <formula>0</formula>
    </cfRule>
  </conditionalFormatting>
  <conditionalFormatting sqref="K30">
    <cfRule type="cellIs" dxfId="781" priority="3" operator="notEqual">
      <formula>0</formula>
    </cfRule>
  </conditionalFormatting>
  <conditionalFormatting sqref="G59">
    <cfRule type="cellIs" dxfId="780" priority="2" operator="equal">
      <formula>"ERROR"</formula>
    </cfRule>
  </conditionalFormatting>
  <conditionalFormatting sqref="G59">
    <cfRule type="cellIs" dxfId="77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43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Jun!C1+1</f>
        <v>201707</v>
      </c>
      <c r="F1" s="532">
        <f>C1</f>
        <v>201707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44463.08-6.51</f>
        <v>44456.57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0.65149999999999997</v>
      </c>
      <c r="L5" s="445">
        <f>1-K5</f>
        <v>0.34850000000000003</v>
      </c>
      <c r="M5" s="385"/>
    </row>
    <row r="6" spans="1:13" ht="16.5" thickBot="1">
      <c r="A6" s="49" t="s">
        <v>30</v>
      </c>
      <c r="C6" s="572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5"/>
    </row>
    <row r="8" spans="1:13" ht="15.75">
      <c r="A8" s="384" t="s">
        <v>89</v>
      </c>
      <c r="C8" s="571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6176.25</f>
        <v>6176.25</v>
      </c>
      <c r="D9" s="36"/>
      <c r="F9" s="166" t="s">
        <v>119</v>
      </c>
      <c r="G9" s="385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5"/>
    </row>
    <row r="10" spans="1:13" ht="15.75">
      <c r="A10" s="49" t="s">
        <v>91</v>
      </c>
      <c r="C10" s="572">
        <f>-3418.47</f>
        <v>-3418.47</v>
      </c>
      <c r="D10" s="36"/>
      <c r="F10" s="169" t="s">
        <v>44</v>
      </c>
      <c r="G10" s="385"/>
      <c r="H10" s="167">
        <f>C57</f>
        <v>1710.99</v>
      </c>
      <c r="I10" s="167"/>
      <c r="J10" s="167"/>
      <c r="K10" s="167">
        <f>H10</f>
        <v>1710.99</v>
      </c>
      <c r="L10" s="167"/>
      <c r="M10" s="385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5"/>
      <c r="H11" s="170">
        <f>C58</f>
        <v>465.53</v>
      </c>
      <c r="I11" s="167"/>
      <c r="J11" s="167"/>
      <c r="K11" s="170"/>
      <c r="L11" s="170">
        <f>H11</f>
        <v>465.53</v>
      </c>
      <c r="M11" s="385"/>
    </row>
    <row r="12" spans="1:13" ht="15.75">
      <c r="A12" s="384" t="s">
        <v>165</v>
      </c>
      <c r="C12" s="571">
        <f>190672.32+5805.69</f>
        <v>196478.01</v>
      </c>
      <c r="D12" s="36"/>
      <c r="F12" s="169" t="s">
        <v>138</v>
      </c>
      <c r="G12" s="385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5"/>
    </row>
    <row r="13" spans="1:13" ht="16.5" thickBot="1">
      <c r="A13" s="49" t="s">
        <v>166</v>
      </c>
      <c r="C13" s="56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5"/>
    </row>
    <row r="15" spans="1:13" ht="15.75">
      <c r="A15" s="384" t="s">
        <v>183</v>
      </c>
      <c r="C15" s="571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6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2285.45+64812.3+10435.1</f>
        <v>77532.850000000006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72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2070483</v>
      </c>
      <c r="H23" s="619">
        <v>0.12678</v>
      </c>
      <c r="I23" s="196">
        <f t="shared" ref="I23:I31" si="0">G23*H23</f>
        <v>262495.83474000002</v>
      </c>
      <c r="J23" s="200" t="s">
        <v>37</v>
      </c>
      <c r="K23" s="573">
        <v>1087844</v>
      </c>
      <c r="L23" s="619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324</v>
      </c>
      <c r="G24" s="573">
        <v>2296</v>
      </c>
      <c r="H24" s="619">
        <v>0.12678</v>
      </c>
      <c r="I24" s="196">
        <f t="shared" si="0"/>
        <v>291.08688000000001</v>
      </c>
      <c r="J24" s="200" t="s">
        <v>38</v>
      </c>
      <c r="K24" s="573">
        <v>931171</v>
      </c>
      <c r="L24" s="619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1446879</v>
      </c>
      <c r="H25" s="619">
        <v>0.11865000000000001</v>
      </c>
      <c r="I25" s="196">
        <f t="shared" si="0"/>
        <v>171672.19335000002</v>
      </c>
      <c r="J25" s="200" t="s">
        <v>39</v>
      </c>
      <c r="K25" s="573">
        <v>70834</v>
      </c>
      <c r="L25" s="619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619">
        <v>0.11865000000000001</v>
      </c>
      <c r="I26" s="196">
        <f t="shared" si="0"/>
        <v>0</v>
      </c>
      <c r="J26" s="200" t="s">
        <v>40</v>
      </c>
      <c r="K26" s="573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274504</v>
      </c>
      <c r="H27" s="619">
        <v>0.11541</v>
      </c>
      <c r="I27" s="196">
        <f t="shared" si="0"/>
        <v>31680.50664</v>
      </c>
      <c r="J27" s="200" t="s">
        <v>41</v>
      </c>
      <c r="K27" s="573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44343</v>
      </c>
      <c r="H28" s="619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619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73">
        <v>67673</v>
      </c>
      <c r="H30" s="619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v>0</v>
      </c>
      <c r="D31" s="39"/>
      <c r="F31" s="200" t="s">
        <v>74</v>
      </c>
      <c r="G31" s="573">
        <v>2144434</v>
      </c>
      <c r="H31" s="619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2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1087844</v>
      </c>
      <c r="L36" s="619">
        <v>0.23895</v>
      </c>
      <c r="M36" s="196">
        <f t="shared" ref="M36:M42" si="2">K36*L36</f>
        <v>259940.32379999998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8310205.4500000002</v>
      </c>
      <c r="D37" s="36"/>
      <c r="F37" s="200" t="s">
        <v>37</v>
      </c>
      <c r="G37" s="597">
        <f>G23</f>
        <v>2070483</v>
      </c>
      <c r="H37" s="619">
        <v>0.23860000000000001</v>
      </c>
      <c r="I37" s="196">
        <f t="shared" ref="I37:I44" si="3">G37*H37</f>
        <v>494017.2438</v>
      </c>
      <c r="J37" s="200" t="s">
        <v>38</v>
      </c>
      <c r="K37" s="597">
        <f>K24</f>
        <v>931171</v>
      </c>
      <c r="L37" s="619">
        <v>0.23895</v>
      </c>
      <c r="M37" s="196">
        <f t="shared" si="2"/>
        <v>222503.31044999999</v>
      </c>
      <c r="P37" s="273"/>
      <c r="Q37" s="273"/>
    </row>
    <row r="38" spans="1:17" ht="15.75">
      <c r="A38" s="144" t="s">
        <v>14</v>
      </c>
      <c r="B38" s="538" t="s">
        <v>115</v>
      </c>
      <c r="C38" s="122">
        <v>0</v>
      </c>
      <c r="D38" s="36"/>
      <c r="F38" s="200" t="s">
        <v>324</v>
      </c>
      <c r="G38" s="597">
        <f>G24</f>
        <v>2296</v>
      </c>
      <c r="H38" s="619">
        <v>0.23860000000000001</v>
      </c>
      <c r="I38" s="196">
        <f t="shared" si="3"/>
        <v>547.82560000000001</v>
      </c>
      <c r="J38" s="200" t="s">
        <v>39</v>
      </c>
      <c r="K38" s="597">
        <f>K25</f>
        <v>70834</v>
      </c>
      <c r="L38" s="619">
        <v>0.23895</v>
      </c>
      <c r="M38" s="196">
        <f t="shared" si="2"/>
        <v>16925.784299999999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-1156.3399999999999</v>
      </c>
      <c r="D39" s="36"/>
      <c r="F39" s="200" t="s">
        <v>38</v>
      </c>
      <c r="G39" s="597">
        <f t="shared" ref="G39:G44" si="4">G25</f>
        <v>1446879</v>
      </c>
      <c r="H39" s="619">
        <v>0.23860000000000001</v>
      </c>
      <c r="I39" s="196">
        <f t="shared" si="3"/>
        <v>345225.32939999999</v>
      </c>
      <c r="J39" s="200" t="s">
        <v>40</v>
      </c>
      <c r="K39" s="597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261096.29</v>
      </c>
      <c r="D40" s="36"/>
      <c r="F40" s="200" t="s">
        <v>39</v>
      </c>
      <c r="G40" s="597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597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21511.93</v>
      </c>
      <c r="D41" s="36"/>
      <c r="F41" s="200" t="s">
        <v>40</v>
      </c>
      <c r="G41" s="597">
        <f t="shared" si="4"/>
        <v>274504</v>
      </c>
      <c r="H41" s="619">
        <v>0.23860000000000001</v>
      </c>
      <c r="I41" s="196">
        <f t="shared" si="3"/>
        <v>65496.654399999999</v>
      </c>
      <c r="J41" s="200" t="s">
        <v>42</v>
      </c>
      <c r="K41" s="57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371821.59</v>
      </c>
      <c r="D42" s="37"/>
      <c r="F42" s="200" t="s">
        <v>41</v>
      </c>
      <c r="G42" s="597">
        <f t="shared" si="4"/>
        <v>44343</v>
      </c>
      <c r="H42" s="619">
        <v>0.23860000000000001</v>
      </c>
      <c r="I42" s="196">
        <f t="shared" si="3"/>
        <v>10580.239800000001</v>
      </c>
      <c r="J42" s="200" t="s">
        <v>43</v>
      </c>
      <c r="K42" s="598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97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71">
        <f>-1579802.39+1125281.72-364.1+266.04</f>
        <v>-454618.72999999992</v>
      </c>
      <c r="D44" s="37"/>
      <c r="F44" s="200" t="s">
        <v>43</v>
      </c>
      <c r="G44" s="597">
        <f t="shared" si="4"/>
        <v>67673</v>
      </c>
      <c r="H44" s="619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67"/>
    </row>
    <row r="47" spans="1:17" ht="19.149999999999999" customHeight="1">
      <c r="A47" s="384" t="s">
        <v>137</v>
      </c>
      <c r="B47" s="6" t="s">
        <v>115</v>
      </c>
      <c r="C47" s="571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27365.119999999999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700.49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4150.05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5" t="s">
        <v>136</v>
      </c>
      <c r="G52" s="385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5"/>
    </row>
    <row r="53" spans="1:21" ht="16.5" thickBot="1">
      <c r="A53" s="385" t="s">
        <v>334</v>
      </c>
      <c r="B53" s="627" t="s">
        <v>335</v>
      </c>
      <c r="C53" s="571">
        <v>50484.03</v>
      </c>
      <c r="D53" s="36"/>
      <c r="F53" s="384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1">
        <f>SUM(H53:K53)</f>
        <v>-2145628.3017700003</v>
      </c>
    </row>
    <row r="54" spans="1:21" ht="16.5" thickBot="1">
      <c r="A54" s="382" t="s">
        <v>124</v>
      </c>
      <c r="B54" s="473" t="s">
        <v>313</v>
      </c>
      <c r="C54" s="571">
        <v>-10242621.720000001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4" t="s">
        <v>331</v>
      </c>
      <c r="B55" s="6" t="s">
        <v>190</v>
      </c>
      <c r="C55" s="571">
        <v>-375000</v>
      </c>
      <c r="D55" s="36"/>
      <c r="F55" s="384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40" t="s">
        <v>181</v>
      </c>
      <c r="H56" s="384" t="s">
        <v>173</v>
      </c>
      <c r="I56" s="5">
        <f>SUM(H55:I55)</f>
        <v>-1088055.1352310004</v>
      </c>
      <c r="J56" s="15" t="s">
        <v>174</v>
      </c>
      <c r="K56" s="384">
        <f>SUM(J55:K55)</f>
        <v>-752876.37653900031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71">
        <v>1710.99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71">
        <v>465.53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9">
        <f>SUM('WA - Def-Amtz (July)'!BJ5:BJ10,'WA - Def-Amtz (July)'!BJ41:BJ46,'WA - Def-Amtz (July)'!BJ76:BJ79,'ID - Def-Amtz (July)'!BL5:BL10,'ID - Def-Amtz (July)'!BL42:BL47,'ID - Def-Amtz (July)'!BL75:BL80)</f>
        <v>2392893.6438251925</v>
      </c>
      <c r="I61" s="449">
        <f>SUM('WA - Def-Amtz (July)'!BK5:BK10,'WA - Def-Amtz (July)'!BK41:BK46,'WA - Def-Amtz (July)'!BK76:BK79,'ID - Def-Amtz (July)'!BL5:BL10,'ID - Def-Amtz (July)'!BL42:BL47,'ID - Def-Amtz (July)'!BL75:BL80)</f>
        <v>2392893.6438251925</v>
      </c>
      <c r="J61" s="384">
        <f>H53+I53+J53+K53</f>
        <v>-2145628.3017700003</v>
      </c>
    </row>
    <row r="62" spans="1:21" ht="15.75">
      <c r="A62" s="2"/>
      <c r="B62" s="9" t="s">
        <v>160</v>
      </c>
      <c r="C62" s="350">
        <v>304696.78999999998</v>
      </c>
      <c r="G62" s="5"/>
      <c r="I62" s="338">
        <f>H61-I61</f>
        <v>0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78" priority="7" stopIfTrue="1" operator="equal">
      <formula>0</formula>
    </cfRule>
    <cfRule type="cellIs" dxfId="777" priority="8" stopIfTrue="1" operator="notEqual">
      <formula>0</formula>
    </cfRule>
  </conditionalFormatting>
  <conditionalFormatting sqref="G34 G47 K30 K47">
    <cfRule type="cellIs" dxfId="776" priority="6" operator="notEqual">
      <formula>0</formula>
    </cfRule>
  </conditionalFormatting>
  <conditionalFormatting sqref="C63">
    <cfRule type="cellIs" dxfId="775" priority="4" stopIfTrue="1" operator="equal">
      <formula>0</formula>
    </cfRule>
    <cfRule type="cellIs" dxfId="774" priority="5" stopIfTrue="1" operator="notEqual">
      <formula>0</formula>
    </cfRule>
  </conditionalFormatting>
  <conditionalFormatting sqref="K30">
    <cfRule type="cellIs" dxfId="773" priority="3" operator="notEqual">
      <formula>0</formula>
    </cfRule>
  </conditionalFormatting>
  <conditionalFormatting sqref="G59">
    <cfRule type="cellIs" dxfId="772" priority="2" operator="equal">
      <formula>"ERROR"</formula>
    </cfRule>
  </conditionalFormatting>
  <conditionalFormatting sqref="G59">
    <cfRule type="cellIs" dxfId="77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X1485"/>
  <sheetViews>
    <sheetView showGridLines="0" zoomScale="70" zoomScaleNormal="70" workbookViewId="0">
      <pane ySplit="1" topLeftCell="A23" activePane="bottomLeft" state="frozen"/>
      <selection activeCell="G52" sqref="G52:G53"/>
      <selection pane="bottomLeft"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5" width="25.28515625" style="384" customWidth="1"/>
    <col min="6" max="6" width="46.140625" style="385" customWidth="1"/>
    <col min="7" max="7" width="2.7109375" style="30" customWidth="1"/>
    <col min="8" max="8" width="4.28515625" style="384" customWidth="1"/>
    <col min="9" max="9" width="26.7109375" style="384" customWidth="1"/>
    <col min="10" max="10" width="19" style="384" customWidth="1"/>
    <col min="11" max="11" width="22" style="384" customWidth="1"/>
    <col min="12" max="12" width="20.42578125" style="384" customWidth="1"/>
    <col min="13" max="13" width="26.28515625" style="384" customWidth="1"/>
    <col min="14" max="14" width="21.85546875" style="384" bestFit="1" customWidth="1"/>
    <col min="15" max="15" width="23.85546875" style="384" customWidth="1"/>
    <col min="16" max="16" width="20.85546875" style="384" bestFit="1" customWidth="1"/>
    <col min="17" max="18" width="16" style="384"/>
    <col min="19" max="19" width="16.28515625" style="384" bestFit="1" customWidth="1"/>
    <col min="20" max="16384" width="16" style="384"/>
  </cols>
  <sheetData>
    <row r="1" spans="1:16" ht="16.5" thickBot="1">
      <c r="A1" s="145" t="s">
        <v>64</v>
      </c>
      <c r="B1" s="29"/>
      <c r="C1" s="532">
        <v>201707</v>
      </c>
      <c r="D1" s="532">
        <v>201708</v>
      </c>
      <c r="E1" s="532" t="s">
        <v>336</v>
      </c>
      <c r="F1" s="532" t="s">
        <v>337</v>
      </c>
      <c r="I1" s="532">
        <f>D1</f>
        <v>201708</v>
      </c>
      <c r="J1" s="385"/>
      <c r="K1" s="162" t="s">
        <v>69</v>
      </c>
      <c r="L1" s="126" t="s">
        <v>3</v>
      </c>
      <c r="M1" s="126" t="s">
        <v>3</v>
      </c>
      <c r="N1" s="126" t="s">
        <v>66</v>
      </c>
      <c r="O1" s="126" t="s">
        <v>66</v>
      </c>
      <c r="P1" s="385"/>
    </row>
    <row r="2" spans="1:16" ht="15.75">
      <c r="C2" s="31"/>
      <c r="D2" s="31"/>
      <c r="E2" s="31"/>
      <c r="F2" s="31"/>
      <c r="I2" s="385"/>
      <c r="J2" s="385"/>
      <c r="K2" s="163" t="s">
        <v>32</v>
      </c>
      <c r="L2" s="164" t="s">
        <v>65</v>
      </c>
      <c r="M2" s="164" t="s">
        <v>65</v>
      </c>
      <c r="N2" s="164" t="s">
        <v>67</v>
      </c>
      <c r="O2" s="164" t="s">
        <v>67</v>
      </c>
      <c r="P2" s="385"/>
    </row>
    <row r="3" spans="1:16" ht="16.5" thickBot="1">
      <c r="A3" s="63" t="s">
        <v>110</v>
      </c>
      <c r="C3" s="32"/>
      <c r="D3" s="32"/>
      <c r="E3" s="32"/>
      <c r="F3" s="32"/>
      <c r="G3" s="33"/>
      <c r="I3" s="50" t="s">
        <v>72</v>
      </c>
      <c r="J3" s="385"/>
      <c r="K3" s="165" t="s">
        <v>68</v>
      </c>
      <c r="L3" s="165" t="s">
        <v>35</v>
      </c>
      <c r="M3" s="165" t="s">
        <v>63</v>
      </c>
      <c r="N3" s="165" t="s">
        <v>35</v>
      </c>
      <c r="O3" s="165" t="s">
        <v>63</v>
      </c>
      <c r="P3" s="385"/>
    </row>
    <row r="4" spans="1:16" ht="15.75">
      <c r="A4" s="385" t="s">
        <v>88</v>
      </c>
      <c r="C4" s="584">
        <v>4598122.63</v>
      </c>
      <c r="D4" s="584">
        <v>4598122.63</v>
      </c>
      <c r="E4" s="584">
        <f>D4-C4</f>
        <v>0</v>
      </c>
      <c r="F4" s="122"/>
      <c r="G4" s="34"/>
      <c r="I4" s="385"/>
      <c r="J4" s="385"/>
      <c r="K4" s="11"/>
      <c r="L4" s="385"/>
      <c r="M4" s="385"/>
      <c r="O4" s="385"/>
      <c r="P4" s="385"/>
    </row>
    <row r="5" spans="1:16" ht="14.25" customHeight="1">
      <c r="A5" s="385" t="s">
        <v>31</v>
      </c>
      <c r="C5" s="584">
        <v>44456.57</v>
      </c>
      <c r="D5" s="584">
        <v>42807.439999999995</v>
      </c>
      <c r="E5" s="584">
        <f t="shared" ref="E5:E63" si="0">D5-C5</f>
        <v>-1649.1300000000047</v>
      </c>
      <c r="F5" s="122"/>
      <c r="G5" s="34"/>
      <c r="I5" s="385"/>
      <c r="J5" s="385"/>
      <c r="K5" s="11"/>
      <c r="L5" s="615">
        <v>0.70530000000000004</v>
      </c>
      <c r="M5" s="615">
        <v>0.29470000000000002</v>
      </c>
      <c r="N5" s="445">
        <f>ROUND(J45/(J45+N43),4)</f>
        <v>0.61480000000000001</v>
      </c>
      <c r="O5" s="445">
        <f>1-N5</f>
        <v>0.38519999999999999</v>
      </c>
      <c r="P5" s="385"/>
    </row>
    <row r="6" spans="1:16" ht="16.5" thickBot="1">
      <c r="A6" s="49" t="s">
        <v>30</v>
      </c>
      <c r="C6" s="585">
        <v>-3242371.84</v>
      </c>
      <c r="D6" s="585">
        <v>-3242371.84</v>
      </c>
      <c r="E6" s="585">
        <f t="shared" si="0"/>
        <v>0</v>
      </c>
      <c r="F6" s="122"/>
      <c r="G6" s="34"/>
      <c r="I6" s="385"/>
      <c r="J6" s="385"/>
      <c r="K6" s="385"/>
      <c r="L6" s="385"/>
      <c r="M6" s="385"/>
      <c r="N6" s="385"/>
      <c r="O6" s="385"/>
      <c r="P6" s="385"/>
    </row>
    <row r="7" spans="1:16" ht="16.5" thickBot="1">
      <c r="A7" s="66" t="s">
        <v>140</v>
      </c>
      <c r="C7" s="100">
        <v>1400207.3600000003</v>
      </c>
      <c r="D7" s="100">
        <v>1398558.2300000004</v>
      </c>
      <c r="E7" s="100">
        <f t="shared" si="0"/>
        <v>-1649.1299999998882</v>
      </c>
      <c r="F7" s="100"/>
      <c r="G7" s="35"/>
      <c r="I7" s="166" t="s">
        <v>139</v>
      </c>
      <c r="J7" s="166"/>
      <c r="K7" s="125">
        <f>D34</f>
        <v>2229985.0300000003</v>
      </c>
      <c r="L7" s="167">
        <f>K7*L5</f>
        <v>1572808.4416590002</v>
      </c>
      <c r="M7" s="167">
        <f>K7*M5</f>
        <v>657176.58834100014</v>
      </c>
      <c r="N7" s="167"/>
      <c r="O7" s="167"/>
      <c r="P7" s="385"/>
    </row>
    <row r="8" spans="1:16" ht="15.75">
      <c r="A8" s="384" t="s">
        <v>89</v>
      </c>
      <c r="C8" s="584">
        <v>191512.75</v>
      </c>
      <c r="D8" s="584">
        <v>191512.75</v>
      </c>
      <c r="E8" s="584">
        <f t="shared" si="0"/>
        <v>0</v>
      </c>
      <c r="F8" s="122"/>
      <c r="G8" s="35"/>
      <c r="I8" s="385"/>
      <c r="J8" s="385"/>
      <c r="K8" s="168"/>
      <c r="L8" s="168"/>
      <c r="M8" s="168"/>
      <c r="N8" s="168"/>
      <c r="O8" s="168"/>
      <c r="P8" s="385"/>
    </row>
    <row r="9" spans="1:16" ht="15.75">
      <c r="A9" s="385" t="s">
        <v>90</v>
      </c>
      <c r="C9" s="584">
        <v>6176.25</v>
      </c>
      <c r="D9" s="584">
        <v>6446.71</v>
      </c>
      <c r="E9" s="584">
        <f t="shared" si="0"/>
        <v>270.46000000000004</v>
      </c>
      <c r="F9" s="122"/>
      <c r="G9" s="36"/>
      <c r="I9" s="166" t="s">
        <v>119</v>
      </c>
      <c r="J9" s="385"/>
      <c r="K9" s="167">
        <f>D56</f>
        <v>-1823262.9799999995</v>
      </c>
      <c r="L9" s="167"/>
      <c r="M9" s="167"/>
      <c r="N9" s="167">
        <f>K9*N5</f>
        <v>-1120942.0801039997</v>
      </c>
      <c r="O9" s="167">
        <f>K9*O5</f>
        <v>-702320.89989599981</v>
      </c>
      <c r="P9" s="385"/>
    </row>
    <row r="10" spans="1:16" ht="15.75">
      <c r="A10" s="49" t="s">
        <v>91</v>
      </c>
      <c r="C10" s="585">
        <v>-3418.47</v>
      </c>
      <c r="D10" s="585">
        <v>-3418.47</v>
      </c>
      <c r="E10" s="585">
        <f t="shared" si="0"/>
        <v>0</v>
      </c>
      <c r="F10" s="122"/>
      <c r="G10" s="36"/>
      <c r="I10" s="169" t="s">
        <v>44</v>
      </c>
      <c r="J10" s="385"/>
      <c r="K10" s="167">
        <f>D57</f>
        <v>-60364.39</v>
      </c>
      <c r="L10" s="167"/>
      <c r="M10" s="167"/>
      <c r="N10" s="167">
        <f>K10</f>
        <v>-60364.39</v>
      </c>
      <c r="O10" s="167"/>
      <c r="P10" s="385"/>
    </row>
    <row r="11" spans="1:16">
      <c r="A11" s="66" t="s">
        <v>145</v>
      </c>
      <c r="C11" s="100">
        <v>194270.53</v>
      </c>
      <c r="D11" s="100">
        <v>194540.99</v>
      </c>
      <c r="E11" s="100">
        <f t="shared" si="0"/>
        <v>270.45999999999185</v>
      </c>
      <c r="F11" s="100"/>
      <c r="G11" s="36"/>
      <c r="I11" s="169" t="s">
        <v>45</v>
      </c>
      <c r="J11" s="385"/>
      <c r="K11" s="170">
        <f>D58</f>
        <v>-38982.51</v>
      </c>
      <c r="L11" s="167"/>
      <c r="M11" s="167"/>
      <c r="N11" s="170"/>
      <c r="O11" s="170">
        <f>K11</f>
        <v>-38982.51</v>
      </c>
      <c r="P11" s="385"/>
    </row>
    <row r="12" spans="1:16" ht="15.75">
      <c r="A12" s="384" t="s">
        <v>165</v>
      </c>
      <c r="C12" s="584">
        <v>196478.01</v>
      </c>
      <c r="D12" s="584">
        <v>188427.39</v>
      </c>
      <c r="E12" s="584">
        <f t="shared" si="0"/>
        <v>-8050.6199999999953</v>
      </c>
      <c r="F12" s="122"/>
      <c r="G12" s="36"/>
      <c r="I12" s="169" t="s">
        <v>138</v>
      </c>
      <c r="J12" s="385"/>
      <c r="K12" s="167">
        <f>K9+K10+K11</f>
        <v>-1922609.8799999994</v>
      </c>
      <c r="L12" s="167"/>
      <c r="M12" s="167"/>
      <c r="N12" s="167">
        <f>SUM(N9:N11)</f>
        <v>-1181306.4701039996</v>
      </c>
      <c r="O12" s="167">
        <f>SUM(O9:O11)</f>
        <v>-741303.40989599982</v>
      </c>
      <c r="P12" s="385"/>
    </row>
    <row r="13" spans="1:16" ht="16.5" thickBot="1">
      <c r="A13" s="49" t="s">
        <v>166</v>
      </c>
      <c r="C13" s="566">
        <v>0</v>
      </c>
      <c r="D13" s="566">
        <v>0</v>
      </c>
      <c r="E13" s="566">
        <f t="shared" si="0"/>
        <v>0</v>
      </c>
      <c r="F13" s="122"/>
      <c r="G13" s="36"/>
      <c r="I13" s="171"/>
      <c r="J13" s="172"/>
      <c r="K13" s="173"/>
      <c r="L13" s="174"/>
      <c r="M13" s="173"/>
      <c r="N13" s="168"/>
      <c r="O13" s="173"/>
      <c r="P13" s="385"/>
    </row>
    <row r="14" spans="1:16" ht="16.5" thickBot="1">
      <c r="A14" s="66" t="s">
        <v>92</v>
      </c>
      <c r="C14" s="100">
        <v>196478.01</v>
      </c>
      <c r="D14" s="100">
        <v>188427.39</v>
      </c>
      <c r="E14" s="100">
        <f t="shared" si="0"/>
        <v>-8050.6199999999953</v>
      </c>
      <c r="F14" s="100"/>
      <c r="G14" s="37"/>
      <c r="I14" s="50" t="s">
        <v>69</v>
      </c>
      <c r="J14" s="175"/>
      <c r="K14" s="125">
        <f>K12+K7</f>
        <v>307375.15000000084</v>
      </c>
      <c r="L14" s="176">
        <f>SUM(L7:L13)</f>
        <v>1572808.4416590002</v>
      </c>
      <c r="M14" s="176">
        <f>SUM(M7:M13)</f>
        <v>657176.58834100014</v>
      </c>
      <c r="N14" s="176">
        <f>N12</f>
        <v>-1181306.4701039996</v>
      </c>
      <c r="O14" s="176">
        <f>O12</f>
        <v>-741303.40989599982</v>
      </c>
      <c r="P14" s="385"/>
    </row>
    <row r="15" spans="1:16" ht="15.75">
      <c r="A15" s="384" t="s">
        <v>183</v>
      </c>
      <c r="C15" s="584">
        <v>459104.7</v>
      </c>
      <c r="D15" s="584">
        <v>440292.23</v>
      </c>
      <c r="E15" s="584">
        <f t="shared" si="0"/>
        <v>-18812.47000000003</v>
      </c>
      <c r="F15" s="122"/>
      <c r="G15" s="36"/>
      <c r="I15" s="171"/>
      <c r="J15" s="172" t="s">
        <v>102</v>
      </c>
      <c r="K15" s="173">
        <f>K14-D61</f>
        <v>0</v>
      </c>
      <c r="L15" s="177"/>
      <c r="M15" s="173">
        <f>M7+L7-K7</f>
        <v>0</v>
      </c>
      <c r="N15" s="385"/>
      <c r="O15" s="173">
        <f>K12-N14-O14</f>
        <v>0</v>
      </c>
      <c r="P15" s="385"/>
    </row>
    <row r="16" spans="1:16" ht="15.75">
      <c r="A16" s="49" t="s">
        <v>184</v>
      </c>
      <c r="C16" s="566">
        <v>0</v>
      </c>
      <c r="D16" s="566">
        <v>0</v>
      </c>
      <c r="E16" s="566">
        <f t="shared" si="0"/>
        <v>0</v>
      </c>
      <c r="F16" s="122"/>
      <c r="G16" s="36"/>
      <c r="I16" s="178"/>
      <c r="J16" s="172"/>
      <c r="K16" s="179"/>
      <c r="L16" s="180"/>
      <c r="M16" s="179"/>
      <c r="N16" s="385"/>
      <c r="O16" s="179"/>
      <c r="P16" s="385"/>
    </row>
    <row r="17" spans="1:16" ht="15.75" thickBot="1">
      <c r="A17" s="66" t="s">
        <v>185</v>
      </c>
      <c r="C17" s="100">
        <v>459104.7</v>
      </c>
      <c r="D17" s="100">
        <v>440292.23</v>
      </c>
      <c r="E17" s="100">
        <f t="shared" si="0"/>
        <v>-18812.47000000003</v>
      </c>
      <c r="F17" s="100"/>
      <c r="G17" s="37"/>
      <c r="I17" s="171"/>
      <c r="J17" s="172"/>
      <c r="K17" s="179"/>
      <c r="L17" s="180"/>
      <c r="M17" s="183"/>
      <c r="N17" s="385"/>
      <c r="O17" s="179"/>
      <c r="P17" s="385"/>
    </row>
    <row r="18" spans="1:16" ht="16.5" thickBot="1">
      <c r="A18" s="384" t="s">
        <v>163</v>
      </c>
      <c r="C18" s="584">
        <v>77532.850000000006</v>
      </c>
      <c r="D18" s="584">
        <v>73501.070000000007</v>
      </c>
      <c r="E18" s="584">
        <f t="shared" si="0"/>
        <v>-4031.7799999999988</v>
      </c>
      <c r="F18" s="122"/>
      <c r="G18" s="36"/>
      <c r="I18" s="650" t="s">
        <v>134</v>
      </c>
      <c r="J18" s="651"/>
      <c r="K18" s="651"/>
      <c r="L18" s="652"/>
      <c r="M18" s="650" t="s">
        <v>135</v>
      </c>
      <c r="N18" s="651"/>
      <c r="O18" s="651"/>
      <c r="P18" s="652"/>
    </row>
    <row r="19" spans="1:16" ht="15.75">
      <c r="A19" s="46" t="s">
        <v>164</v>
      </c>
      <c r="C19" s="585">
        <v>-7861.34</v>
      </c>
      <c r="D19" s="585">
        <v>-4284.96</v>
      </c>
      <c r="E19" s="585">
        <f t="shared" si="0"/>
        <v>3576.38</v>
      </c>
      <c r="F19" s="122"/>
      <c r="G19" s="36"/>
      <c r="I19" s="201" t="s">
        <v>108</v>
      </c>
      <c r="J19" s="164" t="s">
        <v>33</v>
      </c>
      <c r="K19" s="164" t="s">
        <v>33</v>
      </c>
      <c r="L19" s="164" t="s">
        <v>33</v>
      </c>
      <c r="M19" s="201" t="s">
        <v>108</v>
      </c>
      <c r="N19" s="164" t="s">
        <v>33</v>
      </c>
      <c r="O19" s="164" t="s">
        <v>33</v>
      </c>
      <c r="P19" s="185" t="s">
        <v>33</v>
      </c>
    </row>
    <row r="20" spans="1:16" ht="16.5" thickBot="1">
      <c r="A20" s="67" t="s">
        <v>93</v>
      </c>
      <c r="C20" s="100">
        <v>69671.510000000009</v>
      </c>
      <c r="D20" s="100">
        <v>69216.11</v>
      </c>
      <c r="E20" s="100">
        <f t="shared" si="0"/>
        <v>-455.40000000000873</v>
      </c>
      <c r="F20" s="100"/>
      <c r="G20" s="36"/>
      <c r="I20" s="195" t="s">
        <v>162</v>
      </c>
      <c r="J20" s="165" t="s">
        <v>101</v>
      </c>
      <c r="K20" s="165" t="s">
        <v>36</v>
      </c>
      <c r="L20" s="165" t="s">
        <v>34</v>
      </c>
      <c r="M20" s="195" t="s">
        <v>162</v>
      </c>
      <c r="N20" s="165" t="s">
        <v>101</v>
      </c>
      <c r="O20" s="165" t="s">
        <v>36</v>
      </c>
      <c r="P20" s="165" t="s">
        <v>34</v>
      </c>
    </row>
    <row r="21" spans="1:16" ht="15.75">
      <c r="A21" s="46" t="s">
        <v>149</v>
      </c>
      <c r="C21" s="585">
        <v>1850</v>
      </c>
      <c r="D21" s="585">
        <v>1720.29</v>
      </c>
      <c r="E21" s="585">
        <f t="shared" si="0"/>
        <v>-129.71000000000004</v>
      </c>
      <c r="F21" s="122"/>
      <c r="G21" s="36"/>
      <c r="I21" s="184"/>
      <c r="J21" s="12"/>
      <c r="K21" s="12"/>
      <c r="L21" s="185"/>
      <c r="M21" s="129"/>
      <c r="N21" s="13"/>
      <c r="O21" s="13"/>
      <c r="P21" s="205"/>
    </row>
    <row r="22" spans="1:16" ht="18" customHeight="1">
      <c r="A22" s="65" t="s">
        <v>149</v>
      </c>
      <c r="C22" s="100">
        <v>1850</v>
      </c>
      <c r="D22" s="100">
        <v>1720.29</v>
      </c>
      <c r="E22" s="100">
        <f t="shared" si="0"/>
        <v>-129.71000000000004</v>
      </c>
      <c r="F22" s="100"/>
      <c r="G22" s="36"/>
      <c r="I22" s="199" t="s">
        <v>126</v>
      </c>
      <c r="J22" s="7"/>
      <c r="K22" s="7"/>
      <c r="L22" s="98"/>
      <c r="M22" s="199" t="s">
        <v>126</v>
      </c>
      <c r="N22" s="7"/>
      <c r="O22" s="7"/>
      <c r="P22" s="98"/>
    </row>
    <row r="23" spans="1:16" ht="15.75">
      <c r="A23" s="208" t="s">
        <v>180</v>
      </c>
      <c r="C23" s="100">
        <v>0</v>
      </c>
      <c r="D23" s="100">
        <v>0</v>
      </c>
      <c r="E23" s="100">
        <f t="shared" si="0"/>
        <v>0</v>
      </c>
      <c r="F23" s="100"/>
      <c r="G23" s="36"/>
      <c r="I23" s="200" t="s">
        <v>37</v>
      </c>
      <c r="J23" s="576">
        <v>2080707</v>
      </c>
      <c r="K23" s="619">
        <v>0.12678</v>
      </c>
      <c r="L23" s="196">
        <f t="shared" ref="L23:L31" si="1">J23*K23</f>
        <v>263792.03346000001</v>
      </c>
      <c r="M23" s="200" t="s">
        <v>37</v>
      </c>
      <c r="N23" s="576">
        <v>986275</v>
      </c>
      <c r="O23" s="619">
        <v>0.11330999999999999</v>
      </c>
      <c r="P23" s="196">
        <f>N23*O23</f>
        <v>111754.82024999999</v>
      </c>
    </row>
    <row r="24" spans="1:16" ht="15.75">
      <c r="A24" s="208" t="s">
        <v>186</v>
      </c>
      <c r="C24" s="312">
        <v>0</v>
      </c>
      <c r="D24" s="312">
        <v>0</v>
      </c>
      <c r="E24" s="312">
        <f t="shared" si="0"/>
        <v>0</v>
      </c>
      <c r="F24" s="122"/>
      <c r="G24" s="36"/>
      <c r="I24" s="200" t="s">
        <v>324</v>
      </c>
      <c r="J24" s="576">
        <v>2393</v>
      </c>
      <c r="K24" s="619">
        <v>0.12678</v>
      </c>
      <c r="L24" s="196">
        <f t="shared" si="1"/>
        <v>303.38454000000002</v>
      </c>
      <c r="M24" s="200" t="s">
        <v>38</v>
      </c>
      <c r="N24" s="576">
        <v>1366641</v>
      </c>
      <c r="O24" s="619">
        <v>0.11330999999999999</v>
      </c>
      <c r="P24" s="196">
        <f t="shared" ref="P24:P27" si="2">N24*O24</f>
        <v>154854.09170999998</v>
      </c>
    </row>
    <row r="25" spans="1:16" ht="15.75">
      <c r="A25" s="208" t="s">
        <v>189</v>
      </c>
      <c r="C25" s="314">
        <v>0</v>
      </c>
      <c r="D25" s="314">
        <v>0</v>
      </c>
      <c r="E25" s="314">
        <f t="shared" si="0"/>
        <v>0</v>
      </c>
      <c r="F25" s="568"/>
      <c r="G25" s="36"/>
      <c r="I25" s="200" t="s">
        <v>38</v>
      </c>
      <c r="J25" s="576">
        <v>1463939</v>
      </c>
      <c r="K25" s="619">
        <v>0.11865000000000001</v>
      </c>
      <c r="L25" s="196">
        <f t="shared" si="1"/>
        <v>173696.36235000001</v>
      </c>
      <c r="M25" s="200" t="s">
        <v>39</v>
      </c>
      <c r="N25" s="576">
        <v>82239</v>
      </c>
      <c r="O25" s="619">
        <v>0.11330999999999999</v>
      </c>
      <c r="P25" s="196">
        <f t="shared" si="2"/>
        <v>9318.5010899999997</v>
      </c>
    </row>
    <row r="26" spans="1:16" ht="15.75">
      <c r="A26" s="209" t="s">
        <v>188</v>
      </c>
      <c r="C26" s="315">
        <v>0</v>
      </c>
      <c r="D26" s="315">
        <v>0</v>
      </c>
      <c r="E26" s="315">
        <f t="shared" si="0"/>
        <v>0</v>
      </c>
      <c r="F26" s="568"/>
      <c r="G26" s="36"/>
      <c r="I26" s="200" t="s">
        <v>39</v>
      </c>
      <c r="J26" s="576">
        <v>0</v>
      </c>
      <c r="K26" s="619">
        <v>0.11865000000000001</v>
      </c>
      <c r="L26" s="196">
        <f t="shared" si="1"/>
        <v>0</v>
      </c>
      <c r="M26" s="200" t="s">
        <v>40</v>
      </c>
      <c r="N26" s="576">
        <v>0</v>
      </c>
      <c r="O26" s="619">
        <v>0.11330999999999999</v>
      </c>
      <c r="P26" s="196">
        <f t="shared" si="2"/>
        <v>0</v>
      </c>
    </row>
    <row r="27" spans="1:16" ht="15.75">
      <c r="A27" s="65" t="s">
        <v>96</v>
      </c>
      <c r="C27" s="100">
        <v>0</v>
      </c>
      <c r="D27" s="100">
        <v>0</v>
      </c>
      <c r="E27" s="100">
        <f t="shared" si="0"/>
        <v>0</v>
      </c>
      <c r="F27" s="100"/>
      <c r="G27" s="36"/>
      <c r="I27" s="200" t="s">
        <v>40</v>
      </c>
      <c r="J27" s="576">
        <v>291721</v>
      </c>
      <c r="K27" s="619">
        <v>0.11541</v>
      </c>
      <c r="L27" s="196">
        <f t="shared" si="1"/>
        <v>33667.52061</v>
      </c>
      <c r="M27" s="200" t="s">
        <v>41</v>
      </c>
      <c r="N27" s="576">
        <v>0</v>
      </c>
      <c r="O27" s="619">
        <v>0.11330999999999999</v>
      </c>
      <c r="P27" s="196">
        <f t="shared" si="2"/>
        <v>0</v>
      </c>
    </row>
    <row r="28" spans="1:16" ht="16.5" thickBot="1">
      <c r="A28" s="210" t="s">
        <v>150</v>
      </c>
      <c r="C28" s="312">
        <v>0</v>
      </c>
      <c r="D28" s="312">
        <v>0</v>
      </c>
      <c r="E28" s="312">
        <f t="shared" si="0"/>
        <v>0</v>
      </c>
      <c r="F28" s="122"/>
      <c r="G28" s="37"/>
      <c r="I28" s="200" t="s">
        <v>41</v>
      </c>
      <c r="J28" s="576">
        <v>24662</v>
      </c>
      <c r="K28" s="619">
        <v>0.11541</v>
      </c>
      <c r="L28" s="196">
        <f t="shared" si="1"/>
        <v>2846.2414199999998</v>
      </c>
      <c r="M28" s="199" t="s">
        <v>127</v>
      </c>
      <c r="N28" s="181">
        <f>SUM(N23:N27)</f>
        <v>2435155</v>
      </c>
      <c r="O28" s="182"/>
      <c r="P28" s="197">
        <f>SUM(P23:P27)</f>
        <v>275927.41304999992</v>
      </c>
    </row>
    <row r="29" spans="1:16" ht="17.25" thickTop="1" thickBot="1">
      <c r="A29" s="210" t="s">
        <v>167</v>
      </c>
      <c r="B29" s="385"/>
      <c r="C29" s="312">
        <v>0</v>
      </c>
      <c r="D29" s="312">
        <v>0</v>
      </c>
      <c r="E29" s="312">
        <f t="shared" si="0"/>
        <v>0</v>
      </c>
      <c r="F29" s="122"/>
      <c r="G29" s="36"/>
      <c r="I29" s="200" t="s">
        <v>42</v>
      </c>
      <c r="J29" s="576">
        <v>0</v>
      </c>
      <c r="K29" s="619">
        <v>7.4310000000000001E-2</v>
      </c>
      <c r="L29" s="196">
        <f t="shared" si="1"/>
        <v>0</v>
      </c>
      <c r="M29" s="199"/>
      <c r="N29" s="231">
        <v>2435155</v>
      </c>
      <c r="O29" s="187" t="s">
        <v>102</v>
      </c>
      <c r="P29" s="465">
        <f>P28/N28</f>
        <v>0.11330999999999997</v>
      </c>
    </row>
    <row r="30" spans="1:16" ht="16.5" thickBot="1">
      <c r="A30" s="2" t="s">
        <v>111</v>
      </c>
      <c r="C30" s="125">
        <v>2321582.1100000003</v>
      </c>
      <c r="D30" s="125">
        <v>2292755.2400000002</v>
      </c>
      <c r="E30" s="125">
        <f t="shared" si="0"/>
        <v>-28826.870000000112</v>
      </c>
      <c r="F30" s="582"/>
      <c r="G30" s="37"/>
      <c r="I30" s="200" t="s">
        <v>43</v>
      </c>
      <c r="J30" s="576">
        <v>23786</v>
      </c>
      <c r="K30" s="619">
        <v>7.4310000000000001E-2</v>
      </c>
      <c r="L30" s="196">
        <f t="shared" si="1"/>
        <v>1767.53766</v>
      </c>
      <c r="M30" s="200"/>
      <c r="N30" s="230">
        <f>N28-N29</f>
        <v>0</v>
      </c>
      <c r="O30" s="182"/>
      <c r="P30" s="198"/>
    </row>
    <row r="31" spans="1:16" ht="15.75">
      <c r="A31" s="384" t="s">
        <v>112</v>
      </c>
      <c r="C31" s="584">
        <v>0</v>
      </c>
      <c r="D31" s="584">
        <v>-17801.02</v>
      </c>
      <c r="E31" s="584">
        <f t="shared" si="0"/>
        <v>-17801.02</v>
      </c>
      <c r="F31" s="122"/>
      <c r="G31" s="39"/>
      <c r="I31" s="200" t="s">
        <v>74</v>
      </c>
      <c r="J31" s="576">
        <v>2338940</v>
      </c>
      <c r="K31" s="619">
        <v>5.4000000000000001E-4</v>
      </c>
      <c r="L31" s="196">
        <f t="shared" si="1"/>
        <v>1263.0276000000001</v>
      </c>
      <c r="M31" s="153"/>
      <c r="N31" s="7"/>
      <c r="O31" s="182"/>
      <c r="P31" s="198"/>
    </row>
    <row r="32" spans="1:16" ht="16.5" thickBot="1">
      <c r="A32" s="2" t="s">
        <v>116</v>
      </c>
      <c r="B32" s="2" t="s">
        <v>117</v>
      </c>
      <c r="C32" s="588">
        <v>2321582.1100000003</v>
      </c>
      <c r="D32" s="588">
        <v>2274954.2200000002</v>
      </c>
      <c r="E32" s="588">
        <f t="shared" si="0"/>
        <v>-46627.89000000013</v>
      </c>
      <c r="F32" s="582"/>
      <c r="G32" s="40"/>
      <c r="I32" s="199" t="s">
        <v>127</v>
      </c>
      <c r="J32" s="181">
        <f>SUM(J23:J31)</f>
        <v>6226148</v>
      </c>
      <c r="K32" s="7"/>
      <c r="L32" s="197">
        <f>SUM(L23:L31)</f>
        <v>477336.10763999994</v>
      </c>
      <c r="M32" s="192"/>
      <c r="N32" s="193"/>
      <c r="O32" s="7"/>
      <c r="P32" s="190"/>
    </row>
    <row r="33" spans="1:20" ht="17.25" thickTop="1" thickBot="1">
      <c r="A33" s="384" t="s">
        <v>113</v>
      </c>
      <c r="C33" s="588">
        <v>-42771.479999999996</v>
      </c>
      <c r="D33" s="588">
        <v>-44969.189999999995</v>
      </c>
      <c r="E33" s="588">
        <f t="shared" si="0"/>
        <v>-2197.7099999999991</v>
      </c>
      <c r="F33" s="582"/>
      <c r="G33" s="36"/>
      <c r="I33" s="186"/>
      <c r="J33" s="231">
        <v>6226148</v>
      </c>
      <c r="K33" s="187" t="s">
        <v>102</v>
      </c>
      <c r="L33" s="216">
        <f>L32/J32</f>
        <v>7.6666360587637802E-2</v>
      </c>
      <c r="M33" s="192"/>
      <c r="N33" s="193"/>
      <c r="O33" s="7"/>
      <c r="P33" s="98"/>
    </row>
    <row r="34" spans="1:20" ht="16.5" thickBot="1">
      <c r="A34" s="2" t="s">
        <v>114</v>
      </c>
      <c r="C34" s="125">
        <v>2278810.6300000004</v>
      </c>
      <c r="D34" s="125">
        <v>2229985.0300000003</v>
      </c>
      <c r="E34" s="125">
        <f t="shared" si="0"/>
        <v>-48825.600000000093</v>
      </c>
      <c r="F34" s="582"/>
      <c r="G34" s="36"/>
      <c r="I34" s="153"/>
      <c r="J34" s="230">
        <f>J32-J33</f>
        <v>0</v>
      </c>
      <c r="K34" s="7"/>
      <c r="L34" s="98"/>
      <c r="M34" s="192"/>
      <c r="N34" s="191"/>
      <c r="O34" s="7"/>
      <c r="P34" s="98"/>
    </row>
    <row r="35" spans="1:20" ht="18" customHeight="1">
      <c r="A35" s="2"/>
      <c r="C35" s="101"/>
      <c r="D35" s="101"/>
      <c r="E35" s="101">
        <f t="shared" si="0"/>
        <v>0</v>
      </c>
      <c r="F35" s="582"/>
      <c r="G35" s="36"/>
      <c r="I35" s="184"/>
      <c r="J35" s="12"/>
      <c r="K35" s="12"/>
      <c r="L35" s="185"/>
      <c r="M35" s="199" t="s">
        <v>128</v>
      </c>
      <c r="N35" s="648"/>
      <c r="O35" s="648"/>
      <c r="P35" s="649"/>
    </row>
    <row r="36" spans="1:20" ht="15.75">
      <c r="A36" s="16" t="s">
        <v>94</v>
      </c>
      <c r="B36" s="2"/>
      <c r="C36" s="100"/>
      <c r="D36" s="100"/>
      <c r="E36" s="100">
        <f t="shared" si="0"/>
        <v>0</v>
      </c>
      <c r="F36" s="100"/>
      <c r="G36" s="36"/>
      <c r="I36" s="199" t="s">
        <v>128</v>
      </c>
      <c r="J36" s="7"/>
      <c r="K36" s="7"/>
      <c r="L36" s="98"/>
      <c r="M36" s="200" t="s">
        <v>37</v>
      </c>
      <c r="N36" s="631">
        <f>N23</f>
        <v>986275</v>
      </c>
      <c r="O36" s="619">
        <v>0.23895</v>
      </c>
      <c r="P36" s="196">
        <f t="shared" ref="P36:P42" si="3">N36*O36</f>
        <v>235670.41125</v>
      </c>
      <c r="S36" s="273"/>
      <c r="T36" s="273"/>
    </row>
    <row r="37" spans="1:20" ht="15.75">
      <c r="A37" s="410" t="s">
        <v>129</v>
      </c>
      <c r="B37" s="634" t="s">
        <v>115</v>
      </c>
      <c r="C37" s="635">
        <v>8310205.4500000002</v>
      </c>
      <c r="D37" s="635">
        <v>7642183.6399999997</v>
      </c>
      <c r="E37" s="635">
        <f t="shared" si="0"/>
        <v>-668021.81000000052</v>
      </c>
      <c r="F37" s="122" t="s">
        <v>338</v>
      </c>
      <c r="G37" s="36"/>
      <c r="I37" s="200" t="s">
        <v>37</v>
      </c>
      <c r="J37" s="631">
        <f>J23</f>
        <v>2080707</v>
      </c>
      <c r="K37" s="619">
        <v>0.23860000000000001</v>
      </c>
      <c r="L37" s="196">
        <f t="shared" ref="L37:L44" si="4">J37*K37</f>
        <v>496456.69020000001</v>
      </c>
      <c r="M37" s="200" t="s">
        <v>38</v>
      </c>
      <c r="N37" s="631">
        <f>N24</f>
        <v>1366641</v>
      </c>
      <c r="O37" s="619">
        <v>0.23895</v>
      </c>
      <c r="P37" s="196">
        <f t="shared" si="3"/>
        <v>326558.86695</v>
      </c>
      <c r="S37" s="273"/>
      <c r="T37" s="273"/>
    </row>
    <row r="38" spans="1:20" ht="15.75">
      <c r="A38" s="144" t="s">
        <v>14</v>
      </c>
      <c r="B38" s="633" t="s">
        <v>115</v>
      </c>
      <c r="C38" s="584">
        <v>0</v>
      </c>
      <c r="D38" s="584">
        <v>0</v>
      </c>
      <c r="E38" s="584">
        <f t="shared" si="0"/>
        <v>0</v>
      </c>
      <c r="F38" s="122"/>
      <c r="G38" s="36"/>
      <c r="I38" s="200" t="s">
        <v>324</v>
      </c>
      <c r="J38" s="631">
        <f>J24</f>
        <v>2393</v>
      </c>
      <c r="K38" s="619">
        <v>0.23860000000000001</v>
      </c>
      <c r="L38" s="196">
        <f t="shared" si="4"/>
        <v>570.96979999999996</v>
      </c>
      <c r="M38" s="200" t="s">
        <v>39</v>
      </c>
      <c r="N38" s="631">
        <f>N25</f>
        <v>82239</v>
      </c>
      <c r="O38" s="619">
        <v>0.23895</v>
      </c>
      <c r="P38" s="196">
        <f t="shared" si="3"/>
        <v>19651.009050000001</v>
      </c>
      <c r="S38" s="273"/>
      <c r="T38" s="273"/>
    </row>
    <row r="39" spans="1:20" ht="15.75">
      <c r="A39" s="7" t="s">
        <v>146</v>
      </c>
      <c r="B39" s="633" t="s">
        <v>147</v>
      </c>
      <c r="C39" s="584">
        <v>-1156.3399999999999</v>
      </c>
      <c r="D39" s="584">
        <v>-54851.29</v>
      </c>
      <c r="E39" s="584">
        <f t="shared" si="0"/>
        <v>-53694.950000000004</v>
      </c>
      <c r="F39" s="122"/>
      <c r="G39" s="36"/>
      <c r="I39" s="200" t="s">
        <v>38</v>
      </c>
      <c r="J39" s="631">
        <f t="shared" ref="J39:J44" si="5">J25</f>
        <v>1463939</v>
      </c>
      <c r="K39" s="619">
        <v>0.23860000000000001</v>
      </c>
      <c r="L39" s="196">
        <f t="shared" si="4"/>
        <v>349295.84539999999</v>
      </c>
      <c r="M39" s="200" t="s">
        <v>40</v>
      </c>
      <c r="N39" s="631">
        <f>N26</f>
        <v>0</v>
      </c>
      <c r="O39" s="619">
        <v>0.23895</v>
      </c>
      <c r="P39" s="196">
        <f t="shared" si="3"/>
        <v>0</v>
      </c>
      <c r="S39" s="273"/>
      <c r="T39" s="273"/>
    </row>
    <row r="40" spans="1:20" ht="15.75">
      <c r="A40" s="7" t="s">
        <v>131</v>
      </c>
      <c r="B40" s="633" t="s">
        <v>132</v>
      </c>
      <c r="C40" s="584">
        <v>261096.29</v>
      </c>
      <c r="D40" s="584">
        <v>306159.90999999997</v>
      </c>
      <c r="E40" s="584">
        <f t="shared" si="0"/>
        <v>45063.619999999966</v>
      </c>
      <c r="F40" s="122"/>
      <c r="G40" s="36"/>
      <c r="I40" s="200" t="s">
        <v>39</v>
      </c>
      <c r="J40" s="631">
        <f t="shared" si="5"/>
        <v>0</v>
      </c>
      <c r="K40" s="619">
        <v>0.23860000000000001</v>
      </c>
      <c r="L40" s="196">
        <f t="shared" si="4"/>
        <v>0</v>
      </c>
      <c r="M40" s="200" t="s">
        <v>41</v>
      </c>
      <c r="N40" s="631">
        <f>N27</f>
        <v>0</v>
      </c>
      <c r="O40" s="619">
        <v>0.23895</v>
      </c>
      <c r="P40" s="196">
        <f t="shared" si="3"/>
        <v>0</v>
      </c>
      <c r="S40" s="273"/>
      <c r="T40" s="273"/>
    </row>
    <row r="41" spans="1:20" ht="15.75">
      <c r="A41" s="7" t="s">
        <v>153</v>
      </c>
      <c r="B41" s="6" t="s">
        <v>155</v>
      </c>
      <c r="C41" s="584">
        <v>21511.93</v>
      </c>
      <c r="D41" s="584">
        <v>54490.6</v>
      </c>
      <c r="E41" s="584">
        <f t="shared" si="0"/>
        <v>32978.67</v>
      </c>
      <c r="F41" s="122"/>
      <c r="G41" s="36"/>
      <c r="I41" s="200" t="s">
        <v>40</v>
      </c>
      <c r="J41" s="631">
        <f t="shared" si="5"/>
        <v>291721</v>
      </c>
      <c r="K41" s="619">
        <v>0.23860000000000001</v>
      </c>
      <c r="L41" s="196">
        <f t="shared" si="4"/>
        <v>69604.630600000004</v>
      </c>
      <c r="M41" s="200" t="s">
        <v>42</v>
      </c>
      <c r="N41" s="576">
        <v>0</v>
      </c>
      <c r="O41" s="619">
        <v>0.23895</v>
      </c>
      <c r="P41" s="196">
        <f t="shared" si="3"/>
        <v>0</v>
      </c>
      <c r="S41" s="273"/>
      <c r="T41" s="273"/>
    </row>
    <row r="42" spans="1:20" ht="16.5" thickBot="1">
      <c r="A42" s="7" t="s">
        <v>178</v>
      </c>
      <c r="B42" s="633" t="s">
        <v>179</v>
      </c>
      <c r="C42" s="584">
        <v>371821.59</v>
      </c>
      <c r="D42" s="584">
        <v>350599.55</v>
      </c>
      <c r="E42" s="584">
        <f t="shared" si="0"/>
        <v>-21222.040000000037</v>
      </c>
      <c r="F42" s="122"/>
      <c r="G42" s="37"/>
      <c r="I42" s="200" t="s">
        <v>41</v>
      </c>
      <c r="J42" s="631">
        <f t="shared" si="5"/>
        <v>24662</v>
      </c>
      <c r="K42" s="619">
        <v>0.23860000000000001</v>
      </c>
      <c r="L42" s="196">
        <f t="shared" si="4"/>
        <v>5884.3532000000005</v>
      </c>
      <c r="M42" s="200" t="s">
        <v>43</v>
      </c>
      <c r="N42" s="632">
        <v>0</v>
      </c>
      <c r="O42" s="619">
        <v>0.23895</v>
      </c>
      <c r="P42" s="196">
        <f t="shared" si="3"/>
        <v>0</v>
      </c>
      <c r="S42" s="273"/>
      <c r="T42" s="273"/>
    </row>
    <row r="43" spans="1:20" ht="16.5" thickBot="1">
      <c r="A43" s="85" t="s">
        <v>123</v>
      </c>
      <c r="B43" s="12"/>
      <c r="C43" s="125">
        <v>8963478.9199999999</v>
      </c>
      <c r="D43" s="125">
        <v>8298582.4099999992</v>
      </c>
      <c r="E43" s="125">
        <f t="shared" si="0"/>
        <v>-664896.51000000071</v>
      </c>
      <c r="F43" s="582"/>
      <c r="G43" s="36"/>
      <c r="I43" s="200" t="s">
        <v>42</v>
      </c>
      <c r="J43" s="631">
        <f t="shared" si="5"/>
        <v>0</v>
      </c>
      <c r="K43" s="619">
        <v>0.23860000000000001</v>
      </c>
      <c r="L43" s="196">
        <f t="shared" si="4"/>
        <v>0</v>
      </c>
      <c r="M43" s="199" t="s">
        <v>133</v>
      </c>
      <c r="N43" s="181">
        <f>SUM(N36:N42)</f>
        <v>2435155</v>
      </c>
      <c r="O43" s="182"/>
      <c r="P43" s="197">
        <f>SUM(P36:P42)</f>
        <v>581880.28725000005</v>
      </c>
    </row>
    <row r="44" spans="1:20" ht="16.5" thickBot="1">
      <c r="A44" s="636" t="s">
        <v>177</v>
      </c>
      <c r="B44" s="637" t="s">
        <v>120</v>
      </c>
      <c r="C44" s="635">
        <v>-454618.72999999992</v>
      </c>
      <c r="D44" s="635">
        <v>-1686409.35</v>
      </c>
      <c r="E44" s="635">
        <f t="shared" si="0"/>
        <v>-1231790.6200000001</v>
      </c>
      <c r="F44" s="122" t="s">
        <v>339</v>
      </c>
      <c r="G44" s="37"/>
      <c r="I44" s="200" t="s">
        <v>43</v>
      </c>
      <c r="J44" s="631">
        <f t="shared" si="5"/>
        <v>23786</v>
      </c>
      <c r="K44" s="619">
        <v>0.23860000000000001</v>
      </c>
      <c r="L44" s="196">
        <f t="shared" si="4"/>
        <v>5675.3396000000002</v>
      </c>
      <c r="M44" s="194"/>
      <c r="N44" s="232">
        <v>2435155</v>
      </c>
      <c r="O44" s="189" t="s">
        <v>102</v>
      </c>
      <c r="P44" s="217">
        <f>P43/N43</f>
        <v>0.23895000000000002</v>
      </c>
    </row>
    <row r="45" spans="1:20" ht="16.5" thickBot="1">
      <c r="A45" s="211" t="s">
        <v>168</v>
      </c>
      <c r="B45" s="6" t="s">
        <v>115</v>
      </c>
      <c r="C45" s="122">
        <v>0</v>
      </c>
      <c r="D45" s="122">
        <v>0</v>
      </c>
      <c r="E45" s="122">
        <f t="shared" si="0"/>
        <v>0</v>
      </c>
      <c r="F45" s="122"/>
      <c r="G45" s="39"/>
      <c r="I45" s="199" t="s">
        <v>133</v>
      </c>
      <c r="J45" s="181">
        <f>SUM(J37:J44)</f>
        <v>3887208</v>
      </c>
      <c r="K45" s="182"/>
      <c r="L45" s="197">
        <f>SUM(L37:L44)</f>
        <v>927487.82880000002</v>
      </c>
      <c r="M45" s="85"/>
      <c r="N45" s="231"/>
      <c r="O45" s="187"/>
      <c r="P45" s="567"/>
    </row>
    <row r="46" spans="1:20" ht="19.5" customHeight="1" thickTop="1" thickBot="1">
      <c r="A46" s="144" t="s">
        <v>169</v>
      </c>
      <c r="B46" s="6" t="s">
        <v>115</v>
      </c>
      <c r="C46" s="122">
        <v>0</v>
      </c>
      <c r="D46" s="122">
        <v>0</v>
      </c>
      <c r="E46" s="122">
        <f t="shared" si="0"/>
        <v>0</v>
      </c>
      <c r="F46" s="122"/>
      <c r="G46" s="40"/>
      <c r="I46" s="188"/>
      <c r="J46" s="232">
        <v>3887208</v>
      </c>
      <c r="K46" s="189" t="s">
        <v>102</v>
      </c>
      <c r="L46" s="215">
        <f>L45/J45</f>
        <v>0.23860000000000001</v>
      </c>
      <c r="M46" s="85"/>
      <c r="N46" s="231"/>
      <c r="O46" s="187"/>
      <c r="P46" s="567"/>
    </row>
    <row r="47" spans="1:20" ht="19.5" customHeight="1">
      <c r="A47" s="384" t="s">
        <v>137</v>
      </c>
      <c r="B47" s="6" t="s">
        <v>115</v>
      </c>
      <c r="C47" s="584">
        <v>0</v>
      </c>
      <c r="D47" s="584">
        <v>0</v>
      </c>
      <c r="E47" s="584">
        <f t="shared" si="0"/>
        <v>0</v>
      </c>
      <c r="F47" s="122"/>
      <c r="G47" s="36"/>
      <c r="I47" s="385"/>
      <c r="J47" s="230">
        <f>J45-J46</f>
        <v>0</v>
      </c>
      <c r="K47" s="385"/>
      <c r="L47" s="385"/>
      <c r="M47" s="124"/>
      <c r="N47" s="230">
        <f>N43-N44</f>
        <v>0</v>
      </c>
      <c r="O47" s="385"/>
      <c r="P47" s="124"/>
    </row>
    <row r="48" spans="1:20" ht="16.5" thickBot="1">
      <c r="A48" s="144" t="s">
        <v>323</v>
      </c>
      <c r="B48" s="6" t="s">
        <v>115</v>
      </c>
      <c r="C48" s="584">
        <v>7000</v>
      </c>
      <c r="D48" s="584">
        <v>7000</v>
      </c>
      <c r="E48" s="584">
        <f t="shared" si="0"/>
        <v>0</v>
      </c>
      <c r="F48" s="122"/>
      <c r="G48" s="36"/>
      <c r="I48" s="385"/>
      <c r="J48" s="385"/>
      <c r="K48" s="385"/>
      <c r="L48" s="385"/>
      <c r="M48" s="124"/>
      <c r="N48" s="114"/>
      <c r="O48" s="385"/>
      <c r="P48" s="68"/>
    </row>
    <row r="49" spans="1:24" ht="15.75">
      <c r="A49" s="7" t="s">
        <v>130</v>
      </c>
      <c r="B49" s="633" t="s">
        <v>152</v>
      </c>
      <c r="C49" s="584">
        <v>27365.119999999999</v>
      </c>
      <c r="D49" s="584">
        <v>17272.150000000001</v>
      </c>
      <c r="E49" s="584">
        <f t="shared" si="0"/>
        <v>-10092.969999999998</v>
      </c>
      <c r="F49" s="122"/>
      <c r="G49" s="36"/>
      <c r="I49" s="385"/>
      <c r="J49" s="114"/>
      <c r="K49" s="129" t="s">
        <v>35</v>
      </c>
      <c r="L49" s="13" t="s">
        <v>35</v>
      </c>
      <c r="M49" s="13" t="s">
        <v>63</v>
      </c>
      <c r="N49" s="127" t="s">
        <v>70</v>
      </c>
      <c r="O49" s="124"/>
      <c r="P49" s="385"/>
    </row>
    <row r="50" spans="1:24" ht="16.5" thickBot="1">
      <c r="A50" s="7" t="s">
        <v>222</v>
      </c>
      <c r="B50" s="633" t="s">
        <v>152</v>
      </c>
      <c r="C50" s="584">
        <v>700.49</v>
      </c>
      <c r="D50" s="584">
        <v>1011.96</v>
      </c>
      <c r="E50" s="584">
        <f t="shared" si="0"/>
        <v>311.47000000000003</v>
      </c>
      <c r="F50" s="122"/>
      <c r="G50" s="37"/>
      <c r="I50" s="50" t="s">
        <v>73</v>
      </c>
      <c r="J50" s="385"/>
      <c r="K50" s="130" t="s">
        <v>2</v>
      </c>
      <c r="L50" s="131" t="s">
        <v>3</v>
      </c>
      <c r="M50" s="131" t="s">
        <v>2</v>
      </c>
      <c r="N50" s="128" t="s">
        <v>3</v>
      </c>
      <c r="O50" s="385"/>
      <c r="P50" s="385"/>
    </row>
    <row r="51" spans="1:24" ht="15.75">
      <c r="A51" s="7" t="s">
        <v>327</v>
      </c>
      <c r="B51" s="633" t="s">
        <v>152</v>
      </c>
      <c r="C51" s="584">
        <v>4150.05</v>
      </c>
      <c r="D51" s="584">
        <v>4806.32</v>
      </c>
      <c r="E51" s="584">
        <f t="shared" si="0"/>
        <v>656.26999999999953</v>
      </c>
      <c r="F51" s="122"/>
      <c r="G51" s="36"/>
      <c r="I51" s="385"/>
      <c r="J51" s="385"/>
      <c r="K51" s="151"/>
      <c r="L51" s="152"/>
      <c r="M51" s="152"/>
      <c r="N51" s="152"/>
      <c r="O51" s="126" t="s">
        <v>103</v>
      </c>
      <c r="P51" s="385"/>
    </row>
    <row r="52" spans="1:24" ht="15.75">
      <c r="A52" s="22" t="s">
        <v>118</v>
      </c>
      <c r="B52" s="6"/>
      <c r="C52" s="623">
        <v>42771.479999999996</v>
      </c>
      <c r="D52" s="623">
        <v>44969.189999999995</v>
      </c>
      <c r="E52" s="623">
        <f t="shared" si="0"/>
        <v>2197.7099999999991</v>
      </c>
      <c r="F52" s="100"/>
      <c r="G52" s="33"/>
      <c r="I52" s="385" t="s">
        <v>136</v>
      </c>
      <c r="J52" s="385"/>
      <c r="K52" s="212">
        <f>N12</f>
        <v>-1181306.4701039996</v>
      </c>
      <c r="L52" s="115">
        <f>L14</f>
        <v>1572808.4416590002</v>
      </c>
      <c r="M52" s="115">
        <f>O12</f>
        <v>-741303.40989599982</v>
      </c>
      <c r="N52" s="115">
        <f>M14</f>
        <v>657176.58834100014</v>
      </c>
      <c r="O52" s="132">
        <f>SUM(K52:N52)</f>
        <v>307375.15000000095</v>
      </c>
      <c r="P52" s="385"/>
    </row>
    <row r="53" spans="1:24" ht="16.5" thickBot="1">
      <c r="A53" s="385" t="s">
        <v>334</v>
      </c>
      <c r="B53" s="633" t="s">
        <v>335</v>
      </c>
      <c r="C53" s="584">
        <v>50484.03</v>
      </c>
      <c r="D53" s="584">
        <v>44496.21</v>
      </c>
      <c r="E53" s="584">
        <f t="shared" si="0"/>
        <v>-5987.82</v>
      </c>
      <c r="F53" s="122"/>
      <c r="G53" s="33"/>
      <c r="I53" s="384" t="s">
        <v>109</v>
      </c>
      <c r="K53" s="212">
        <f>-L45</f>
        <v>-927487.82880000002</v>
      </c>
      <c r="L53" s="115">
        <f>-L32</f>
        <v>-477336.10763999994</v>
      </c>
      <c r="M53" s="115">
        <f>-P43</f>
        <v>-581880.28725000005</v>
      </c>
      <c r="N53" s="115">
        <f>-P28</f>
        <v>-275927.41304999992</v>
      </c>
      <c r="O53" s="261">
        <f>SUM(K53:N53)</f>
        <v>-2262631.63674</v>
      </c>
    </row>
    <row r="54" spans="1:24" ht="16.5" thickBot="1">
      <c r="A54" s="202" t="s">
        <v>124</v>
      </c>
      <c r="B54" s="638" t="s">
        <v>313</v>
      </c>
      <c r="C54" s="635">
        <v>-10242621.720000001</v>
      </c>
      <c r="D54" s="635">
        <v>-8179991.8699999992</v>
      </c>
      <c r="E54" s="635">
        <f t="shared" si="0"/>
        <v>2062629.8500000015</v>
      </c>
      <c r="F54" s="122" t="s">
        <v>340</v>
      </c>
      <c r="G54" s="36"/>
      <c r="I54" s="384" t="s">
        <v>86</v>
      </c>
      <c r="K54" s="234">
        <v>0</v>
      </c>
      <c r="L54" s="235">
        <v>0</v>
      </c>
      <c r="M54" s="235">
        <v>0</v>
      </c>
      <c r="N54" s="236">
        <v>0</v>
      </c>
      <c r="O54" s="214">
        <f>SUM(O52:O53)</f>
        <v>-1955256.4867399991</v>
      </c>
    </row>
    <row r="55" spans="1:24" ht="16.5" thickBot="1">
      <c r="A55" s="384" t="s">
        <v>331</v>
      </c>
      <c r="B55" s="6" t="s">
        <v>190</v>
      </c>
      <c r="C55" s="584">
        <v>-375000</v>
      </c>
      <c r="D55" s="584">
        <v>-375000</v>
      </c>
      <c r="E55" s="584">
        <f t="shared" si="0"/>
        <v>0</v>
      </c>
      <c r="F55" s="122"/>
      <c r="G55" s="36"/>
      <c r="I55" s="384" t="s">
        <v>71</v>
      </c>
      <c r="K55" s="125">
        <f>IFERROR(K52+K53+K54,0)</f>
        <v>-2108794.2989039999</v>
      </c>
      <c r="L55" s="125">
        <f>L52+L53+L54</f>
        <v>1095472.3340190002</v>
      </c>
      <c r="M55" s="125">
        <f>IFERROR(M52+M53+M54,0)</f>
        <v>-1323183.6971459999</v>
      </c>
      <c r="N55" s="125">
        <f>N52+N53+N54</f>
        <v>381249.17529100023</v>
      </c>
      <c r="O55" s="47">
        <f>SUM(K55:N55)</f>
        <v>-1955256.4867399994</v>
      </c>
    </row>
    <row r="56" spans="1:24" ht="16.5" thickBot="1">
      <c r="A56" s="82" t="s">
        <v>119</v>
      </c>
      <c r="B56" s="84"/>
      <c r="C56" s="160">
        <v>-1976290.3600000013</v>
      </c>
      <c r="D56" s="160">
        <v>-1823262.9799999995</v>
      </c>
      <c r="E56" s="160">
        <f t="shared" si="0"/>
        <v>153027.38000000175</v>
      </c>
      <c r="F56" s="582"/>
      <c r="G56" s="36"/>
      <c r="I56" s="240" t="s">
        <v>181</v>
      </c>
      <c r="K56" s="384" t="s">
        <v>173</v>
      </c>
      <c r="L56" s="5">
        <f>SUM(K55:L55)</f>
        <v>-1013321.9648849997</v>
      </c>
      <c r="M56" s="15" t="s">
        <v>174</v>
      </c>
      <c r="N56" s="384">
        <f>SUM(M55:N55)</f>
        <v>-941934.52185499971</v>
      </c>
      <c r="O56" s="213">
        <f>ROUND(O54-O55,3)</f>
        <v>0</v>
      </c>
      <c r="W56" s="42"/>
    </row>
    <row r="57" spans="1:24" ht="16.5" thickTop="1">
      <c r="A57" s="384" t="s">
        <v>121</v>
      </c>
      <c r="B57" s="6" t="s">
        <v>115</v>
      </c>
      <c r="C57" s="584">
        <v>1710.99</v>
      </c>
      <c r="D57" s="584">
        <v>-60364.39</v>
      </c>
      <c r="E57" s="584">
        <f t="shared" si="0"/>
        <v>-62075.38</v>
      </c>
      <c r="F57" s="122"/>
      <c r="G57" s="36"/>
      <c r="I57" s="397" t="s">
        <v>181</v>
      </c>
      <c r="K57" s="96"/>
    </row>
    <row r="58" spans="1:24" ht="16.5" thickBot="1">
      <c r="A58" s="384" t="s">
        <v>122</v>
      </c>
      <c r="B58" s="6" t="s">
        <v>115</v>
      </c>
      <c r="C58" s="584">
        <v>465.53</v>
      </c>
      <c r="D58" s="584">
        <v>-38982.51</v>
      </c>
      <c r="E58" s="584">
        <f t="shared" si="0"/>
        <v>-39448.04</v>
      </c>
      <c r="F58" s="122"/>
      <c r="G58" s="36"/>
      <c r="I58" s="397" t="s">
        <v>182</v>
      </c>
      <c r="K58" s="157"/>
      <c r="L58" s="120"/>
      <c r="M58" s="120"/>
      <c r="N58" s="204"/>
      <c r="O58" s="120"/>
    </row>
    <row r="59" spans="1:24" ht="16.5" thickBot="1">
      <c r="A59" s="2" t="s">
        <v>125</v>
      </c>
      <c r="B59" s="2"/>
      <c r="C59" s="160">
        <v>-1974113.8400000012</v>
      </c>
      <c r="D59" s="160">
        <v>-1922609.8799999994</v>
      </c>
      <c r="E59" s="160">
        <f t="shared" si="0"/>
        <v>51503.960000001825</v>
      </c>
      <c r="F59" s="582"/>
      <c r="G59" s="36"/>
      <c r="I59" s="549" t="s">
        <v>320</v>
      </c>
      <c r="J59" s="550" t="str">
        <f>IF(OR(AND(L56&gt;0,N56&gt;0),AND(L56&lt;0,N56&lt;0)),"OK","ERROR")</f>
        <v>OK</v>
      </c>
      <c r="K59" s="386" t="s">
        <v>311</v>
      </c>
      <c r="L59" s="387"/>
    </row>
    <row r="60" spans="1:24" ht="17.25" thickTop="1" thickBot="1">
      <c r="A60" s="2"/>
      <c r="C60" s="101"/>
      <c r="D60" s="101"/>
      <c r="E60" s="101">
        <f t="shared" si="0"/>
        <v>0</v>
      </c>
      <c r="F60" s="582"/>
      <c r="G60" s="36"/>
      <c r="K60" s="318" t="s">
        <v>175</v>
      </c>
      <c r="L60" s="319" t="s">
        <v>176</v>
      </c>
      <c r="M60" s="5"/>
    </row>
    <row r="61" spans="1:24" ht="16.5" thickBot="1">
      <c r="A61" s="9"/>
      <c r="B61" s="9" t="s">
        <v>95</v>
      </c>
      <c r="C61" s="125">
        <v>304696.78999999911</v>
      </c>
      <c r="D61" s="125">
        <v>307375.15000000084</v>
      </c>
      <c r="E61" s="125">
        <f t="shared" si="0"/>
        <v>2678.3600000017323</v>
      </c>
      <c r="F61" s="582"/>
      <c r="G61" s="36"/>
      <c r="K61" s="349">
        <f>'WA - Def-Amtz (current)'!BJ6+'WA - Def-Amtz (current)'!BJ8+'WA - Def-Amtz (current)'!BJ42+'WA - Def-Amtz (current)'!BJ43+'WA - Def-Amtz (current)'!BJ76+'ID - Def-Amtz (current)'!BK6+'ID - Def-Amtz (current)'!BK8+'ID - Def-Amtz (current)'!BK44+'ID - Def-Amtz (current)'!BK76</f>
        <v>6389231.3279103599</v>
      </c>
      <c r="L61" s="449">
        <f>'WA - Def-Amtz (current)'!BK7+'WA - Def-Amtz (current)'!BK44+'WA - Def-Amtz (current)'!BK77+'ID - Def-Amtz (current)'!BL7+'ID - Def-Amtz (current)'!BL42+'ID - Def-Amtz (current)'!BL45+'ID - Def-Amtz (current)'!BL77</f>
        <v>6385820.9258728474</v>
      </c>
      <c r="M61" s="384">
        <f>K53+L53+M53+N53</f>
        <v>-2262631.63674</v>
      </c>
    </row>
    <row r="62" spans="1:24" ht="15.75">
      <c r="A62" s="2"/>
      <c r="B62" s="9" t="s">
        <v>160</v>
      </c>
      <c r="C62" s="630">
        <v>304696.78999999998</v>
      </c>
      <c r="D62" s="630">
        <v>307375.15000000002</v>
      </c>
      <c r="E62" s="630">
        <f t="shared" si="0"/>
        <v>2678.3600000000442</v>
      </c>
      <c r="F62" s="639"/>
      <c r="G62" s="37"/>
      <c r="J62" s="5"/>
      <c r="L62" s="338">
        <f>K61-L61</f>
        <v>3410.402037512511</v>
      </c>
      <c r="Q62" s="5"/>
      <c r="R62" s="5"/>
      <c r="S62" s="21"/>
    </row>
    <row r="63" spans="1:24" ht="15.75">
      <c r="A63" s="9"/>
      <c r="B63" s="9" t="s">
        <v>159</v>
      </c>
      <c r="C63" s="257">
        <v>0</v>
      </c>
      <c r="D63" s="257">
        <v>0</v>
      </c>
      <c r="E63" s="257">
        <f t="shared" si="0"/>
        <v>0</v>
      </c>
      <c r="F63" s="100"/>
      <c r="V63" s="6"/>
    </row>
    <row r="64" spans="1:24" ht="15.75">
      <c r="A64" s="44"/>
      <c r="C64" s="351"/>
      <c r="D64" s="351"/>
      <c r="E64" s="351"/>
      <c r="F64" s="640"/>
      <c r="G64" s="36"/>
      <c r="Q64" s="22"/>
      <c r="X64" s="2"/>
    </row>
    <row r="65" spans="1:24" ht="15.75">
      <c r="A65" s="44"/>
      <c r="C65" s="8"/>
      <c r="D65" s="8"/>
      <c r="E65" s="8"/>
      <c r="F65" s="8"/>
      <c r="G65" s="43"/>
      <c r="Q65" s="22"/>
      <c r="V65" s="23"/>
    </row>
    <row r="66" spans="1:24" ht="15.75">
      <c r="A66" s="2"/>
      <c r="C66" s="8"/>
      <c r="D66" s="8"/>
      <c r="E66" s="8"/>
      <c r="F66" s="8"/>
      <c r="G66" s="36"/>
      <c r="Q66" s="22"/>
      <c r="V66" s="24"/>
    </row>
    <row r="67" spans="1:24">
      <c r="C67" s="100"/>
      <c r="D67" s="100"/>
      <c r="E67" s="100"/>
      <c r="F67" s="100"/>
      <c r="G67" s="36"/>
      <c r="Q67" s="22"/>
      <c r="V67" s="25"/>
    </row>
    <row r="68" spans="1:24">
      <c r="G68" s="36"/>
      <c r="Q68" s="22"/>
      <c r="V68" s="24"/>
    </row>
    <row r="69" spans="1:24">
      <c r="G69" s="36"/>
      <c r="Q69" s="22"/>
    </row>
    <row r="70" spans="1:24">
      <c r="G70" s="37"/>
      <c r="Q70" s="22"/>
      <c r="V70" s="26"/>
    </row>
    <row r="71" spans="1:24">
      <c r="G71" s="36"/>
    </row>
    <row r="72" spans="1:24">
      <c r="G72" s="36"/>
    </row>
    <row r="73" spans="1:24">
      <c r="G73" s="36"/>
      <c r="V73" s="27"/>
    </row>
    <row r="74" spans="1:24">
      <c r="G74" s="45"/>
      <c r="U74" s="6"/>
      <c r="V74" s="6"/>
      <c r="W74" s="6"/>
    </row>
    <row r="76" spans="1:24">
      <c r="X76" s="28"/>
    </row>
    <row r="1477" spans="3:4">
      <c r="C1477" s="384">
        <v>-2130</v>
      </c>
      <c r="D1477" s="384">
        <v>-2130</v>
      </c>
    </row>
    <row r="1485" spans="3:4">
      <c r="C1485" s="384">
        <v>7002168</v>
      </c>
      <c r="D1485" s="384">
        <v>7002168</v>
      </c>
    </row>
  </sheetData>
  <mergeCells count="3">
    <mergeCell ref="I18:L18"/>
    <mergeCell ref="M18:P18"/>
    <mergeCell ref="N35:P35"/>
  </mergeCells>
  <conditionalFormatting sqref="D63 O56 L62">
    <cfRule type="cellIs" dxfId="770" priority="15" stopIfTrue="1" operator="equal">
      <formula>0</formula>
    </cfRule>
    <cfRule type="cellIs" dxfId="769" priority="16" stopIfTrue="1" operator="notEqual">
      <formula>0</formula>
    </cfRule>
  </conditionalFormatting>
  <conditionalFormatting sqref="J34 J47 N30 N47">
    <cfRule type="cellIs" dxfId="768" priority="14" operator="notEqual">
      <formula>0</formula>
    </cfRule>
  </conditionalFormatting>
  <conditionalFormatting sqref="D63">
    <cfRule type="cellIs" dxfId="767" priority="12" stopIfTrue="1" operator="equal">
      <formula>0</formula>
    </cfRule>
    <cfRule type="cellIs" dxfId="766" priority="13" stopIfTrue="1" operator="notEqual">
      <formula>0</formula>
    </cfRule>
  </conditionalFormatting>
  <conditionalFormatting sqref="N30">
    <cfRule type="cellIs" dxfId="765" priority="11" operator="notEqual">
      <formula>0</formula>
    </cfRule>
  </conditionalFormatting>
  <conditionalFormatting sqref="J59">
    <cfRule type="cellIs" dxfId="764" priority="10" operator="equal">
      <formula>"ERROR"</formula>
    </cfRule>
  </conditionalFormatting>
  <conditionalFormatting sqref="J59">
    <cfRule type="cellIs" dxfId="763" priority="9" operator="equal">
      <formula>"ERROR"</formula>
    </cfRule>
  </conditionalFormatting>
  <conditionalFormatting sqref="C63">
    <cfRule type="cellIs" dxfId="762" priority="7" stopIfTrue="1" operator="equal">
      <formula>0</formula>
    </cfRule>
    <cfRule type="cellIs" dxfId="761" priority="8" stopIfTrue="1" operator="notEqual">
      <formula>0</formula>
    </cfRule>
  </conditionalFormatting>
  <conditionalFormatting sqref="C63">
    <cfRule type="cellIs" dxfId="760" priority="5" stopIfTrue="1" operator="equal">
      <formula>0</formula>
    </cfRule>
    <cfRule type="cellIs" dxfId="759" priority="6" stopIfTrue="1" operator="notEqual">
      <formula>0</formula>
    </cfRule>
  </conditionalFormatting>
  <conditionalFormatting sqref="E63:F63">
    <cfRule type="cellIs" dxfId="758" priority="3" stopIfTrue="1" operator="equal">
      <formula>0</formula>
    </cfRule>
    <cfRule type="cellIs" dxfId="757" priority="4" stopIfTrue="1" operator="notEqual">
      <formula>0</formula>
    </cfRule>
  </conditionalFormatting>
  <conditionalFormatting sqref="E63:F63">
    <cfRule type="cellIs" dxfId="756" priority="1" stopIfTrue="1" operator="equal">
      <formula>0</formula>
    </cfRule>
    <cfRule type="cellIs" dxfId="755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35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Jul!C1+1</f>
        <v>201708</v>
      </c>
      <c r="F1" s="532">
        <f>C1</f>
        <v>201708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84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84">
        <f>42848.39+117.92-158.87</f>
        <v>42807.439999999995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0.61480000000000001</v>
      </c>
      <c r="L5" s="445">
        <f>1-K5</f>
        <v>0.38519999999999999</v>
      </c>
      <c r="M5" s="385"/>
    </row>
    <row r="6" spans="1:13" ht="16.5" thickBot="1">
      <c r="A6" s="49" t="s">
        <v>30</v>
      </c>
      <c r="C6" s="585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5"/>
    </row>
    <row r="8" spans="1:13" ht="15.75">
      <c r="A8" s="384" t="s">
        <v>89</v>
      </c>
      <c r="C8" s="584"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84">
        <v>6446.71</v>
      </c>
      <c r="D9" s="36"/>
      <c r="F9" s="166" t="s">
        <v>119</v>
      </c>
      <c r="G9" s="385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5"/>
    </row>
    <row r="10" spans="1:13" ht="15.75">
      <c r="A10" s="49" t="s">
        <v>91</v>
      </c>
      <c r="C10" s="585">
        <v>-3418.47</v>
      </c>
      <c r="D10" s="36"/>
      <c r="F10" s="169" t="s">
        <v>44</v>
      </c>
      <c r="G10" s="385"/>
      <c r="H10" s="167">
        <f>C57</f>
        <v>-60364.39</v>
      </c>
      <c r="I10" s="167"/>
      <c r="J10" s="167"/>
      <c r="K10" s="167">
        <f>H10</f>
        <v>-60364.39</v>
      </c>
      <c r="L10" s="167"/>
      <c r="M10" s="385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5"/>
      <c r="H11" s="170">
        <f>C58</f>
        <v>-38982.51</v>
      </c>
      <c r="I11" s="167"/>
      <c r="J11" s="167"/>
      <c r="K11" s="170"/>
      <c r="L11" s="170">
        <f>H11</f>
        <v>-38982.51</v>
      </c>
      <c r="M11" s="385"/>
    </row>
    <row r="12" spans="1:13" ht="15.75">
      <c r="A12" s="384" t="s">
        <v>165</v>
      </c>
      <c r="C12" s="584">
        <f>190268.51-1841.12</f>
        <v>188427.39</v>
      </c>
      <c r="D12" s="36"/>
      <c r="F12" s="169" t="s">
        <v>138</v>
      </c>
      <c r="G12" s="385"/>
      <c r="H12" s="167">
        <f>H9+H10+H11</f>
        <v>-1922609.8799999994</v>
      </c>
      <c r="I12" s="167" t="s">
        <v>341</v>
      </c>
      <c r="J12" s="167"/>
      <c r="K12" s="167">
        <f>SUM(K9:K11)</f>
        <v>-1181306.4701039996</v>
      </c>
      <c r="L12" s="167">
        <f>SUM(L9:L11)</f>
        <v>-741303.40989599982</v>
      </c>
      <c r="M12" s="385"/>
    </row>
    <row r="13" spans="1:13" ht="16.5" thickBot="1">
      <c r="A13" s="49" t="s">
        <v>166</v>
      </c>
      <c r="C13" s="56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5"/>
    </row>
    <row r="15" spans="1:13" ht="15.75">
      <c r="A15" s="384" t="s">
        <v>183</v>
      </c>
      <c r="C15" s="584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6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84">
        <f>-1586.97+10413+64675.04</f>
        <v>73501.070000000007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85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5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6">
        <v>2080707</v>
      </c>
      <c r="H23" s="619">
        <v>0.12678</v>
      </c>
      <c r="I23" s="196">
        <f t="shared" ref="I23:I31" si="0">G23*H23</f>
        <v>263792.03346000001</v>
      </c>
      <c r="J23" s="200" t="s">
        <v>37</v>
      </c>
      <c r="K23" s="576">
        <v>986275</v>
      </c>
      <c r="L23" s="619">
        <v>0.11330999999999999</v>
      </c>
      <c r="M23" s="196">
        <f>K23*L23</f>
        <v>111754.82024999999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6">
        <v>2393</v>
      </c>
      <c r="H24" s="619">
        <v>0.12678</v>
      </c>
      <c r="I24" s="196">
        <f t="shared" si="0"/>
        <v>303.38454000000002</v>
      </c>
      <c r="J24" s="200" t="s">
        <v>38</v>
      </c>
      <c r="K24" s="576">
        <v>1366641</v>
      </c>
      <c r="L24" s="619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6">
        <v>1463939</v>
      </c>
      <c r="H25" s="619">
        <v>0.11865000000000001</v>
      </c>
      <c r="I25" s="196">
        <f t="shared" si="0"/>
        <v>173696.36235000001</v>
      </c>
      <c r="J25" s="200" t="s">
        <v>39</v>
      </c>
      <c r="K25" s="576">
        <v>82239</v>
      </c>
      <c r="L25" s="619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6">
        <v>0</v>
      </c>
      <c r="H26" s="619">
        <v>0.11865000000000001</v>
      </c>
      <c r="I26" s="196">
        <f t="shared" si="0"/>
        <v>0</v>
      </c>
      <c r="J26" s="200" t="s">
        <v>40</v>
      </c>
      <c r="K26" s="576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6">
        <v>291721</v>
      </c>
      <c r="H27" s="619">
        <v>0.11541</v>
      </c>
      <c r="I27" s="196">
        <f t="shared" si="0"/>
        <v>33667.52061</v>
      </c>
      <c r="J27" s="200" t="s">
        <v>41</v>
      </c>
      <c r="K27" s="576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6">
        <v>24662</v>
      </c>
      <c r="H28" s="619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6">
        <v>0</v>
      </c>
      <c r="H29" s="619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5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76">
        <v>23786</v>
      </c>
      <c r="H30" s="619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84">
        <v>-17801.02</v>
      </c>
      <c r="D31" s="39"/>
      <c r="F31" s="200" t="s">
        <v>74</v>
      </c>
      <c r="G31" s="576">
        <v>2338940</v>
      </c>
      <c r="H31" s="619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8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88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31">
        <f>K23</f>
        <v>986275</v>
      </c>
      <c r="L36" s="619">
        <v>0.23895</v>
      </c>
      <c r="M36" s="196">
        <f t="shared" ref="M36:M42" si="2">K36*L36</f>
        <v>235670.41125</v>
      </c>
      <c r="P36" s="273"/>
      <c r="Q36" s="273"/>
    </row>
    <row r="37" spans="1:17" ht="15.75">
      <c r="A37" s="7" t="s">
        <v>129</v>
      </c>
      <c r="B37" s="538" t="s">
        <v>115</v>
      </c>
      <c r="C37" s="584">
        <v>7642183.6399999997</v>
      </c>
      <c r="D37" s="36"/>
      <c r="F37" s="200" t="s">
        <v>37</v>
      </c>
      <c r="G37" s="631">
        <f>G23</f>
        <v>2080707</v>
      </c>
      <c r="H37" s="619">
        <v>0.23860000000000001</v>
      </c>
      <c r="I37" s="196">
        <f t="shared" ref="I37:I44" si="3">G37*H37</f>
        <v>496456.69020000001</v>
      </c>
      <c r="J37" s="200" t="s">
        <v>38</v>
      </c>
      <c r="K37" s="631">
        <f>K24</f>
        <v>1366641</v>
      </c>
      <c r="L37" s="619">
        <v>0.23895</v>
      </c>
      <c r="M37" s="196">
        <f t="shared" si="2"/>
        <v>326558.86695</v>
      </c>
      <c r="P37" s="273"/>
      <c r="Q37" s="273"/>
    </row>
    <row r="38" spans="1:17" ht="15.75">
      <c r="A38" s="144" t="s">
        <v>14</v>
      </c>
      <c r="B38" s="538" t="s">
        <v>115</v>
      </c>
      <c r="C38" s="584">
        <v>0</v>
      </c>
      <c r="D38" s="36"/>
      <c r="F38" s="200" t="s">
        <v>324</v>
      </c>
      <c r="G38" s="631">
        <f>G24</f>
        <v>2393</v>
      </c>
      <c r="H38" s="619">
        <v>0.23860000000000001</v>
      </c>
      <c r="I38" s="196">
        <f t="shared" si="3"/>
        <v>570.96979999999996</v>
      </c>
      <c r="J38" s="200" t="s">
        <v>39</v>
      </c>
      <c r="K38" s="631">
        <f>K25</f>
        <v>82239</v>
      </c>
      <c r="L38" s="619">
        <v>0.23895</v>
      </c>
      <c r="M38" s="196">
        <f t="shared" si="2"/>
        <v>19651.009050000001</v>
      </c>
      <c r="P38" s="273"/>
      <c r="Q38" s="273"/>
    </row>
    <row r="39" spans="1:17" ht="15.75">
      <c r="A39" s="7" t="s">
        <v>146</v>
      </c>
      <c r="B39" s="538" t="s">
        <v>147</v>
      </c>
      <c r="C39" s="584">
        <v>-54851.29</v>
      </c>
      <c r="D39" s="36"/>
      <c r="F39" s="200" t="s">
        <v>38</v>
      </c>
      <c r="G39" s="631">
        <f t="shared" ref="G39:G44" si="4">G25</f>
        <v>1463939</v>
      </c>
      <c r="H39" s="619">
        <v>0.23860000000000001</v>
      </c>
      <c r="I39" s="196">
        <f t="shared" si="3"/>
        <v>349295.84539999999</v>
      </c>
      <c r="J39" s="200" t="s">
        <v>40</v>
      </c>
      <c r="K39" s="631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84">
        <v>306159.90999999997</v>
      </c>
      <c r="D40" s="36"/>
      <c r="F40" s="200" t="s">
        <v>39</v>
      </c>
      <c r="G40" s="631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631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84">
        <v>54490.6</v>
      </c>
      <c r="D41" s="36"/>
      <c r="F41" s="200" t="s">
        <v>40</v>
      </c>
      <c r="G41" s="631">
        <f t="shared" si="4"/>
        <v>291721</v>
      </c>
      <c r="H41" s="619">
        <v>0.23860000000000001</v>
      </c>
      <c r="I41" s="196">
        <f t="shared" si="3"/>
        <v>69604.630600000004</v>
      </c>
      <c r="J41" s="200" t="s">
        <v>42</v>
      </c>
      <c r="K41" s="576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84">
        <v>350599.55</v>
      </c>
      <c r="D42" s="37"/>
      <c r="F42" s="200" t="s">
        <v>41</v>
      </c>
      <c r="G42" s="631">
        <f t="shared" si="4"/>
        <v>24662</v>
      </c>
      <c r="H42" s="619">
        <v>0.23860000000000001</v>
      </c>
      <c r="I42" s="196">
        <f t="shared" si="3"/>
        <v>5884.3532000000005</v>
      </c>
      <c r="J42" s="200" t="s">
        <v>43</v>
      </c>
      <c r="K42" s="632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31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84">
        <f>-2108794.83+422385.48</f>
        <v>-1686409.35</v>
      </c>
      <c r="D44" s="37"/>
      <c r="F44" s="200" t="s">
        <v>43</v>
      </c>
      <c r="G44" s="631">
        <f t="shared" si="4"/>
        <v>23786</v>
      </c>
      <c r="H44" s="619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584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323</v>
      </c>
      <c r="B48" s="6" t="s">
        <v>115</v>
      </c>
      <c r="C48" s="584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84">
        <v>17272.150000000001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84">
        <v>1011.96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84">
        <v>4806.32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23">
        <f>-C33</f>
        <v>44969.189999999995</v>
      </c>
      <c r="D52" s="33"/>
      <c r="F52" s="385" t="s">
        <v>136</v>
      </c>
      <c r="G52" s="385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5"/>
    </row>
    <row r="53" spans="1:21" ht="16.5" thickBot="1">
      <c r="A53" s="385" t="s">
        <v>334</v>
      </c>
      <c r="B53" s="629" t="s">
        <v>335</v>
      </c>
      <c r="C53" s="584">
        <f>10285.55+0.05+34210.61</f>
        <v>44496.21</v>
      </c>
      <c r="D53" s="33"/>
      <c r="F53" s="384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1">
        <f>SUM(H53:K53)</f>
        <v>-2262631.63674</v>
      </c>
    </row>
    <row r="54" spans="1:21" ht="16.5" thickBot="1">
      <c r="A54" s="382" t="s">
        <v>124</v>
      </c>
      <c r="B54" s="473" t="s">
        <v>313</v>
      </c>
      <c r="C54" s="584">
        <f>-268611.14-3188020.17-4723360.56</f>
        <v>-8179991.8699999992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4" t="s">
        <v>331</v>
      </c>
      <c r="B55" s="6" t="s">
        <v>190</v>
      </c>
      <c r="C55" s="584">
        <v>-375000</v>
      </c>
      <c r="D55" s="36"/>
      <c r="F55" s="384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40" t="s">
        <v>181</v>
      </c>
      <c r="H56" s="384" t="s">
        <v>173</v>
      </c>
      <c r="I56" s="5">
        <f>SUM(H55:I55)</f>
        <v>-1013321.9648849997</v>
      </c>
      <c r="J56" s="15" t="s">
        <v>174</v>
      </c>
      <c r="K56" s="384">
        <f>SUM(J55:K55)</f>
        <v>-941934.52185499971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84">
        <v>-60364.39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84">
        <v>-38982.51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9">
        <f>SUM('WA - Def-Amtz (aug)'!BJ5:BJ10,'WA - Def-Amtz (aug)'!BJ41:BJ46,'WA - Def-Amtz (aug)'!BJ76:BJ79,'ID - Def-Amtz (aug)'!BL5:BL10,'ID - Def-Amtz (aug)'!BL42:BL47,'ID - Def-Amtz (aug)'!BL75:BL80)</f>
        <v>2545640.9256491172</v>
      </c>
      <c r="I61" s="449">
        <f>SUM('WA - Def-Amtz (aug)'!BK5:BK10,'WA - Def-Amtz (aug)'!BK41:BK46,'WA - Def-Amtz (aug)'!BK76:BK79,'ID - Def-Amtz (aug)'!BL5:BL10,'ID - Def-Amtz (aug)'!BL42:BL47,'ID - Def-Amtz (aug)'!BL75:BL80)</f>
        <v>2545640.9256491177</v>
      </c>
      <c r="J61" s="384">
        <f>H53+I53+J53+K53</f>
        <v>-2262631.63674</v>
      </c>
    </row>
    <row r="62" spans="1:21" ht="15.75">
      <c r="A62" s="2"/>
      <c r="B62" s="9" t="s">
        <v>160</v>
      </c>
      <c r="C62" s="630">
        <v>307375.15000000002</v>
      </c>
      <c r="D62" s="37"/>
      <c r="G62" s="5"/>
      <c r="I62" s="338">
        <f>H61-I61</f>
        <v>0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54" priority="7" stopIfTrue="1" operator="equal">
      <formula>0</formula>
    </cfRule>
    <cfRule type="cellIs" dxfId="753" priority="8" stopIfTrue="1" operator="notEqual">
      <formula>0</formula>
    </cfRule>
  </conditionalFormatting>
  <conditionalFormatting sqref="G34 G47 K30 K47">
    <cfRule type="cellIs" dxfId="752" priority="6" operator="notEqual">
      <formula>0</formula>
    </cfRule>
  </conditionalFormatting>
  <conditionalFormatting sqref="C63">
    <cfRule type="cellIs" dxfId="751" priority="4" stopIfTrue="1" operator="equal">
      <formula>0</formula>
    </cfRule>
    <cfRule type="cellIs" dxfId="750" priority="5" stopIfTrue="1" operator="notEqual">
      <formula>0</formula>
    </cfRule>
  </conditionalFormatting>
  <conditionalFormatting sqref="K30">
    <cfRule type="cellIs" dxfId="749" priority="3" operator="notEqual">
      <formula>0</formula>
    </cfRule>
  </conditionalFormatting>
  <conditionalFormatting sqref="G59">
    <cfRule type="cellIs" dxfId="748" priority="2" operator="equal">
      <formula>"ERROR"</formula>
    </cfRule>
  </conditionalFormatting>
  <conditionalFormatting sqref="G59">
    <cfRule type="cellIs" dxfId="74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topLeftCell="A28" zoomScale="70" zoomScaleNormal="70" workbookViewId="0">
      <selection activeCell="G52" sqref="G52:G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18.5703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Aug!C1+1</f>
        <v>201709</v>
      </c>
      <c r="F1" s="532">
        <f>C1</f>
        <v>201709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-158.87+52291.14-3.67</f>
        <v>52128.6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0.69520000000000004</v>
      </c>
      <c r="L5" s="445">
        <f>1-K5</f>
        <v>0.30479999999999996</v>
      </c>
      <c r="M5" s="385"/>
    </row>
    <row r="6" spans="1:13" ht="16.5" thickBot="1">
      <c r="A6" s="49" t="s">
        <v>30</v>
      </c>
      <c r="C6" s="572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5"/>
    </row>
    <row r="8" spans="1:13" ht="15.75">
      <c r="A8" s="384" t="s">
        <v>89</v>
      </c>
      <c r="C8" s="571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6179.64</f>
        <v>6179.64</v>
      </c>
      <c r="D9" s="36"/>
      <c r="F9" s="166" t="s">
        <v>119</v>
      </c>
      <c r="G9" s="385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5"/>
    </row>
    <row r="10" spans="1:13" ht="15.75">
      <c r="A10" s="49" t="s">
        <v>91</v>
      </c>
      <c r="C10" s="572">
        <v>-3308.2</v>
      </c>
      <c r="D10" s="36"/>
      <c r="F10" s="169" t="s">
        <v>44</v>
      </c>
      <c r="G10" s="385"/>
      <c r="H10" s="167">
        <f>C57</f>
        <v>47628.89</v>
      </c>
      <c r="I10" s="167"/>
      <c r="J10" s="167"/>
      <c r="K10" s="167">
        <f>H10</f>
        <v>47628.89</v>
      </c>
      <c r="L10" s="167"/>
      <c r="M10" s="385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5"/>
      <c r="H11" s="170">
        <f>C58</f>
        <v>35166.93</v>
      </c>
      <c r="I11" s="167"/>
      <c r="J11" s="167"/>
      <c r="K11" s="170"/>
      <c r="L11" s="170">
        <f>H11</f>
        <v>35166.93</v>
      </c>
      <c r="M11" s="385"/>
    </row>
    <row r="12" spans="1:13" ht="15.75">
      <c r="A12" s="384" t="s">
        <v>165</v>
      </c>
      <c r="C12" s="571">
        <f>2422.9+190529.81</f>
        <v>192952.71</v>
      </c>
      <c r="D12" s="36"/>
      <c r="F12" s="169" t="s">
        <v>138</v>
      </c>
      <c r="G12" s="385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5"/>
    </row>
    <row r="15" spans="1:13" ht="15.75">
      <c r="A15" s="384" t="s">
        <v>183</v>
      </c>
      <c r="C15" s="571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10427.3+965.36+64763.86</f>
        <v>76156.52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72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6">
        <v>3147236</v>
      </c>
      <c r="H23" s="619">
        <v>0.12678</v>
      </c>
      <c r="I23" s="196">
        <f t="shared" ref="I23:I31" si="0">G23*H23</f>
        <v>399006.58007999999</v>
      </c>
      <c r="J23" s="200" t="s">
        <v>37</v>
      </c>
      <c r="K23" s="576">
        <v>1445438</v>
      </c>
      <c r="L23" s="619">
        <v>0.11330999999999999</v>
      </c>
      <c r="M23" s="196">
        <f>K23*L23</f>
        <v>163782.57978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6">
        <v>3920</v>
      </c>
      <c r="H24" s="619">
        <v>0.12678</v>
      </c>
      <c r="I24" s="196">
        <f t="shared" si="0"/>
        <v>496.9776</v>
      </c>
      <c r="J24" s="200" t="s">
        <v>38</v>
      </c>
      <c r="K24" s="576">
        <v>991953</v>
      </c>
      <c r="L24" s="619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6">
        <v>2165313</v>
      </c>
      <c r="H25" s="619">
        <v>0.11865000000000001</v>
      </c>
      <c r="I25" s="196">
        <f t="shared" si="0"/>
        <v>256914.38745000001</v>
      </c>
      <c r="J25" s="200" t="s">
        <v>39</v>
      </c>
      <c r="K25" s="576">
        <v>71733</v>
      </c>
      <c r="L25" s="619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6">
        <v>0</v>
      </c>
      <c r="H26" s="619">
        <v>0.11865000000000001</v>
      </c>
      <c r="I26" s="196">
        <f t="shared" si="0"/>
        <v>0</v>
      </c>
      <c r="J26" s="200" t="s">
        <v>40</v>
      </c>
      <c r="K26" s="576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6">
        <v>348558</v>
      </c>
      <c r="H27" s="619">
        <v>0.11541</v>
      </c>
      <c r="I27" s="196">
        <f t="shared" si="0"/>
        <v>40227.078779999996</v>
      </c>
      <c r="J27" s="200" t="s">
        <v>41</v>
      </c>
      <c r="K27" s="576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6">
        <v>26763</v>
      </c>
      <c r="H28" s="619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6">
        <v>0</v>
      </c>
      <c r="H29" s="619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76">
        <v>31578</v>
      </c>
      <c r="H30" s="619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v>-8898.0499999999993</v>
      </c>
      <c r="D31" s="39"/>
      <c r="F31" s="200" t="s">
        <v>74</v>
      </c>
      <c r="G31" s="576">
        <v>2209861</v>
      </c>
      <c r="H31" s="619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2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82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3">
        <f>K23</f>
        <v>1445438</v>
      </c>
      <c r="L36" s="619">
        <v>0.23895</v>
      </c>
      <c r="M36" s="196">
        <f t="shared" ref="M36:M42" si="2">K36*L36</f>
        <v>345387.41009999998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6729629.6500000004</v>
      </c>
      <c r="D37" s="36"/>
      <c r="F37" s="200" t="s">
        <v>37</v>
      </c>
      <c r="G37" s="263">
        <f>G23</f>
        <v>3147236</v>
      </c>
      <c r="H37" s="619">
        <v>0.23860000000000001</v>
      </c>
      <c r="I37" s="196">
        <f t="shared" ref="I37:I44" si="3">G37*H37</f>
        <v>750930.50959999999</v>
      </c>
      <c r="J37" s="200" t="s">
        <v>38</v>
      </c>
      <c r="K37" s="263">
        <f>K24</f>
        <v>991953</v>
      </c>
      <c r="L37" s="619">
        <v>0.23895</v>
      </c>
      <c r="M37" s="196">
        <f t="shared" si="2"/>
        <v>237027.16934999998</v>
      </c>
      <c r="P37" s="273"/>
      <c r="Q37" s="273"/>
    </row>
    <row r="38" spans="1:17" ht="15.75">
      <c r="A38" s="144" t="s">
        <v>14</v>
      </c>
      <c r="B38" s="538" t="s">
        <v>115</v>
      </c>
      <c r="C38" s="571">
        <v>0</v>
      </c>
      <c r="D38" s="36"/>
      <c r="F38" s="200" t="s">
        <v>324</v>
      </c>
      <c r="G38" s="263">
        <f>G24</f>
        <v>3920</v>
      </c>
      <c r="H38" s="619">
        <v>0.23860000000000001</v>
      </c>
      <c r="I38" s="196">
        <f t="shared" si="3"/>
        <v>935.31200000000001</v>
      </c>
      <c r="J38" s="200" t="s">
        <v>39</v>
      </c>
      <c r="K38" s="263">
        <f>K25</f>
        <v>71733</v>
      </c>
      <c r="L38" s="619">
        <v>0.23895</v>
      </c>
      <c r="M38" s="196">
        <f t="shared" si="2"/>
        <v>17140.600350000001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-66478.23</v>
      </c>
      <c r="D39" s="36"/>
      <c r="F39" s="200" t="s">
        <v>38</v>
      </c>
      <c r="G39" s="263">
        <f t="shared" ref="G39:G44" si="4">G25</f>
        <v>2165313</v>
      </c>
      <c r="H39" s="619">
        <v>0.23860000000000001</v>
      </c>
      <c r="I39" s="196">
        <f t="shared" si="3"/>
        <v>516643.68180000002</v>
      </c>
      <c r="J39" s="200" t="s">
        <v>40</v>
      </c>
      <c r="K39" s="263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501077.48</v>
      </c>
      <c r="D40" s="36"/>
      <c r="F40" s="200" t="s">
        <v>39</v>
      </c>
      <c r="G40" s="263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70508.509999999995</v>
      </c>
      <c r="D41" s="36"/>
      <c r="F41" s="200" t="s">
        <v>40</v>
      </c>
      <c r="G41" s="263">
        <f t="shared" si="4"/>
        <v>348558</v>
      </c>
      <c r="H41" s="619">
        <v>0.23860000000000001</v>
      </c>
      <c r="I41" s="196">
        <f t="shared" si="3"/>
        <v>83165.938800000004</v>
      </c>
      <c r="J41" s="200" t="s">
        <v>42</v>
      </c>
      <c r="K41" s="263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223276.34</v>
      </c>
      <c r="D42" s="37"/>
      <c r="F42" s="200" t="s">
        <v>41</v>
      </c>
      <c r="G42" s="263">
        <f t="shared" si="4"/>
        <v>26763</v>
      </c>
      <c r="H42" s="619">
        <v>0.23860000000000001</v>
      </c>
      <c r="I42" s="196">
        <f t="shared" si="3"/>
        <v>6385.6518000000005</v>
      </c>
      <c r="J42" s="200" t="s">
        <v>43</v>
      </c>
      <c r="K42" s="589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3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71">
        <v>-2859927.24</v>
      </c>
      <c r="D44" s="37"/>
      <c r="F44" s="200" t="s">
        <v>43</v>
      </c>
      <c r="G44" s="263">
        <f t="shared" si="4"/>
        <v>31578</v>
      </c>
      <c r="H44" s="619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6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67"/>
    </row>
    <row r="47" spans="1:17" ht="19.5" customHeight="1">
      <c r="A47" s="384" t="s">
        <v>137</v>
      </c>
      <c r="B47" s="6" t="s">
        <v>115</v>
      </c>
      <c r="C47" s="571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22597.94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623.04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83" t="s">
        <v>152</v>
      </c>
      <c r="C51" s="571">
        <v>9312.73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53436.43</v>
      </c>
      <c r="D52" s="33"/>
      <c r="F52" s="385" t="s">
        <v>136</v>
      </c>
      <c r="G52" s="385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5"/>
    </row>
    <row r="53" spans="1:21" ht="16.5" thickBot="1">
      <c r="A53" s="385" t="s">
        <v>334</v>
      </c>
      <c r="B53" s="641" t="s">
        <v>335</v>
      </c>
      <c r="C53" s="571">
        <v>34777.67</v>
      </c>
      <c r="D53" s="33"/>
      <c r="F53" s="384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1">
        <f>SUM(H53:K53)</f>
        <v>-2952733.2528999997</v>
      </c>
    </row>
    <row r="54" spans="1:21" ht="16.5" thickBot="1">
      <c r="A54" s="382" t="s">
        <v>124</v>
      </c>
      <c r="B54" s="473" t="s">
        <v>313</v>
      </c>
      <c r="C54" s="571">
        <v>-6452671.0199999996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4" t="s">
        <v>331</v>
      </c>
      <c r="B55" s="6" t="s">
        <v>190</v>
      </c>
      <c r="C55" s="571">
        <v>-375000</v>
      </c>
      <c r="D55" s="36"/>
      <c r="F55" s="384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40" t="s">
        <v>181</v>
      </c>
      <c r="H56" s="384" t="s">
        <v>173</v>
      </c>
      <c r="I56" s="5">
        <f>SUM(H55:I55)</f>
        <v>-1925943.1114589998</v>
      </c>
      <c r="J56" s="15" t="s">
        <v>174</v>
      </c>
      <c r="K56" s="384">
        <f>SUM(J55:K55)</f>
        <v>-838977.05144099961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642">
        <v>47628.89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642">
        <v>35166.93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9">
        <f>SUM('WA - Def-Amtz (sept)'!BJ5:BJ10,'WA - Def-Amtz (sept)'!BJ41:BJ46,'WA - Def-Amtz (sept)'!BJ76:BJ79,'ID - Def-Amtz (sept)'!BL5:BL10,'ID - Def-Amtz (sept)'!BL42:BL47,'ID - Def-Amtz (sept)'!BL75:BL80)</f>
        <v>3521154.4299876066</v>
      </c>
      <c r="I61" s="449">
        <f>SUM('WA - Def-Amtz (sept)'!BK5:BK10,'WA - Def-Amtz (sept)'!BK41:BK46,'WA - Def-Amtz (sept)'!BK76:BK79,'ID - Def-Amtz (sept)'!BL5:BL10,'ID - Def-Amtz (sept)'!BL42:BL47,'ID - Def-Amtz (sept)'!BL75:BL80)</f>
        <v>3521154.4299876066</v>
      </c>
      <c r="J61" s="384">
        <f>H53+I53+J53+K53</f>
        <v>-2952733.2528999997</v>
      </c>
    </row>
    <row r="62" spans="1:21" ht="15.75">
      <c r="A62" s="2"/>
      <c r="B62" s="9" t="s">
        <v>160</v>
      </c>
      <c r="C62" s="350">
        <v>187813.09</v>
      </c>
      <c r="D62" s="37"/>
      <c r="G62" s="5"/>
      <c r="I62" s="338">
        <f>H61-I61</f>
        <v>0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46" priority="7" stopIfTrue="1" operator="equal">
      <formula>0</formula>
    </cfRule>
    <cfRule type="cellIs" dxfId="745" priority="8" stopIfTrue="1" operator="notEqual">
      <formula>0</formula>
    </cfRule>
  </conditionalFormatting>
  <conditionalFormatting sqref="G34 G47 K30 K47">
    <cfRule type="cellIs" dxfId="744" priority="6" operator="notEqual">
      <formula>0</formula>
    </cfRule>
  </conditionalFormatting>
  <conditionalFormatting sqref="C63">
    <cfRule type="cellIs" dxfId="743" priority="4" stopIfTrue="1" operator="equal">
      <formula>0</formula>
    </cfRule>
    <cfRule type="cellIs" dxfId="742" priority="5" stopIfTrue="1" operator="notEqual">
      <formula>0</formula>
    </cfRule>
  </conditionalFormatting>
  <conditionalFormatting sqref="K30">
    <cfRule type="cellIs" dxfId="741" priority="3" operator="notEqual">
      <formula>0</formula>
    </cfRule>
  </conditionalFormatting>
  <conditionalFormatting sqref="G59">
    <cfRule type="cellIs" dxfId="740" priority="2" operator="equal">
      <formula>"ERROR"</formula>
    </cfRule>
  </conditionalFormatting>
  <conditionalFormatting sqref="G59">
    <cfRule type="cellIs" dxfId="73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27" zoomScale="70" zoomScaleNormal="70" workbookViewId="0">
      <selection activeCell="H45" sqref="H45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Sep!C1+1</f>
        <v>201710</v>
      </c>
      <c r="F1" s="532">
        <f>C1</f>
        <v>201710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84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84">
        <f>44271.01-335.72</f>
        <v>43935.29</v>
      </c>
      <c r="D5" s="34"/>
      <c r="F5" s="385"/>
      <c r="G5" s="385"/>
      <c r="H5" s="11"/>
      <c r="I5" s="615">
        <v>0.70530000000000004</v>
      </c>
      <c r="J5" s="615">
        <v>0.29470000000000002</v>
      </c>
      <c r="K5" s="445">
        <f>ROUND(G45/(G45+K43),4)</f>
        <v>0.65280000000000005</v>
      </c>
      <c r="L5" s="445">
        <f>1-K5</f>
        <v>0.34719999999999995</v>
      </c>
      <c r="M5" s="385"/>
    </row>
    <row r="6" spans="1:13" ht="16.5" thickBot="1">
      <c r="A6" s="49" t="s">
        <v>30</v>
      </c>
      <c r="C6" s="585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5"/>
    </row>
    <row r="8" spans="1:13" ht="15.75">
      <c r="A8" s="384" t="s">
        <v>89</v>
      </c>
      <c r="C8" s="584"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84">
        <f>7767.77</f>
        <v>7767.77</v>
      </c>
      <c r="D9" s="36"/>
      <c r="F9" s="166" t="s">
        <v>119</v>
      </c>
      <c r="G9" s="385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5"/>
    </row>
    <row r="10" spans="1:13" ht="15.75">
      <c r="A10" s="49" t="s">
        <v>91</v>
      </c>
      <c r="C10" s="585">
        <v>-3418.47</v>
      </c>
      <c r="D10" s="36"/>
      <c r="F10" s="169" t="s">
        <v>44</v>
      </c>
      <c r="G10" s="385"/>
      <c r="H10" s="167">
        <f>C57</f>
        <v>104499.94</v>
      </c>
      <c r="I10" s="167"/>
      <c r="J10" s="167"/>
      <c r="K10" s="167">
        <f>H10</f>
        <v>104499.94</v>
      </c>
      <c r="L10" s="167"/>
      <c r="M10" s="385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5"/>
      <c r="H11" s="170">
        <f>C58</f>
        <v>52075.57</v>
      </c>
      <c r="I11" s="167"/>
      <c r="J11" s="167"/>
      <c r="K11" s="170"/>
      <c r="L11" s="170">
        <f>H11</f>
        <v>52075.57</v>
      </c>
      <c r="M11" s="385"/>
    </row>
    <row r="12" spans="1:13" ht="15.75">
      <c r="A12" s="384" t="s">
        <v>165</v>
      </c>
      <c r="C12" s="584">
        <f>184258.8-2631.9</f>
        <v>181626.9</v>
      </c>
      <c r="D12" s="36"/>
      <c r="F12" s="169" t="s">
        <v>138</v>
      </c>
      <c r="G12" s="385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5"/>
    </row>
    <row r="15" spans="1:13" ht="15.75">
      <c r="A15" s="384" t="s">
        <v>183</v>
      </c>
      <c r="C15" s="584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84">
        <f>10084.1+62632.24-1041.77</f>
        <v>71674.569999999992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85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5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6">
        <v>8835836</v>
      </c>
      <c r="H23" s="619">
        <v>0.12678</v>
      </c>
      <c r="I23" s="196">
        <f t="shared" ref="I23:I31" si="0">G23*H23</f>
        <v>1120207.2880800001</v>
      </c>
      <c r="J23" s="200" t="s">
        <v>37</v>
      </c>
      <c r="K23" s="576">
        <v>4795103</v>
      </c>
      <c r="L23" s="619">
        <v>0.11330999999999999</v>
      </c>
      <c r="M23" s="196">
        <f>K23*L23</f>
        <v>543333.12092999998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6">
        <v>13952</v>
      </c>
      <c r="H24" s="619">
        <v>0.12678</v>
      </c>
      <c r="I24" s="196">
        <f t="shared" si="0"/>
        <v>1768.83456</v>
      </c>
      <c r="J24" s="200" t="s">
        <v>38</v>
      </c>
      <c r="K24" s="576">
        <v>1966749</v>
      </c>
      <c r="L24" s="619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6">
        <v>3629858</v>
      </c>
      <c r="H25" s="619">
        <v>0.11865000000000001</v>
      </c>
      <c r="I25" s="196">
        <f t="shared" si="0"/>
        <v>430682.65170000005</v>
      </c>
      <c r="J25" s="200" t="s">
        <v>39</v>
      </c>
      <c r="K25" s="576">
        <v>47715</v>
      </c>
      <c r="L25" s="619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6">
        <v>0</v>
      </c>
      <c r="H26" s="619">
        <v>0.11865000000000001</v>
      </c>
      <c r="I26" s="196">
        <f t="shared" si="0"/>
        <v>0</v>
      </c>
      <c r="J26" s="200" t="s">
        <v>40</v>
      </c>
      <c r="K26" s="576">
        <v>0</v>
      </c>
      <c r="L26" s="619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6">
        <v>248414</v>
      </c>
      <c r="H27" s="619">
        <v>0.11541</v>
      </c>
      <c r="I27" s="196">
        <f t="shared" si="0"/>
        <v>28669.459739999998</v>
      </c>
      <c r="J27" s="200" t="s">
        <v>41</v>
      </c>
      <c r="K27" s="576">
        <v>0</v>
      </c>
      <c r="L27" s="619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6">
        <v>34226</v>
      </c>
      <c r="H28" s="619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6">
        <v>0</v>
      </c>
      <c r="H29" s="619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76">
        <v>40231</v>
      </c>
      <c r="H30" s="619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84">
        <v>-8904.2900000000009</v>
      </c>
      <c r="D31" s="39"/>
      <c r="F31" s="200" t="s">
        <v>74</v>
      </c>
      <c r="G31" s="576">
        <v>3085921</v>
      </c>
      <c r="H31" s="619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2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31">
        <f>K23</f>
        <v>4795103</v>
      </c>
      <c r="L36" s="619">
        <v>0.23895</v>
      </c>
      <c r="M36" s="196">
        <f t="shared" ref="M36:M42" si="2">K36*L36</f>
        <v>1145789.86185</v>
      </c>
      <c r="P36" s="273"/>
      <c r="Q36" s="273"/>
    </row>
    <row r="37" spans="1:17" ht="15.75">
      <c r="A37" s="7" t="s">
        <v>129</v>
      </c>
      <c r="B37" s="538" t="s">
        <v>115</v>
      </c>
      <c r="C37" s="584">
        <v>3301870.41</v>
      </c>
      <c r="D37" s="36"/>
      <c r="F37" s="200" t="s">
        <v>37</v>
      </c>
      <c r="G37" s="631">
        <f>G23</f>
        <v>8835836</v>
      </c>
      <c r="H37" s="619">
        <v>0.23860000000000001</v>
      </c>
      <c r="I37" s="196">
        <f>G37*H37</f>
        <v>2108230.4696</v>
      </c>
      <c r="J37" s="200" t="s">
        <v>38</v>
      </c>
      <c r="K37" s="631">
        <f>K24</f>
        <v>1966749</v>
      </c>
      <c r="L37" s="619">
        <v>0.23895</v>
      </c>
      <c r="M37" s="196">
        <f t="shared" si="2"/>
        <v>469954.67355000001</v>
      </c>
      <c r="P37" s="273"/>
      <c r="Q37" s="273"/>
    </row>
    <row r="38" spans="1:17" ht="15.75">
      <c r="A38" s="144" t="s">
        <v>14</v>
      </c>
      <c r="B38" s="538" t="s">
        <v>115</v>
      </c>
      <c r="C38" s="584">
        <v>0</v>
      </c>
      <c r="D38" s="36"/>
      <c r="F38" s="200" t="s">
        <v>324</v>
      </c>
      <c r="G38" s="631">
        <f>G24</f>
        <v>13952</v>
      </c>
      <c r="H38" s="619">
        <v>0.23860000000000001</v>
      </c>
      <c r="I38" s="196">
        <f t="shared" ref="I38:I44" si="3">G38*H38</f>
        <v>3328.9472000000001</v>
      </c>
      <c r="J38" s="200" t="s">
        <v>39</v>
      </c>
      <c r="K38" s="631">
        <f>K25</f>
        <v>47715</v>
      </c>
      <c r="L38" s="619">
        <v>0.23895</v>
      </c>
      <c r="M38" s="196">
        <f t="shared" si="2"/>
        <v>11401.499249999999</v>
      </c>
      <c r="P38" s="273"/>
      <c r="Q38" s="273"/>
    </row>
    <row r="39" spans="1:17" ht="15.75">
      <c r="A39" s="7" t="s">
        <v>146</v>
      </c>
      <c r="B39" s="538" t="s">
        <v>147</v>
      </c>
      <c r="C39" s="584">
        <v>-81142.62</v>
      </c>
      <c r="D39" s="36"/>
      <c r="F39" s="200" t="s">
        <v>38</v>
      </c>
      <c r="G39" s="631">
        <f t="shared" ref="G39:G44" si="4">G25</f>
        <v>3629858</v>
      </c>
      <c r="H39" s="619">
        <v>0.23860000000000001</v>
      </c>
      <c r="I39" s="196">
        <f t="shared" si="3"/>
        <v>866084.11880000005</v>
      </c>
      <c r="J39" s="200" t="s">
        <v>40</v>
      </c>
      <c r="K39" s="631">
        <f>K26</f>
        <v>0</v>
      </c>
      <c r="L39" s="619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8" t="s">
        <v>132</v>
      </c>
      <c r="C40" s="584">
        <v>1084919.76</v>
      </c>
      <c r="D40" s="36"/>
      <c r="F40" s="200" t="s">
        <v>39</v>
      </c>
      <c r="G40" s="631">
        <f t="shared" si="4"/>
        <v>0</v>
      </c>
      <c r="H40" s="619">
        <v>0.23860000000000001</v>
      </c>
      <c r="I40" s="196">
        <f t="shared" si="3"/>
        <v>0</v>
      </c>
      <c r="J40" s="200" t="s">
        <v>41</v>
      </c>
      <c r="K40" s="631">
        <f>K27</f>
        <v>0</v>
      </c>
      <c r="L40" s="619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84">
        <v>-9731.43</v>
      </c>
      <c r="D41" s="36"/>
      <c r="F41" s="200" t="s">
        <v>40</v>
      </c>
      <c r="G41" s="631">
        <f t="shared" si="4"/>
        <v>248414</v>
      </c>
      <c r="H41" s="619">
        <v>0.23860000000000001</v>
      </c>
      <c r="I41" s="196">
        <f t="shared" si="3"/>
        <v>59271.580399999999</v>
      </c>
      <c r="J41" s="200" t="s">
        <v>42</v>
      </c>
      <c r="K41" s="576">
        <v>0</v>
      </c>
      <c r="L41" s="619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84">
        <v>143152.29</v>
      </c>
      <c r="D42" s="37"/>
      <c r="F42" s="200" t="s">
        <v>41</v>
      </c>
      <c r="G42" s="631">
        <f t="shared" si="4"/>
        <v>34226</v>
      </c>
      <c r="H42" s="619">
        <v>0.23860000000000001</v>
      </c>
      <c r="I42" s="196">
        <f t="shared" si="3"/>
        <v>8166.3236000000006</v>
      </c>
      <c r="J42" s="200" t="s">
        <v>43</v>
      </c>
      <c r="K42" s="632">
        <v>0</v>
      </c>
      <c r="L42" s="619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31">
        <f t="shared" si="4"/>
        <v>0</v>
      </c>
      <c r="H43" s="619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84">
        <f>-138770.47+1042908.8</f>
        <v>904138.33000000007</v>
      </c>
      <c r="D44" s="37"/>
      <c r="F44" s="200" t="s">
        <v>43</v>
      </c>
      <c r="G44" s="631">
        <f t="shared" si="4"/>
        <v>40231</v>
      </c>
      <c r="H44" s="619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5"/>
      <c r="M46" s="68"/>
    </row>
    <row r="47" spans="1:17" ht="19.5" customHeight="1">
      <c r="A47" s="384" t="s">
        <v>137</v>
      </c>
      <c r="B47" s="6" t="s">
        <v>115</v>
      </c>
      <c r="C47" s="584">
        <v>0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323</v>
      </c>
      <c r="B48" s="6" t="s">
        <v>115</v>
      </c>
      <c r="C48" s="584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84">
        <v>18045.689999999999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84">
        <v>1352.29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90" t="s">
        <v>152</v>
      </c>
      <c r="C51" s="584">
        <v>6694.18</v>
      </c>
      <c r="D51" s="33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23">
        <f>-C33</f>
        <v>44472.11</v>
      </c>
      <c r="D52" s="36"/>
      <c r="F52" s="385" t="s">
        <v>136</v>
      </c>
      <c r="G52" s="385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5"/>
    </row>
    <row r="53" spans="1:21" ht="16.5" thickBot="1">
      <c r="A53" s="385" t="s">
        <v>334</v>
      </c>
      <c r="B53" s="643" t="s">
        <v>335</v>
      </c>
      <c r="C53" s="584">
        <v>7278.33</v>
      </c>
      <c r="D53" s="36"/>
      <c r="F53" s="384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1">
        <f>SUM(H53:K53)</f>
        <v>-7043352.8473100001</v>
      </c>
    </row>
    <row r="54" spans="1:21" ht="16.5" thickBot="1">
      <c r="A54" s="382" t="s">
        <v>124</v>
      </c>
      <c r="B54" s="473" t="s">
        <v>313</v>
      </c>
      <c r="C54" s="584">
        <v>-5031154.5599999996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4" t="s">
        <v>331</v>
      </c>
      <c r="B55" s="6" t="s">
        <v>190</v>
      </c>
      <c r="C55" s="584">
        <v>-375000</v>
      </c>
      <c r="D55" s="36"/>
      <c r="F55" s="384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40" t="s">
        <v>181</v>
      </c>
      <c r="H56" s="384" t="s">
        <v>173</v>
      </c>
      <c r="I56" s="5">
        <f>SUM(H55:I55)</f>
        <v>-2920845.6445779982</v>
      </c>
      <c r="J56" s="15" t="s">
        <v>174</v>
      </c>
      <c r="K56" s="384">
        <f>SUM(J55:K55)</f>
        <v>-1668443.1527319993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84">
        <v>104499.94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84">
        <v>52075.57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9" t="s">
        <v>320</v>
      </c>
      <c r="G59" s="551"/>
      <c r="H59" s="386" t="s">
        <v>311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9">
        <f>SUM('WA - Def-Amtz (current)'!BJ5:BJ10,'WA - Def-Amtz (current)'!BJ41:BJ46,'WA - Def-Amtz (current)'!BJ76:BJ79,'ID - Def-Amtz (current)'!BL5:BL10,'ID - Def-Amtz (current)'!BL42:BL47,'ID - Def-Amtz (current)'!BL75:BL80)</f>
        <v>6389231.3279103599</v>
      </c>
      <c r="I61" s="449">
        <f>SUM('WA - Def-Amtz (current)'!BK5:BK10,'WA - Def-Amtz (current)'!BK41:BK46,'WA - Def-Amtz (current)'!BK76:BK79,'ID - Def-Amtz (current)'!BL5:BL10,'ID - Def-Amtz (current)'!BL42:BL47,'ID - Def-Amtz (current)'!BL75:BL80)</f>
        <v>6389231.3279103599</v>
      </c>
    </row>
    <row r="62" spans="1:21" ht="15.75">
      <c r="A62" s="2"/>
      <c r="B62" s="9" t="s">
        <v>160</v>
      </c>
      <c r="C62" s="350">
        <v>2454064.0499999998</v>
      </c>
      <c r="G62" s="5"/>
      <c r="I62" s="338">
        <f>H61-I61</f>
        <v>0</v>
      </c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N63" s="5"/>
      <c r="O63" s="5"/>
      <c r="S63" s="6"/>
    </row>
    <row r="64" spans="1:21" ht="15.75">
      <c r="A64" s="44"/>
      <c r="C64" s="351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38" priority="7" stopIfTrue="1" operator="equal">
      <formula>0</formula>
    </cfRule>
    <cfRule type="cellIs" dxfId="737" priority="8" stopIfTrue="1" operator="notEqual">
      <formula>0</formula>
    </cfRule>
  </conditionalFormatting>
  <conditionalFormatting sqref="G34 G47 K30 K45">
    <cfRule type="cellIs" dxfId="736" priority="6" operator="notEqual">
      <formula>0</formula>
    </cfRule>
  </conditionalFormatting>
  <conditionalFormatting sqref="C63">
    <cfRule type="cellIs" dxfId="735" priority="4" stopIfTrue="1" operator="equal">
      <formula>0</formula>
    </cfRule>
    <cfRule type="cellIs" dxfId="734" priority="5" stopIfTrue="1" operator="notEqual">
      <formula>0</formula>
    </cfRule>
  </conditionalFormatting>
  <conditionalFormatting sqref="K30">
    <cfRule type="cellIs" dxfId="733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34" zoomScale="70" zoomScaleNormal="70" workbookViewId="0">
      <selection activeCell="C53" sqref="C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Oct!C1+1</f>
        <v>201711</v>
      </c>
      <c r="F1" s="532">
        <f>C1</f>
        <v>201711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f>267.52+276.44+276.44+267.52+276.44+4437908.05+0.01</f>
        <v>4439272.42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62226.48-346.05</f>
        <v>61880.43</v>
      </c>
      <c r="D5" s="34"/>
      <c r="F5" s="385"/>
      <c r="G5" s="385"/>
      <c r="H5" s="11"/>
      <c r="I5" s="614">
        <v>0.70530000000000004</v>
      </c>
      <c r="J5" s="614">
        <v>0.29470000000000002</v>
      </c>
      <c r="K5" s="445">
        <f>ROUND(G45/(G45+K43),4)</f>
        <v>0.67169999999999996</v>
      </c>
      <c r="L5" s="445">
        <f>1-K5</f>
        <v>0.32830000000000004</v>
      </c>
      <c r="M5" s="385"/>
    </row>
    <row r="6" spans="1:13" ht="16.5" thickBot="1">
      <c r="A6" s="49" t="s">
        <v>30</v>
      </c>
      <c r="C6" s="572">
        <f>-79118.28-98818.12-2261286.29-429324-71267.78-122664-137997</f>
        <v>-3200475.4699999997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1300677.3799999999</v>
      </c>
      <c r="D7" s="35"/>
      <c r="F7" s="166" t="s">
        <v>139</v>
      </c>
      <c r="G7" s="166"/>
      <c r="H7" s="125">
        <f>C34</f>
        <v>2138154.88</v>
      </c>
      <c r="I7" s="167">
        <f>H7*I5</f>
        <v>1508040.636864</v>
      </c>
      <c r="J7" s="167">
        <f>H7*J5</f>
        <v>630114.243136</v>
      </c>
      <c r="K7" s="167"/>
      <c r="L7" s="167"/>
      <c r="M7" s="385"/>
    </row>
    <row r="8" spans="1:13" ht="15.75">
      <c r="A8" s="384" t="s">
        <v>89</v>
      </c>
      <c r="C8" s="571">
        <f>244576.79</f>
        <v>244576.79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7999.94+151.35</f>
        <v>8151.29</v>
      </c>
      <c r="D9" s="36"/>
      <c r="F9" s="166" t="s">
        <v>119</v>
      </c>
      <c r="G9" s="385"/>
      <c r="H9" s="167">
        <f>C55</f>
        <v>5412038.5899999999</v>
      </c>
      <c r="I9" s="167"/>
      <c r="J9" s="167"/>
      <c r="K9" s="167">
        <f>H9*K5</f>
        <v>3635266.3209029995</v>
      </c>
      <c r="L9" s="167">
        <f>H9*L5</f>
        <v>1776772.2690970001</v>
      </c>
      <c r="M9" s="385"/>
    </row>
    <row r="10" spans="1:13" ht="15.75">
      <c r="A10" s="49" t="s">
        <v>91</v>
      </c>
      <c r="C10" s="572">
        <v>-3308.2</v>
      </c>
      <c r="D10" s="36"/>
      <c r="F10" s="169" t="s">
        <v>44</v>
      </c>
      <c r="G10" s="385"/>
      <c r="H10" s="167">
        <f>C56</f>
        <v>-88116.7</v>
      </c>
      <c r="I10" s="167"/>
      <c r="J10" s="167"/>
      <c r="K10" s="167">
        <f>H10</f>
        <v>-88116.7</v>
      </c>
      <c r="L10" s="167"/>
      <c r="M10" s="385"/>
    </row>
    <row r="11" spans="1:13">
      <c r="A11" s="66" t="s">
        <v>145</v>
      </c>
      <c r="C11" s="100">
        <f>SUM(C8:C10)</f>
        <v>249419.88</v>
      </c>
      <c r="D11" s="36"/>
      <c r="F11" s="169" t="s">
        <v>45</v>
      </c>
      <c r="G11" s="385"/>
      <c r="H11" s="170">
        <f>C57</f>
        <v>-42508.02</v>
      </c>
      <c r="I11" s="167"/>
      <c r="J11" s="167"/>
      <c r="K11" s="170"/>
      <c r="L11" s="170">
        <f>H11</f>
        <v>-42508.02</v>
      </c>
      <c r="M11" s="385"/>
    </row>
    <row r="12" spans="1:13" ht="15.75">
      <c r="A12" s="384" t="s">
        <v>165</v>
      </c>
      <c r="C12" s="571">
        <f>205216.18-350.11</f>
        <v>204866.07</v>
      </c>
      <c r="D12" s="36"/>
      <c r="F12" s="169" t="s">
        <v>138</v>
      </c>
      <c r="G12" s="385"/>
      <c r="H12" s="167">
        <f>H9+H10+H11</f>
        <v>5281413.87</v>
      </c>
      <c r="I12" s="167"/>
      <c r="J12" s="167"/>
      <c r="K12" s="167">
        <f>SUM(K9:K11)</f>
        <v>3547149.6209029993</v>
      </c>
      <c r="L12" s="167">
        <f>SUM(L9:L11)</f>
        <v>1734264.2490970001</v>
      </c>
      <c r="M12" s="385"/>
    </row>
    <row r="13" spans="1:13" ht="16.5" thickBot="1">
      <c r="A13" s="49" t="s">
        <v>166</v>
      </c>
      <c r="C13" s="572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204866.07</v>
      </c>
      <c r="D14" s="37"/>
      <c r="F14" s="50" t="s">
        <v>69</v>
      </c>
      <c r="G14" s="175"/>
      <c r="H14" s="125">
        <f>H12+H7</f>
        <v>7419568.75</v>
      </c>
      <c r="I14" s="176">
        <f>SUM(I7:I13)</f>
        <v>1508040.636864</v>
      </c>
      <c r="J14" s="176">
        <f>SUM(J7:J13)</f>
        <v>630114.243136</v>
      </c>
      <c r="K14" s="176">
        <f>K12</f>
        <v>3547149.6209029993</v>
      </c>
      <c r="L14" s="176">
        <f>L12</f>
        <v>1734264.2490970001</v>
      </c>
      <c r="M14" s="385"/>
    </row>
    <row r="15" spans="1:13" ht="15.75">
      <c r="A15" s="384" t="s">
        <v>183</v>
      </c>
      <c r="C15" s="571">
        <f>394166.72-672.48</f>
        <v>393494.24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72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4" ht="15.75" thickBot="1">
      <c r="A17" s="66" t="s">
        <v>185</v>
      </c>
      <c r="C17" s="100">
        <f>SUM(C15:C16)</f>
        <v>393494.24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4" ht="16.5" thickBot="1">
      <c r="A18" s="384" t="s">
        <v>163</v>
      </c>
      <c r="C18" s="571">
        <f>6034.5+59936.78+832.75</f>
        <v>66804.03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4" ht="15.75">
      <c r="A19" s="46" t="s">
        <v>164</v>
      </c>
      <c r="C19" s="572">
        <v>2552.0700000000002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69356.100000000006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72"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73">
        <v>11352396</v>
      </c>
      <c r="H23" s="389" t="s">
        <v>325</v>
      </c>
      <c r="I23" s="600">
        <v>1471684</v>
      </c>
      <c r="J23" s="200" t="s">
        <v>37</v>
      </c>
      <c r="K23" s="573">
        <v>5746085</v>
      </c>
      <c r="L23" s="389" t="s">
        <v>325</v>
      </c>
      <c r="M23" s="600">
        <v>667805</v>
      </c>
    </row>
    <row r="24" spans="1:14" ht="15.75">
      <c r="A24" s="208" t="s">
        <v>186</v>
      </c>
      <c r="C24" s="312">
        <v>0</v>
      </c>
      <c r="D24" s="36"/>
      <c r="F24" s="200" t="s">
        <v>324</v>
      </c>
      <c r="G24" s="573">
        <v>19581</v>
      </c>
      <c r="H24" s="389" t="s">
        <v>325</v>
      </c>
      <c r="I24" s="600">
        <v>2540</v>
      </c>
      <c r="J24" s="200" t="s">
        <v>38</v>
      </c>
      <c r="K24" s="573">
        <v>2022498</v>
      </c>
      <c r="L24" s="389" t="s">
        <v>325</v>
      </c>
      <c r="M24" s="600">
        <v>236838</v>
      </c>
    </row>
    <row r="25" spans="1:14" ht="15.75">
      <c r="A25" s="208" t="s">
        <v>189</v>
      </c>
      <c r="C25" s="314">
        <v>0</v>
      </c>
      <c r="D25" s="36"/>
      <c r="F25" s="200" t="s">
        <v>38</v>
      </c>
      <c r="G25" s="573">
        <v>4116109</v>
      </c>
      <c r="H25" s="389" t="s">
        <v>325</v>
      </c>
      <c r="I25" s="600">
        <v>502087</v>
      </c>
      <c r="J25" s="200" t="s">
        <v>39</v>
      </c>
      <c r="K25" s="573">
        <v>23219</v>
      </c>
      <c r="L25" s="389" t="s">
        <v>325</v>
      </c>
      <c r="M25" s="600">
        <v>2656</v>
      </c>
    </row>
    <row r="26" spans="1:14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389" t="s">
        <v>325</v>
      </c>
      <c r="I26" s="600">
        <v>0</v>
      </c>
      <c r="J26" s="200" t="s">
        <v>40</v>
      </c>
      <c r="K26" s="573">
        <v>0</v>
      </c>
      <c r="L26" s="389" t="s">
        <v>325</v>
      </c>
      <c r="M26" s="600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314956</v>
      </c>
      <c r="H27" s="389" t="s">
        <v>325</v>
      </c>
      <c r="I27" s="600">
        <v>39777</v>
      </c>
      <c r="J27" s="200" t="s">
        <v>41</v>
      </c>
      <c r="K27" s="573">
        <v>0</v>
      </c>
      <c r="L27" s="389" t="s">
        <v>325</v>
      </c>
      <c r="M27" s="600">
        <f t="shared" ref="M27" si="0">K27*L27</f>
        <v>0</v>
      </c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73">
        <v>51431</v>
      </c>
      <c r="H28" s="389" t="s">
        <v>325</v>
      </c>
      <c r="I28" s="600">
        <v>5918</v>
      </c>
      <c r="J28" s="199" t="s">
        <v>127</v>
      </c>
      <c r="K28" s="181">
        <f>SUM(K23:K27)</f>
        <v>7791802</v>
      </c>
      <c r="L28" s="182"/>
      <c r="M28" s="197">
        <f>SUM(M23:M27)</f>
        <v>907299</v>
      </c>
      <c r="N28" s="384">
        <f>M28/(M28+I32)</f>
        <v>0.3089042348151424</v>
      </c>
    </row>
    <row r="29" spans="1:14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389" t="s">
        <v>325</v>
      </c>
      <c r="I29" s="600">
        <v>0</v>
      </c>
      <c r="J29" s="199"/>
      <c r="K29" s="231">
        <v>7791802</v>
      </c>
      <c r="L29" s="187" t="s">
        <v>102</v>
      </c>
      <c r="M29" s="196">
        <f>M28/K28</f>
        <v>0.11644276895126442</v>
      </c>
    </row>
    <row r="30" spans="1:14" ht="16.5" thickBot="1">
      <c r="A30" s="2" t="s">
        <v>111</v>
      </c>
      <c r="C30" s="125">
        <f>C7+C11+C14+C17+C20+C22+C27+C28+C29</f>
        <v>2219663.67</v>
      </c>
      <c r="D30" s="37"/>
      <c r="F30" s="200" t="s">
        <v>43</v>
      </c>
      <c r="G30" s="573">
        <v>85100</v>
      </c>
      <c r="H30" s="389" t="s">
        <v>325</v>
      </c>
      <c r="I30" s="600">
        <v>6381</v>
      </c>
      <c r="J30" s="200"/>
      <c r="K30" s="230">
        <f>K28-K29</f>
        <v>0</v>
      </c>
      <c r="L30" s="182"/>
      <c r="M30" s="198"/>
    </row>
    <row r="31" spans="1:14" ht="15.75">
      <c r="A31" s="384" t="s">
        <v>112</v>
      </c>
      <c r="C31" s="571">
        <v>-8925</v>
      </c>
      <c r="D31" s="39"/>
      <c r="F31" s="200" t="s">
        <v>74</v>
      </c>
      <c r="G31" s="573">
        <v>2750386</v>
      </c>
      <c r="H31" s="389" t="s">
        <v>325</v>
      </c>
      <c r="I31" s="600">
        <v>1467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95">
        <f>C30+C31</f>
        <v>2210738.67</v>
      </c>
      <c r="D32" s="40"/>
      <c r="F32" s="199" t="s">
        <v>127</v>
      </c>
      <c r="G32" s="181">
        <f>SUM(G23:G31)</f>
        <v>18689959</v>
      </c>
      <c r="H32" s="7"/>
      <c r="I32" s="197">
        <f>SUM(I23:I31)</f>
        <v>2029854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95">
        <f>-C5-C9-C13-C16-C19</f>
        <v>-72583.790000000008</v>
      </c>
      <c r="D33" s="36"/>
      <c r="F33" s="186"/>
      <c r="G33" s="231">
        <v>18689959</v>
      </c>
      <c r="H33" s="187" t="s">
        <v>102</v>
      </c>
      <c r="I33" s="216">
        <f>I32/G32</f>
        <v>0.10860665879470362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2138154.88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f>K23</f>
        <v>5746085</v>
      </c>
      <c r="L36" s="389" t="s">
        <v>325</v>
      </c>
      <c r="M36" s="600">
        <v>1357824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9040159.1400000006</v>
      </c>
      <c r="D37" s="36"/>
      <c r="F37" s="200" t="s">
        <v>37</v>
      </c>
      <c r="G37" s="597">
        <f>G23</f>
        <v>11352396</v>
      </c>
      <c r="H37" s="389" t="s">
        <v>325</v>
      </c>
      <c r="I37" s="600">
        <v>2669122</v>
      </c>
      <c r="J37" s="200" t="s">
        <v>38</v>
      </c>
      <c r="K37" s="597">
        <f>K24</f>
        <v>2022498</v>
      </c>
      <c r="L37" s="389" t="s">
        <v>325</v>
      </c>
      <c r="M37" s="600">
        <v>475443</v>
      </c>
      <c r="P37" s="273"/>
      <c r="Q37" s="273"/>
    </row>
    <row r="38" spans="1:17" ht="15.75">
      <c r="A38" s="144" t="s">
        <v>14</v>
      </c>
      <c r="B38" s="538" t="s">
        <v>115</v>
      </c>
      <c r="C38" s="571">
        <v>0</v>
      </c>
      <c r="D38" s="36"/>
      <c r="F38" s="200" t="s">
        <v>324</v>
      </c>
      <c r="G38" s="597">
        <f>G24</f>
        <v>19581</v>
      </c>
      <c r="H38" s="389" t="s">
        <v>325</v>
      </c>
      <c r="I38" s="600">
        <v>4605</v>
      </c>
      <c r="J38" s="200" t="s">
        <v>39</v>
      </c>
      <c r="K38" s="597">
        <f>K25</f>
        <v>23219</v>
      </c>
      <c r="L38" s="389" t="s">
        <v>325</v>
      </c>
      <c r="M38" s="600">
        <v>5600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-39811.89</v>
      </c>
      <c r="D39" s="36"/>
      <c r="F39" s="200" t="s">
        <v>38</v>
      </c>
      <c r="G39" s="597">
        <f t="shared" ref="G39:G44" si="1">G25</f>
        <v>4116109</v>
      </c>
      <c r="H39" s="389" t="s">
        <v>325</v>
      </c>
      <c r="I39" s="600">
        <v>962038</v>
      </c>
      <c r="J39" s="200" t="s">
        <v>40</v>
      </c>
      <c r="K39" s="597">
        <f>K26</f>
        <v>0</v>
      </c>
      <c r="L39" s="389" t="s">
        <v>325</v>
      </c>
      <c r="M39" s="600"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444711</v>
      </c>
      <c r="D40" s="36"/>
      <c r="F40" s="200" t="s">
        <v>39</v>
      </c>
      <c r="G40" s="597">
        <f t="shared" si="1"/>
        <v>0</v>
      </c>
      <c r="H40" s="389" t="s">
        <v>325</v>
      </c>
      <c r="I40" s="600">
        <v>0</v>
      </c>
      <c r="J40" s="200" t="s">
        <v>41</v>
      </c>
      <c r="K40" s="597">
        <f>K27</f>
        <v>0</v>
      </c>
      <c r="L40" s="389" t="s">
        <v>325</v>
      </c>
      <c r="M40" s="600"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-124740.06</v>
      </c>
      <c r="D41" s="36"/>
      <c r="F41" s="200" t="s">
        <v>40</v>
      </c>
      <c r="G41" s="597">
        <f t="shared" si="1"/>
        <v>314956</v>
      </c>
      <c r="H41" s="389" t="s">
        <v>325</v>
      </c>
      <c r="I41" s="600">
        <v>71535</v>
      </c>
      <c r="J41" s="200" t="s">
        <v>42</v>
      </c>
      <c r="K41" s="573">
        <v>0</v>
      </c>
      <c r="L41" s="389" t="s">
        <v>325</v>
      </c>
      <c r="M41" s="600"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679479.82</v>
      </c>
      <c r="D42" s="37"/>
      <c r="F42" s="200" t="s">
        <v>41</v>
      </c>
      <c r="G42" s="597">
        <f t="shared" si="1"/>
        <v>51431</v>
      </c>
      <c r="H42" s="389" t="s">
        <v>325</v>
      </c>
      <c r="I42" s="600">
        <v>12236</v>
      </c>
      <c r="J42" s="200" t="s">
        <v>43</v>
      </c>
      <c r="K42" s="598">
        <v>0</v>
      </c>
      <c r="L42" s="389" t="s">
        <v>325</v>
      </c>
      <c r="M42" s="600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9999798.0099999998</v>
      </c>
      <c r="D43" s="36"/>
      <c r="F43" s="200" t="s">
        <v>42</v>
      </c>
      <c r="G43" s="597">
        <f t="shared" si="1"/>
        <v>0</v>
      </c>
      <c r="H43" s="389" t="s">
        <v>325</v>
      </c>
      <c r="I43" s="600">
        <v>0</v>
      </c>
      <c r="J43" s="199" t="s">
        <v>133</v>
      </c>
      <c r="K43" s="181">
        <f>SUM(K36:K42)</f>
        <v>7791802</v>
      </c>
      <c r="L43" s="182"/>
      <c r="M43" s="197">
        <f>SUM(M36:M42)</f>
        <v>1838867</v>
      </c>
      <c r="N43" s="384">
        <f>M43/(M43+I45)</f>
        <v>0.32961156616969217</v>
      </c>
    </row>
    <row r="44" spans="1:17" ht="16.5" thickBot="1">
      <c r="A44" s="83" t="s">
        <v>177</v>
      </c>
      <c r="B44" s="84" t="s">
        <v>120</v>
      </c>
      <c r="C44" s="571">
        <f>-4326.49-4736.71</f>
        <v>-9063.2000000000007</v>
      </c>
      <c r="D44" s="37"/>
      <c r="F44" s="200" t="s">
        <v>43</v>
      </c>
      <c r="G44" s="597">
        <f t="shared" si="1"/>
        <v>85100</v>
      </c>
      <c r="H44" s="389" t="s">
        <v>325</v>
      </c>
      <c r="I44" s="600">
        <v>20488</v>
      </c>
      <c r="J44" s="194"/>
      <c r="K44" s="232">
        <v>7791802</v>
      </c>
      <c r="L44" s="189" t="s">
        <v>102</v>
      </c>
      <c r="M44" s="217">
        <f>M43/K43</f>
        <v>0.23600022177154911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15939573</v>
      </c>
      <c r="H45" s="182"/>
      <c r="I45" s="197">
        <f>SUM(I37:I44)</f>
        <v>3740024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15939573</v>
      </c>
      <c r="H46" s="189" t="s">
        <v>102</v>
      </c>
      <c r="I46" s="215">
        <f>I45/G45</f>
        <v>0.23463765309145984</v>
      </c>
      <c r="J46" s="124"/>
      <c r="K46" s="230"/>
      <c r="L46" s="385"/>
      <c r="M46" s="124"/>
    </row>
    <row r="47" spans="1:17" ht="19.5" customHeight="1">
      <c r="A47" s="384" t="s">
        <v>137</v>
      </c>
      <c r="B47" s="6" t="s">
        <v>115</v>
      </c>
      <c r="C47" s="571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8" t="s">
        <v>152</v>
      </c>
      <c r="C49" s="571">
        <v>34545.410000000003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2466.2600000000002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94" t="s">
        <v>152</v>
      </c>
      <c r="C51" s="571">
        <v>19220.05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96">
        <f>-C33</f>
        <v>72583.790000000008</v>
      </c>
      <c r="D52" s="33"/>
      <c r="F52" s="385"/>
      <c r="G52" s="385"/>
      <c r="H52" s="212">
        <f>K12</f>
        <v>3547149.6209029993</v>
      </c>
      <c r="I52" s="115">
        <f>I14</f>
        <v>1508040.636864</v>
      </c>
      <c r="J52" s="115">
        <f>L12</f>
        <v>1734264.2490970001</v>
      </c>
      <c r="K52" s="115">
        <f>J14</f>
        <v>630114.243136</v>
      </c>
      <c r="L52" s="132">
        <f>SUM(H52:K52)</f>
        <v>7419568.7499999991</v>
      </c>
      <c r="M52" s="385"/>
    </row>
    <row r="53" spans="1:21" ht="16.5" thickBot="1">
      <c r="A53" s="382" t="s">
        <v>124</v>
      </c>
      <c r="B53" s="473" t="s">
        <v>313</v>
      </c>
      <c r="C53" s="571">
        <f>73237.5-1883974.55-2528774.68</f>
        <v>-4339511.7300000004</v>
      </c>
      <c r="D53" s="36"/>
      <c r="F53" s="385" t="s">
        <v>136</v>
      </c>
      <c r="G53" s="385"/>
      <c r="H53" s="212">
        <f>-I45</f>
        <v>-3740024</v>
      </c>
      <c r="I53" s="115">
        <f>-I32</f>
        <v>-2029854</v>
      </c>
      <c r="J53" s="115">
        <f>-M43</f>
        <v>-1838867</v>
      </c>
      <c r="K53" s="115">
        <f>-M28</f>
        <v>-907299</v>
      </c>
      <c r="L53" s="261">
        <f>SUM(H53:K53)</f>
        <v>-8516044</v>
      </c>
    </row>
    <row r="54" spans="1:21" ht="16.5" thickBot="1">
      <c r="A54" s="384" t="s">
        <v>331</v>
      </c>
      <c r="B54" s="6" t="s">
        <v>190</v>
      </c>
      <c r="C54" s="571">
        <v>-375000</v>
      </c>
      <c r="D54" s="36"/>
      <c r="F54" s="384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-1096475.2500000009</v>
      </c>
    </row>
    <row r="55" spans="1:21" ht="16.5" thickBot="1">
      <c r="A55" s="82" t="s">
        <v>119</v>
      </c>
      <c r="B55" s="84"/>
      <c r="C55" s="160">
        <f>SUM(C43:C54)</f>
        <v>5412038.5899999999</v>
      </c>
      <c r="D55" s="36"/>
      <c r="F55" s="384" t="s">
        <v>86</v>
      </c>
      <c r="H55" s="125">
        <f>IFERROR(H52+H53+H54,0)</f>
        <v>-192874.3790970007</v>
      </c>
      <c r="I55" s="125">
        <f>I52+I53+I54</f>
        <v>-521813.363136</v>
      </c>
      <c r="J55" s="125">
        <f>IFERROR(J52+J53+J54,0)</f>
        <v>-104602.75090299989</v>
      </c>
      <c r="K55" s="125">
        <f>K52+K53+K54</f>
        <v>-277184.756864</v>
      </c>
      <c r="L55" s="47">
        <f>SUM(H55:K55)</f>
        <v>-1096475.2500000005</v>
      </c>
    </row>
    <row r="56" spans="1:21" ht="17.25" thickTop="1" thickBot="1">
      <c r="A56" s="384" t="s">
        <v>121</v>
      </c>
      <c r="B56" s="6" t="s">
        <v>115</v>
      </c>
      <c r="C56" s="571">
        <v>-88116.7</v>
      </c>
      <c r="D56" s="36"/>
      <c r="F56" s="384" t="s">
        <v>71</v>
      </c>
      <c r="H56" s="384" t="s">
        <v>173</v>
      </c>
      <c r="I56" s="5">
        <f>SUM(H55:I55)</f>
        <v>-714687.7422330007</v>
      </c>
      <c r="J56" s="15" t="s">
        <v>174</v>
      </c>
      <c r="K56" s="384">
        <f>SUM(J55:K55)</f>
        <v>-381787.50776699989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71">
        <v>-42508.02</v>
      </c>
      <c r="D57" s="36"/>
      <c r="F57" s="240" t="s">
        <v>181</v>
      </c>
      <c r="H57" s="96"/>
    </row>
    <row r="58" spans="1:21" ht="16.5" thickBot="1">
      <c r="A58" s="2" t="s">
        <v>125</v>
      </c>
      <c r="B58" s="2"/>
      <c r="C58" s="160">
        <f>SUM(C55:C57)</f>
        <v>5281413.87</v>
      </c>
      <c r="D58" s="36"/>
      <c r="F58" s="397" t="s">
        <v>181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397" t="s">
        <v>182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7419568.75</v>
      </c>
      <c r="D60" s="36"/>
      <c r="F60" s="549" t="s">
        <v>320</v>
      </c>
      <c r="G60" s="551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99">
        <v>7419568.75</v>
      </c>
      <c r="D61" s="37"/>
      <c r="H61" s="349">
        <f>SUM('WA - Def-Amtz (current)'!BJ5:BJ10,'WA - Def-Amtz (current)'!BJ41:BJ46,'WA - Def-Amtz (current)'!BJ76:BJ79,'ID - Def-Amtz (Jan)'!BK5:BK10,'ID - Def-Amtz (Jan)'!BK42:BK47,'ID - Def-Amtz (Jan)'!BK75:BK80)</f>
        <v>6913400.6490394976</v>
      </c>
      <c r="I61" s="449">
        <f>SUM('WA - Def-Amtz (current)'!BK5:BK10,'WA - Def-Amtz (current)'!BK41:BK46,'WA - Def-Amtz (current)'!BK76:BK79,'ID - Def-Amtz (Jan)'!BL5:BL10,'ID - Def-Amtz (Jan)'!BL42:BL47,'ID - Def-Amtz (Jan)'!BL75:BL80)</f>
        <v>6913400.6490394976</v>
      </c>
      <c r="J61" s="384">
        <f>H53+I53+J53+K53</f>
        <v>-8516044</v>
      </c>
    </row>
    <row r="62" spans="1:21" ht="15.75">
      <c r="A62" s="9"/>
      <c r="B62" s="9" t="s">
        <v>159</v>
      </c>
      <c r="C62" s="257">
        <f>ROUND(C60-C61,2)</f>
        <v>0</v>
      </c>
      <c r="I62" s="338">
        <f>H61-I61</f>
        <v>0</v>
      </c>
      <c r="N62" s="5"/>
      <c r="O62" s="5"/>
      <c r="P62" s="21"/>
    </row>
    <row r="63" spans="1:21" ht="15.75">
      <c r="A63" s="44"/>
      <c r="C63" s="351"/>
      <c r="D63" s="36"/>
      <c r="G63" s="5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732" priority="7" stopIfTrue="1" operator="equal">
      <formula>0</formula>
    </cfRule>
    <cfRule type="cellIs" dxfId="731" priority="8" stopIfTrue="1" operator="notEqual">
      <formula>0</formula>
    </cfRule>
  </conditionalFormatting>
  <conditionalFormatting sqref="G34 G47 K30 K45:K47">
    <cfRule type="cellIs" dxfId="730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34" zoomScale="70" zoomScaleNormal="70" workbookViewId="0">
      <selection activeCell="C53" sqref="C5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32">
        <f>Nov!C1+1</f>
        <v>201712</v>
      </c>
      <c r="F1" s="532">
        <f>C1</f>
        <v>201712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71">
        <v>4585838.33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71">
        <f>145873.85-2473.26-1179.48</f>
        <v>142221.10999999999</v>
      </c>
      <c r="D5" s="34"/>
      <c r="F5" s="385"/>
      <c r="G5" s="385"/>
      <c r="H5" s="11"/>
      <c r="I5" s="614">
        <v>0.70530000000000004</v>
      </c>
      <c r="J5" s="614">
        <v>0.29470000000000002</v>
      </c>
      <c r="K5" s="445">
        <f>ROUND(G45/(G45+K43),4)</f>
        <v>0.68269999999999997</v>
      </c>
      <c r="L5" s="445">
        <f>1-K5</f>
        <v>0.31730000000000003</v>
      </c>
      <c r="M5" s="385"/>
    </row>
    <row r="6" spans="1:13" ht="16.5" thickBot="1">
      <c r="A6" s="49" t="s">
        <v>30</v>
      </c>
      <c r="C6" s="572">
        <f>-2336662.51-443634.8-73643.38-126752.8-142596.9-81755.56-102112.06</f>
        <v>-3307158.0099999993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1420901.4300000011</v>
      </c>
      <c r="D7" s="35"/>
      <c r="F7" s="166" t="s">
        <v>139</v>
      </c>
      <c r="G7" s="166"/>
      <c r="H7" s="125">
        <f>C34</f>
        <v>2177275.080000001</v>
      </c>
      <c r="I7" s="167">
        <f>H7*I5</f>
        <v>1535632.1139240009</v>
      </c>
      <c r="J7" s="167">
        <f>H7*J5</f>
        <v>641642.96607600036</v>
      </c>
      <c r="K7" s="167"/>
      <c r="L7" s="167"/>
      <c r="M7" s="385"/>
    </row>
    <row r="8" spans="1:13" ht="15.75">
      <c r="A8" s="384" t="s">
        <v>89</v>
      </c>
      <c r="C8" s="571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71">
        <f>244.31+8982.55</f>
        <v>9226.8599999999988</v>
      </c>
      <c r="D9" s="36"/>
      <c r="F9" s="166" t="s">
        <v>119</v>
      </c>
      <c r="G9" s="385"/>
      <c r="H9" s="167">
        <f>C55</f>
        <v>10101223.860000001</v>
      </c>
      <c r="I9" s="167"/>
      <c r="J9" s="167"/>
      <c r="K9" s="167">
        <f>H9*K5</f>
        <v>6896105.5292220004</v>
      </c>
      <c r="L9" s="167">
        <f>H9*L5</f>
        <v>3205118.3307780009</v>
      </c>
      <c r="M9" s="385"/>
    </row>
    <row r="10" spans="1:13" ht="15.75">
      <c r="A10" s="49" t="s">
        <v>91</v>
      </c>
      <c r="C10" s="572">
        <f>-3418.47</f>
        <v>-3418.47</v>
      </c>
      <c r="D10" s="36"/>
      <c r="F10" s="169" t="s">
        <v>44</v>
      </c>
      <c r="G10" s="385"/>
      <c r="H10" s="167">
        <f>C56</f>
        <v>-111632.43</v>
      </c>
      <c r="I10" s="167"/>
      <c r="J10" s="167"/>
      <c r="K10" s="167">
        <f>H10</f>
        <v>-111632.43</v>
      </c>
      <c r="L10" s="167"/>
      <c r="M10" s="385"/>
    </row>
    <row r="11" spans="1:13">
      <c r="A11" s="66" t="s">
        <v>145</v>
      </c>
      <c r="C11" s="100">
        <f>SUM(C8:C10)</f>
        <v>258537.71</v>
      </c>
      <c r="D11" s="36"/>
      <c r="F11" s="169" t="s">
        <v>45</v>
      </c>
      <c r="G11" s="385"/>
      <c r="H11" s="170">
        <f>C57</f>
        <v>-52205.05</v>
      </c>
      <c r="I11" s="167"/>
      <c r="J11" s="167"/>
      <c r="K11" s="170"/>
      <c r="L11" s="170">
        <f>H11</f>
        <v>-52205.05</v>
      </c>
      <c r="M11" s="385"/>
    </row>
    <row r="12" spans="1:13" ht="15.75">
      <c r="A12" s="384" t="s">
        <v>165</v>
      </c>
      <c r="C12" s="571">
        <f>897.99+205133.54</f>
        <v>206031.53</v>
      </c>
      <c r="D12" s="36"/>
      <c r="F12" s="169" t="s">
        <v>138</v>
      </c>
      <c r="G12" s="385"/>
      <c r="H12" s="167">
        <f>H9+H10+H11</f>
        <v>9937386.3800000008</v>
      </c>
      <c r="I12" s="167"/>
      <c r="J12" s="167"/>
      <c r="K12" s="167">
        <f>SUM(K9:K11)</f>
        <v>6784473.0992220007</v>
      </c>
      <c r="L12" s="167">
        <f>SUM(L9:L11)</f>
        <v>3152913.2807780011</v>
      </c>
      <c r="M12" s="385"/>
    </row>
    <row r="13" spans="1:13" ht="16.5" thickBot="1">
      <c r="A13" s="49" t="s">
        <v>166</v>
      </c>
      <c r="C13" s="56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206031.53</v>
      </c>
      <c r="D14" s="37"/>
      <c r="F14" s="50" t="s">
        <v>69</v>
      </c>
      <c r="G14" s="175"/>
      <c r="H14" s="125">
        <f>H12+H7</f>
        <v>12114661.460000001</v>
      </c>
      <c r="I14" s="176">
        <f>SUM(I7:I13)</f>
        <v>1535632.1139240009</v>
      </c>
      <c r="J14" s="176">
        <f>SUM(J7:J13)</f>
        <v>641642.96607600036</v>
      </c>
      <c r="K14" s="176">
        <f>K12</f>
        <v>6784473.0992220007</v>
      </c>
      <c r="L14" s="176">
        <f>L12</f>
        <v>3152913.2807780011</v>
      </c>
      <c r="M14" s="385"/>
    </row>
    <row r="15" spans="1:13" ht="15.75">
      <c r="A15" s="384" t="s">
        <v>183</v>
      </c>
      <c r="C15" s="571">
        <f>1725.38+394007.99</f>
        <v>395733.37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6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395733.37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71">
        <f>283.63+6032.07+59912.64</f>
        <v>66228.34</v>
      </c>
      <c r="D18" s="36"/>
      <c r="F18" s="650" t="s">
        <v>134</v>
      </c>
      <c r="G18" s="651"/>
      <c r="H18" s="651"/>
      <c r="I18" s="652"/>
      <c r="J18" s="650" t="s">
        <v>135</v>
      </c>
      <c r="K18" s="651"/>
      <c r="L18" s="651"/>
      <c r="M18" s="652"/>
    </row>
    <row r="19" spans="1:13" ht="15.75">
      <c r="A19" s="46" t="s">
        <v>164</v>
      </c>
      <c r="C19" s="572">
        <v>-1184.0899999999999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65044.25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2">
        <f>1850-2977.75</f>
        <v>-1127.75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-1127.75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73">
        <v>24209007</v>
      </c>
      <c r="H23" s="389" t="s">
        <v>325</v>
      </c>
      <c r="I23" s="600">
        <v>3064302</v>
      </c>
      <c r="J23" s="200" t="s">
        <v>37</v>
      </c>
      <c r="K23" s="573">
        <v>12024731</v>
      </c>
      <c r="L23" s="389" t="s">
        <v>325</v>
      </c>
      <c r="M23" s="600">
        <v>1363733</v>
      </c>
    </row>
    <row r="24" spans="1:13" ht="15.75">
      <c r="A24" s="208" t="s">
        <v>186</v>
      </c>
      <c r="C24" s="312">
        <v>0</v>
      </c>
      <c r="D24" s="36"/>
      <c r="F24" s="200" t="s">
        <v>324</v>
      </c>
      <c r="G24" s="573">
        <v>35292</v>
      </c>
      <c r="H24" s="389" t="s">
        <v>325</v>
      </c>
      <c r="I24" s="600">
        <v>4466</v>
      </c>
      <c r="J24" s="200" t="s">
        <v>38</v>
      </c>
      <c r="K24" s="573">
        <v>3417191</v>
      </c>
      <c r="L24" s="389" t="s">
        <v>325</v>
      </c>
      <c r="M24" s="600">
        <v>387636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73">
        <v>8576537</v>
      </c>
      <c r="H25" s="389" t="s">
        <v>325</v>
      </c>
      <c r="I25" s="600">
        <v>1016487</v>
      </c>
      <c r="J25" s="200" t="s">
        <v>39</v>
      </c>
      <c r="K25" s="573">
        <v>5267</v>
      </c>
      <c r="L25" s="389" t="s">
        <v>325</v>
      </c>
      <c r="M25" s="600">
        <v>597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73">
        <v>0</v>
      </c>
      <c r="H26" s="389" t="s">
        <v>325</v>
      </c>
      <c r="I26" s="600">
        <v>0</v>
      </c>
      <c r="J26" s="200" t="s">
        <v>40</v>
      </c>
      <c r="K26" s="262">
        <v>0</v>
      </c>
      <c r="L26" s="389" t="s">
        <v>325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73">
        <v>234225</v>
      </c>
      <c r="H27" s="389" t="s">
        <v>325</v>
      </c>
      <c r="I27" s="600">
        <v>26972</v>
      </c>
      <c r="J27" s="200" t="s">
        <v>41</v>
      </c>
      <c r="K27" s="262">
        <v>0</v>
      </c>
      <c r="L27" s="389" t="s">
        <v>325</v>
      </c>
      <c r="M27" s="196">
        <f t="shared" ref="M27" si="0">K27*L27</f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73">
        <v>69958</v>
      </c>
      <c r="H28" s="389" t="s">
        <v>325</v>
      </c>
      <c r="I28" s="600">
        <v>8055</v>
      </c>
      <c r="J28" s="199" t="s">
        <v>127</v>
      </c>
      <c r="K28" s="181">
        <f>SUM(K23:K27)</f>
        <v>15447189</v>
      </c>
      <c r="L28" s="182"/>
      <c r="M28" s="197">
        <f>SUM(M23:M27)</f>
        <v>1751966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73">
        <v>0</v>
      </c>
      <c r="H29" s="389" t="s">
        <v>325</v>
      </c>
      <c r="I29" s="600">
        <v>0</v>
      </c>
      <c r="J29" s="199"/>
      <c r="K29" s="231">
        <v>15447189</v>
      </c>
      <c r="L29" s="187" t="s">
        <v>102</v>
      </c>
      <c r="M29" s="196">
        <f>M28/K28</f>
        <v>0.11341649280008162</v>
      </c>
    </row>
    <row r="30" spans="1:13" ht="16.5" thickBot="1">
      <c r="A30" s="2" t="s">
        <v>111</v>
      </c>
      <c r="C30" s="125">
        <f>C7+C11+C14+C17+C20+C22+C27+C28+C29</f>
        <v>2345120.540000001</v>
      </c>
      <c r="D30" s="37"/>
      <c r="F30" s="200" t="s">
        <v>43</v>
      </c>
      <c r="G30" s="573">
        <v>111788</v>
      </c>
      <c r="H30" s="389" t="s">
        <v>325</v>
      </c>
      <c r="I30" s="600">
        <v>8289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71">
        <f>-8645.53-8936.05</f>
        <v>-17581.580000000002</v>
      </c>
      <c r="D31" s="39"/>
      <c r="F31" s="200" t="s">
        <v>74</v>
      </c>
      <c r="G31" s="573">
        <v>3806098</v>
      </c>
      <c r="H31" s="389" t="s">
        <v>325</v>
      </c>
      <c r="I31" s="600">
        <v>2037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2">
        <f>C30+C31</f>
        <v>2327538.9600000009</v>
      </c>
      <c r="D32" s="40"/>
      <c r="F32" s="199" t="s">
        <v>127</v>
      </c>
      <c r="G32" s="181">
        <f>SUM(G23:G31)</f>
        <v>37042905</v>
      </c>
      <c r="H32" s="7"/>
      <c r="I32" s="197">
        <f>SUM(I23:I31)</f>
        <v>4130608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-150263.87999999998</v>
      </c>
      <c r="D33" s="36"/>
      <c r="F33" s="186"/>
      <c r="G33" s="231">
        <v>37042905</v>
      </c>
      <c r="H33" s="187" t="s">
        <v>102</v>
      </c>
      <c r="I33" s="216">
        <f>I32/G32</f>
        <v>0.11150874911133454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2177275.080000001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8"/>
      <c r="L35" s="648"/>
      <c r="M35" s="649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7">
        <v>12024731</v>
      </c>
      <c r="L36" s="389" t="s">
        <v>325</v>
      </c>
      <c r="M36" s="600">
        <v>2875532</v>
      </c>
      <c r="P36" s="273"/>
      <c r="Q36" s="273"/>
    </row>
    <row r="37" spans="1:17" ht="15.75">
      <c r="A37" s="7" t="s">
        <v>129</v>
      </c>
      <c r="B37" s="538" t="s">
        <v>115</v>
      </c>
      <c r="C37" s="571">
        <v>14220206.199999999</v>
      </c>
      <c r="D37" s="36"/>
      <c r="F37" s="200" t="s">
        <v>37</v>
      </c>
      <c r="G37" s="597">
        <v>24209007</v>
      </c>
      <c r="H37" s="389" t="s">
        <v>325</v>
      </c>
      <c r="I37" s="600">
        <v>5766668</v>
      </c>
      <c r="J37" s="200" t="s">
        <v>38</v>
      </c>
      <c r="K37" s="597">
        <v>3417191</v>
      </c>
      <c r="L37" s="389" t="s">
        <v>325</v>
      </c>
      <c r="M37" s="600">
        <v>817349</v>
      </c>
      <c r="P37" s="273"/>
      <c r="Q37" s="273"/>
    </row>
    <row r="38" spans="1:17" ht="15.75">
      <c r="A38" s="144" t="s">
        <v>14</v>
      </c>
      <c r="B38" s="538" t="s">
        <v>115</v>
      </c>
      <c r="C38" s="571">
        <v>0</v>
      </c>
      <c r="D38" s="36"/>
      <c r="F38" s="200" t="s">
        <v>324</v>
      </c>
      <c r="G38" s="597">
        <v>35292</v>
      </c>
      <c r="H38" s="389" t="s">
        <v>325</v>
      </c>
      <c r="I38" s="600">
        <v>8406</v>
      </c>
      <c r="J38" s="200" t="s">
        <v>39</v>
      </c>
      <c r="K38" s="597">
        <v>5267</v>
      </c>
      <c r="L38" s="389" t="s">
        <v>325</v>
      </c>
      <c r="M38" s="600">
        <v>1260</v>
      </c>
      <c r="P38" s="273"/>
      <c r="Q38" s="273"/>
    </row>
    <row r="39" spans="1:17" ht="15.75">
      <c r="A39" s="7" t="s">
        <v>146</v>
      </c>
      <c r="B39" s="538" t="s">
        <v>147</v>
      </c>
      <c r="C39" s="571">
        <v>-38848.57</v>
      </c>
      <c r="D39" s="36"/>
      <c r="F39" s="200" t="s">
        <v>38</v>
      </c>
      <c r="G39" s="597">
        <v>8576537</v>
      </c>
      <c r="H39" s="389" t="s">
        <v>325</v>
      </c>
      <c r="I39" s="600">
        <v>2044253</v>
      </c>
      <c r="J39" s="200" t="s">
        <v>40</v>
      </c>
      <c r="K39" s="263">
        <f>K26</f>
        <v>0</v>
      </c>
      <c r="L39" s="389" t="s">
        <v>325</v>
      </c>
      <c r="M39" s="196">
        <v>0</v>
      </c>
      <c r="P39" s="273"/>
      <c r="Q39" s="273"/>
    </row>
    <row r="40" spans="1:17" ht="15.75">
      <c r="A40" s="7" t="s">
        <v>131</v>
      </c>
      <c r="B40" s="538" t="s">
        <v>132</v>
      </c>
      <c r="C40" s="571">
        <v>597472.4</v>
      </c>
      <c r="D40" s="36"/>
      <c r="F40" s="200" t="s">
        <v>39</v>
      </c>
      <c r="G40" s="597">
        <f t="shared" ref="G40:G43" si="1">G26</f>
        <v>0</v>
      </c>
      <c r="H40" s="389" t="s">
        <v>325</v>
      </c>
      <c r="I40" s="600">
        <v>0</v>
      </c>
      <c r="J40" s="200" t="s">
        <v>41</v>
      </c>
      <c r="K40" s="263">
        <f>K27</f>
        <v>0</v>
      </c>
      <c r="L40" s="389" t="s">
        <v>325</v>
      </c>
      <c r="M40" s="196">
        <v>0</v>
      </c>
      <c r="P40" s="273"/>
      <c r="Q40" s="273"/>
    </row>
    <row r="41" spans="1:17" ht="15.75">
      <c r="A41" s="7" t="s">
        <v>153</v>
      </c>
      <c r="B41" s="6" t="s">
        <v>155</v>
      </c>
      <c r="C41" s="571">
        <v>24814.67</v>
      </c>
      <c r="D41" s="36"/>
      <c r="F41" s="200" t="s">
        <v>40</v>
      </c>
      <c r="G41" s="597">
        <v>234225</v>
      </c>
      <c r="H41" s="389" t="s">
        <v>325</v>
      </c>
      <c r="I41" s="600">
        <v>55764</v>
      </c>
      <c r="J41" s="200" t="s">
        <v>42</v>
      </c>
      <c r="K41" s="262">
        <v>0</v>
      </c>
      <c r="L41" s="389" t="s">
        <v>325</v>
      </c>
      <c r="M41" s="196">
        <v>0</v>
      </c>
      <c r="P41" s="273"/>
      <c r="Q41" s="273"/>
    </row>
    <row r="42" spans="1:17" ht="16.5" thickBot="1">
      <c r="A42" s="7" t="s">
        <v>178</v>
      </c>
      <c r="B42" s="538" t="s">
        <v>179</v>
      </c>
      <c r="C42" s="571">
        <v>1359169.39</v>
      </c>
      <c r="D42" s="37"/>
      <c r="F42" s="200" t="s">
        <v>41</v>
      </c>
      <c r="G42" s="597">
        <v>69958</v>
      </c>
      <c r="H42" s="389" t="s">
        <v>325</v>
      </c>
      <c r="I42" s="600">
        <v>16654</v>
      </c>
      <c r="J42" s="200" t="s">
        <v>43</v>
      </c>
      <c r="K42" s="264">
        <v>0</v>
      </c>
      <c r="L42" s="389" t="s">
        <v>325</v>
      </c>
      <c r="M42" s="196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16162814.09</v>
      </c>
      <c r="D43" s="36"/>
      <c r="F43" s="200" t="s">
        <v>42</v>
      </c>
      <c r="G43" s="597">
        <f t="shared" si="1"/>
        <v>0</v>
      </c>
      <c r="H43" s="389" t="s">
        <v>325</v>
      </c>
      <c r="I43" s="600">
        <v>0</v>
      </c>
      <c r="J43" s="199" t="s">
        <v>133</v>
      </c>
      <c r="K43" s="181">
        <f>SUM(K36:K42)</f>
        <v>15447189</v>
      </c>
      <c r="L43" s="182"/>
      <c r="M43" s="197">
        <f>SUM(M36:M42)</f>
        <v>3694141</v>
      </c>
    </row>
    <row r="44" spans="1:17" ht="16.5" thickBot="1">
      <c r="A44" s="83" t="s">
        <v>177</v>
      </c>
      <c r="B44" s="84" t="s">
        <v>120</v>
      </c>
      <c r="C44" s="571">
        <f>5174141.78-128963.75</f>
        <v>5045178.03</v>
      </c>
      <c r="D44" s="37"/>
      <c r="F44" s="200" t="s">
        <v>43</v>
      </c>
      <c r="G44" s="597">
        <v>111788</v>
      </c>
      <c r="H44" s="389" t="s">
        <v>325</v>
      </c>
      <c r="I44" s="600">
        <v>26610</v>
      </c>
      <c r="J44" s="194"/>
      <c r="K44" s="232">
        <v>15447189</v>
      </c>
      <c r="L44" s="189" t="s">
        <v>102</v>
      </c>
      <c r="M44" s="217">
        <f>M43/K43</f>
        <v>0.23914648807624481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33236807</v>
      </c>
      <c r="H45" s="182"/>
      <c r="I45" s="197">
        <f>SUM(I37:I44)</f>
        <v>7918355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33236807</v>
      </c>
      <c r="H46" s="189" t="s">
        <v>102</v>
      </c>
      <c r="I46" s="215">
        <f>I45/G45</f>
        <v>0.23824054458660845</v>
      </c>
      <c r="J46" s="124"/>
      <c r="K46" s="114"/>
      <c r="L46" s="385"/>
      <c r="M46" s="68"/>
    </row>
    <row r="47" spans="1:17" ht="15.75">
      <c r="A47" s="384" t="s">
        <v>137</v>
      </c>
      <c r="B47" s="6" t="s">
        <v>115</v>
      </c>
      <c r="C47" s="571">
        <v>36128.68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323</v>
      </c>
      <c r="B48" s="6" t="s">
        <v>115</v>
      </c>
      <c r="C48" s="571">
        <v>7000</v>
      </c>
      <c r="D48" s="36"/>
      <c r="F48" s="385"/>
      <c r="G48" s="385"/>
      <c r="H48" s="385"/>
      <c r="I48" s="385"/>
      <c r="J48" s="124"/>
      <c r="K48" s="114"/>
      <c r="L48" s="385"/>
      <c r="M48" s="385"/>
    </row>
    <row r="49" spans="1:21" ht="15.75">
      <c r="A49" s="7" t="s">
        <v>130</v>
      </c>
      <c r="B49" s="538" t="s">
        <v>152</v>
      </c>
      <c r="C49" s="571">
        <v>25557.85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8" t="s">
        <v>152</v>
      </c>
      <c r="C50" s="571">
        <v>4057.42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327</v>
      </c>
      <c r="B51" s="538" t="s">
        <v>152</v>
      </c>
      <c r="C51" s="571">
        <v>9707.4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150263.87999999998</v>
      </c>
      <c r="D52" s="33"/>
      <c r="F52" s="385" t="s">
        <v>136</v>
      </c>
      <c r="G52" s="385"/>
      <c r="H52" s="212">
        <f>K12</f>
        <v>6784473.0992220007</v>
      </c>
      <c r="I52" s="115">
        <f>I14</f>
        <v>1535632.1139240009</v>
      </c>
      <c r="J52" s="115">
        <f>L12</f>
        <v>3152913.2807780011</v>
      </c>
      <c r="K52" s="115">
        <f>J14</f>
        <v>641642.96607600036</v>
      </c>
      <c r="L52" s="132">
        <f>SUM(H52:K52)</f>
        <v>12114661.460000003</v>
      </c>
    </row>
    <row r="53" spans="1:21" ht="16.5" thickBot="1">
      <c r="A53" s="382" t="s">
        <v>124</v>
      </c>
      <c r="B53" s="473" t="s">
        <v>313</v>
      </c>
      <c r="C53" s="571">
        <f>-3192967.01-8399426.89+627910.41</f>
        <v>-10964483.49</v>
      </c>
      <c r="D53" s="36"/>
      <c r="F53" s="384" t="s">
        <v>109</v>
      </c>
      <c r="H53" s="212">
        <f>-I45</f>
        <v>-7918355</v>
      </c>
      <c r="I53" s="115">
        <f>-I32</f>
        <v>-4130608</v>
      </c>
      <c r="J53" s="115">
        <f>-M43</f>
        <v>-3694141</v>
      </c>
      <c r="K53" s="115">
        <f>-M28</f>
        <v>-1751966</v>
      </c>
      <c r="L53" s="261">
        <f>SUM(H53:K53)</f>
        <v>-17495070</v>
      </c>
    </row>
    <row r="54" spans="1:21" ht="16.5" thickBot="1">
      <c r="A54" s="384" t="s">
        <v>331</v>
      </c>
      <c r="B54" s="6" t="s">
        <v>190</v>
      </c>
      <c r="C54" s="571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-5380408.5399999972</v>
      </c>
    </row>
    <row r="55" spans="1:21" ht="16.5" thickBot="1">
      <c r="A55" s="82" t="s">
        <v>119</v>
      </c>
      <c r="B55" s="84"/>
      <c r="C55" s="160">
        <f>SUM(C43:C54)</f>
        <v>10101223.860000001</v>
      </c>
      <c r="D55" s="36"/>
      <c r="F55" s="384" t="s">
        <v>71</v>
      </c>
      <c r="H55" s="125">
        <f>IFERROR(H52+H53+H54,0)</f>
        <v>-1133881.9007779993</v>
      </c>
      <c r="I55" s="125">
        <f>I52+I53+I54</f>
        <v>-2594975.8860759991</v>
      </c>
      <c r="J55" s="125">
        <f>IFERROR(J52+J53+J54,0)</f>
        <v>-541227.71922199894</v>
      </c>
      <c r="K55" s="125">
        <f>K52+K53+K54</f>
        <v>-1110323.0339239996</v>
      </c>
      <c r="L55" s="47">
        <f>SUM(H55:K55)</f>
        <v>-5380408.5399999963</v>
      </c>
    </row>
    <row r="56" spans="1:21" ht="17.25" thickTop="1" thickBot="1">
      <c r="A56" s="384" t="s">
        <v>121</v>
      </c>
      <c r="B56" s="6" t="s">
        <v>115</v>
      </c>
      <c r="C56" s="571">
        <v>-111632.43</v>
      </c>
      <c r="D56" s="36"/>
      <c r="F56" s="240" t="s">
        <v>181</v>
      </c>
      <c r="H56" s="384" t="s">
        <v>173</v>
      </c>
      <c r="I56" s="5">
        <f>SUM(H55:I55)</f>
        <v>-3728857.7868539984</v>
      </c>
      <c r="J56" s="15" t="s">
        <v>174</v>
      </c>
      <c r="K56" s="384">
        <f>SUM(J55:K55)</f>
        <v>-1651550.7531459986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71">
        <v>-52205.05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9937386.3800000008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9" t="s">
        <v>320</v>
      </c>
      <c r="G59" s="550" t="str">
        <f>IF(OR(AND(I56&gt;0,K56&gt;0),AND(I56&lt;0,K56&lt;0)),"OK","ERROR")</f>
        <v>OK</v>
      </c>
      <c r="H59" s="386" t="s">
        <v>311</v>
      </c>
      <c r="I59" s="387"/>
    </row>
    <row r="60" spans="1:21" ht="16.5" thickBot="1">
      <c r="A60" s="9"/>
      <c r="B60" s="9" t="s">
        <v>95</v>
      </c>
      <c r="C60" s="125">
        <f>C58+C34</f>
        <v>12114661.460000001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350">
        <v>12114661.460000001</v>
      </c>
      <c r="D61" s="37"/>
      <c r="H61" s="349">
        <f>SUM('WA - Def-Amtz (current)'!BJ5:BJ10,'WA - Def-Amtz (current)'!BJ41:BJ46,'WA - Def-Amtz (current)'!BJ76:BJ79,'ID - Def-Amtz (Jan)'!BK5:BK10,'ID - Def-Amtz (Jan)'!BK42:BK47,'ID - Def-Amtz (Jan)'!BK75:BK80)</f>
        <v>6913400.6490394976</v>
      </c>
      <c r="I61" s="449">
        <f>SUM('WA - Def-Amtz (current)'!BK5:BK10,'WA - Def-Amtz (current)'!BK41:BK46,'WA - Def-Amtz (current)'!BK76:BK79,'ID - Def-Amtz (Jan)'!BL5:BL10,'ID - Def-Amtz (Jan)'!BL42:BL47,'ID - Def-Amtz (Jan)'!BL75:BL80)</f>
        <v>6913400.6490394976</v>
      </c>
      <c r="J61" s="384">
        <f>H53+I53+J53+K53</f>
        <v>-17495070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>
        <f>H61-I61</f>
        <v>0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29" priority="6" stopIfTrue="1" operator="equal">
      <formula>0</formula>
    </cfRule>
    <cfRule type="cellIs" dxfId="728" priority="7" stopIfTrue="1" operator="notEqual">
      <formula>0</formula>
    </cfRule>
  </conditionalFormatting>
  <conditionalFormatting sqref="G34 G47 K30 K45">
    <cfRule type="cellIs" dxfId="727" priority="5" operator="notEqual">
      <formula>0</formula>
    </cfRule>
  </conditionalFormatting>
  <conditionalFormatting sqref="C62">
    <cfRule type="cellIs" dxfId="726" priority="3" stopIfTrue="1" operator="equal">
      <formula>0</formula>
    </cfRule>
    <cfRule type="cellIs" dxfId="725" priority="4" stopIfTrue="1" operator="notEqual">
      <formula>0</formula>
    </cfRule>
  </conditionalFormatting>
  <conditionalFormatting sqref="K30">
    <cfRule type="cellIs" dxfId="724" priority="2" operator="notEqual">
      <formula>0</formula>
    </cfRule>
  </conditionalFormatting>
  <conditionalFormatting sqref="G59">
    <cfRule type="cellIs" dxfId="72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M84"/>
  <sheetViews>
    <sheetView showGridLines="0" tabSelected="1" zoomScale="70" zoomScaleNormal="70" zoomScaleSheetLayoutView="85" workbookViewId="0">
      <pane xSplit="2" ySplit="3" topLeftCell="AV58" activePane="bottomRight" state="frozen"/>
      <selection pane="topRight" activeCell="C1" sqref="C1"/>
      <selection pane="bottomLeft" activeCell="A4" sqref="A4"/>
      <selection pane="bottomRight" activeCell="BB51" sqref="BB51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hidden="1" customWidth="1"/>
    <col min="43" max="43" width="18.140625" style="480" hidden="1" customWidth="1"/>
    <col min="44" max="44" width="17.7109375" style="480" hidden="1" customWidth="1"/>
    <col min="45" max="45" width="18.7109375" style="480" hidden="1" customWidth="1"/>
    <col min="46" max="46" width="19.140625" style="480" hidden="1" customWidth="1"/>
    <col min="47" max="47" width="17.42578125" style="480" hidden="1" customWidth="1"/>
    <col min="48" max="48" width="16.7109375" style="480" customWidth="1"/>
    <col min="49" max="53" width="17.42578125" style="480" customWidth="1"/>
    <col min="54" max="54" width="16.28515625" style="480" customWidth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5">
      <c r="A1" s="478" t="s">
        <v>262</v>
      </c>
      <c r="BF1" s="478" t="s">
        <v>312</v>
      </c>
      <c r="BI1" s="481" t="s">
        <v>333</v>
      </c>
      <c r="BJ1" s="481"/>
    </row>
    <row r="2" spans="1:65">
      <c r="A2" s="481" t="s">
        <v>263</v>
      </c>
    </row>
    <row r="3" spans="1:65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" si="0">U3+1</f>
        <v>201502</v>
      </c>
      <c r="W3" s="482">
        <f t="shared" ref="W3" si="1">V3+1</f>
        <v>201503</v>
      </c>
      <c r="X3" s="482">
        <f t="shared" ref="X3" si="2">W3+1</f>
        <v>201504</v>
      </c>
      <c r="Y3" s="482">
        <f t="shared" ref="Y3" si="3">X3+1</f>
        <v>201505</v>
      </c>
      <c r="Z3" s="482">
        <f t="shared" ref="Z3" si="4">Y3+1</f>
        <v>201506</v>
      </c>
      <c r="AA3" s="482">
        <f t="shared" ref="AA3" si="5">Z3+1</f>
        <v>201507</v>
      </c>
      <c r="AB3" s="482">
        <f t="shared" ref="AB3" si="6">AA3+1</f>
        <v>201508</v>
      </c>
      <c r="AC3" s="482">
        <f t="shared" ref="AC3" si="7">AB3+1</f>
        <v>201509</v>
      </c>
      <c r="AD3" s="482">
        <f t="shared" ref="AD3" si="8">AC3+1</f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9">AH3+1</f>
        <v>201603</v>
      </c>
      <c r="AJ3" s="482">
        <f t="shared" si="9"/>
        <v>201604</v>
      </c>
      <c r="AK3" s="482">
        <f t="shared" si="9"/>
        <v>201605</v>
      </c>
      <c r="AL3" s="482">
        <f t="shared" si="9"/>
        <v>201606</v>
      </c>
      <c r="AM3" s="482">
        <f>AL3+1</f>
        <v>201607</v>
      </c>
      <c r="AN3" s="482">
        <f t="shared" si="9"/>
        <v>201608</v>
      </c>
      <c r="AO3" s="482">
        <f t="shared" si="9"/>
        <v>201609</v>
      </c>
      <c r="AP3" s="482">
        <f t="shared" si="9"/>
        <v>201610</v>
      </c>
      <c r="AQ3" s="482">
        <f t="shared" si="9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" si="10">AT3+1</f>
        <v>201703</v>
      </c>
      <c r="AV3" s="482">
        <f t="shared" ref="AV3" si="11">AU3+1</f>
        <v>201704</v>
      </c>
      <c r="AW3" s="482">
        <f t="shared" ref="AW3" si="12">AV3+1</f>
        <v>201705</v>
      </c>
      <c r="AX3" s="482">
        <f t="shared" ref="AX3" si="13">AW3+1</f>
        <v>201706</v>
      </c>
      <c r="AY3" s="482">
        <f>AX3+1</f>
        <v>201707</v>
      </c>
      <c r="AZ3" s="482">
        <f t="shared" ref="AZ3" si="14">AY3+1</f>
        <v>201708</v>
      </c>
      <c r="BA3" s="482">
        <f t="shared" ref="BA3" si="15">AZ3+1</f>
        <v>201709</v>
      </c>
      <c r="BB3" s="482">
        <f t="shared" ref="BB3" si="16">BA3+1</f>
        <v>201710</v>
      </c>
      <c r="BC3" s="482">
        <f t="shared" ref="BC3" si="17">BB3+1</f>
        <v>201711</v>
      </c>
      <c r="BD3" s="482">
        <f>BC3+1</f>
        <v>201712</v>
      </c>
      <c r="BE3" s="577"/>
      <c r="BG3" s="482"/>
    </row>
    <row r="4" spans="1:65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3.9600000000000003E-2</v>
      </c>
      <c r="AZ4" s="617">
        <v>3.9600000000000003E-2</v>
      </c>
      <c r="BA4" s="617">
        <v>3.9600000000000003E-2</v>
      </c>
      <c r="BB4" s="617">
        <v>4.2099999999999999E-2</v>
      </c>
      <c r="BC4" s="617">
        <v>3.7100000000000001E-2</v>
      </c>
      <c r="BD4" s="617">
        <v>3.7100000000000001E-2</v>
      </c>
      <c r="BE4" s="577"/>
      <c r="BF4" s="542">
        <v>201710</v>
      </c>
      <c r="BG4" s="524"/>
      <c r="BH4" s="512"/>
      <c r="BI4" s="512"/>
      <c r="BJ4" s="512"/>
      <c r="BK4" s="513"/>
    </row>
    <row r="5" spans="1:65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18">AF13</f>
        <v>-6508323.8685397729</v>
      </c>
      <c r="AH5" s="480">
        <f t="shared" si="18"/>
        <v>-8439847.1132167727</v>
      </c>
      <c r="AI5" s="480">
        <f t="shared" si="18"/>
        <v>-9264796.9494047705</v>
      </c>
      <c r="AJ5" s="480">
        <f t="shared" si="18"/>
        <v>-10398819.535470769</v>
      </c>
      <c r="AK5" s="480">
        <f t="shared" si="18"/>
        <v>-12153304.785960769</v>
      </c>
      <c r="AL5" s="480">
        <f t="shared" si="18"/>
        <v>-12778894.072104771</v>
      </c>
      <c r="AM5" s="480">
        <f>AL13</f>
        <v>-14182183.944992768</v>
      </c>
      <c r="AN5" s="480">
        <f t="shared" si="18"/>
        <v>-15130761.40771677</v>
      </c>
      <c r="AO5" s="480">
        <f>AN13</f>
        <v>-15660034.00335677</v>
      </c>
      <c r="AP5" s="480">
        <f t="shared" si="18"/>
        <v>-16306032.832939774</v>
      </c>
      <c r="AQ5" s="480">
        <f>AP13</f>
        <v>-16534597.329101773</v>
      </c>
      <c r="AR5" s="480">
        <f t="shared" si="18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" si="19">AU13</f>
        <v>-13990367.081666788</v>
      </c>
      <c r="AW5" s="558">
        <f t="shared" ref="AW5" si="20">AV13</f>
        <v>-15173451.409781789</v>
      </c>
      <c r="AX5" s="480">
        <f t="shared" ref="AX5" si="21">AW13</f>
        <v>-15098116.96234579</v>
      </c>
      <c r="AY5" s="480">
        <f>AX13</f>
        <v>-14771177.38731979</v>
      </c>
      <c r="AZ5" s="558">
        <f t="shared" ref="AZ5" si="22">AY13</f>
        <v>-15909772.702550791</v>
      </c>
      <c r="BA5" s="480">
        <f>AZ13</f>
        <v>-16977268.897435792</v>
      </c>
      <c r="BB5" s="480">
        <f t="shared" ref="BB5" si="23">BA13</f>
        <v>-18962414.798894793</v>
      </c>
      <c r="BC5" s="480">
        <f>BB13</f>
        <v>-21954910.563472789</v>
      </c>
      <c r="BD5" s="480">
        <f t="shared" ref="BD5" si="24">BC13</f>
        <v>-7921734.9929997846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  <c r="BM5" s="480" t="str">
        <f>_xll.GLW_Segment_Description(BG5,2,2)</f>
        <v>INTEREST ON ENERGY DEFERRALS</v>
      </c>
    </row>
    <row r="6" spans="1:65">
      <c r="B6" s="479" t="s">
        <v>328</v>
      </c>
      <c r="C6" s="480">
        <f t="shared" ref="C6:C12" si="25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71650.12</v>
      </c>
      <c r="BK6" s="498">
        <v>0</v>
      </c>
      <c r="BM6" s="480" t="str">
        <f>_xll.GLW_Segment_Description(BG6,2,2)</f>
        <v>INTEREST EXPENSE ENERGY DEFERRALS</v>
      </c>
    </row>
    <row r="7" spans="1:65">
      <c r="B7" s="479" t="s">
        <v>252</v>
      </c>
      <c r="C7" s="480">
        <f t="shared" si="25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2992495.7645779983</v>
      </c>
      <c r="BM7" s="480" t="str">
        <f>_xll.GLW_Segment_Description(BG7,2,2)</f>
        <v>CURR UNRECOV PGA DEFERRED</v>
      </c>
    </row>
    <row r="8" spans="1:65">
      <c r="B8" s="479" t="s">
        <v>255</v>
      </c>
      <c r="C8" s="480">
        <f t="shared" si="25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26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27">ROUND(((AR5)*(AR4/12))+((SUM(AR6:AR7)/2)*(AR4/12)),2)</f>
        <v>-14406.68</v>
      </c>
      <c r="AS8" s="555">
        <f t="shared" si="27"/>
        <v>-24852.09</v>
      </c>
      <c r="AT8" s="555">
        <f t="shared" si="27"/>
        <v>-32890.959999999999</v>
      </c>
      <c r="AU8" s="555">
        <f t="shared" si="27"/>
        <v>-38340.61</v>
      </c>
      <c r="AV8" s="555">
        <f t="shared" si="27"/>
        <v>-45012.82</v>
      </c>
      <c r="AW8" s="555">
        <f t="shared" si="27"/>
        <v>-46722.57</v>
      </c>
      <c r="AX8" s="555">
        <f>ROUND(((AX5)*(AX4/12))+((SUM(AX6:AX7)/2)*(AX4/12)),2)</f>
        <v>-46101.69</v>
      </c>
      <c r="AY8" s="555">
        <f t="shared" ref="AY8:BA8" si="28">ROUND(((AY5)*(AY4/12))+((SUM(AY6:AY7)/2)*(AY4/12)),2)</f>
        <v>-50540.18</v>
      </c>
      <c r="AZ8" s="555">
        <f>ROUND(((AZ5)*(AZ4/12))+((SUM(AZ6:AZ7)/2)*(AZ4/12)),2)</f>
        <v>-54174.23</v>
      </c>
      <c r="BA8" s="555">
        <f t="shared" si="28"/>
        <v>-59202.79</v>
      </c>
      <c r="BB8" s="555">
        <f>ROUND(((BB5)*(BB4/12))+((SUM(BB6:BB7)/2)*(BB4/12)),2)</f>
        <v>-71650.12</v>
      </c>
      <c r="BC8" s="555">
        <f>ROUND(((BC5+BC9+BC10+BC11)*(BC4/12))+((SUM(BC6:BC7)/2)*(BC4/12)),2)</f>
        <v>-23314.5</v>
      </c>
      <c r="BD8" s="487">
        <f>ROUND(((BD5)*(BD4/12))+((SUM(BD6:BD7)/2)*(BD4/12)),2)</f>
        <v>-30255.56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2920845.6445779982</v>
      </c>
      <c r="BK8" s="498">
        <f>IF((SUMIF(AG3:BD3,BF4,AG6:BD6)+SUMIF(AG3:BD3,BF4,AG7:BD7))&gt;0,(SUMIF(AG3:BD3,BF4,AG6:BD6)+SUMIF(AG3:BD3,BF4,AG7:BD7)),0)</f>
        <v>0</v>
      </c>
      <c r="BM8" s="480" t="str">
        <f>_xll.GLW_Segment_Description(BG8,2,2)</f>
        <v>DEFER CURRENT UNRECOVERED GAS COSTS</v>
      </c>
    </row>
    <row r="9" spans="1:65">
      <c r="B9" s="479" t="s">
        <v>259</v>
      </c>
      <c r="C9" s="480">
        <f t="shared" si="25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  <c r="BM9" s="480" t="str">
        <f>_xll.GLW_Segment_Description(BG9,2,2)</f>
        <v>CURR UNRECOV PGA DEFERRED</v>
      </c>
    </row>
    <row r="10" spans="1:65" ht="16.5" thickBot="1">
      <c r="B10" s="479" t="s">
        <v>260</v>
      </c>
      <c r="C10" s="480">
        <f t="shared" si="25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  <c r="BM10" s="480" t="str">
        <f>_xll.GLW_Segment_Description(BG10,2,2)</f>
        <v>RECOVERABLE GAS COSTS AMORTIZED</v>
      </c>
    </row>
    <row r="11" spans="1:65" ht="16.5" thickBot="1">
      <c r="B11" s="479" t="s">
        <v>261</v>
      </c>
      <c r="C11" s="480">
        <f t="shared" si="25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5">
      <c r="B12" s="479" t="s">
        <v>148</v>
      </c>
      <c r="C12" s="480">
        <f t="shared" si="25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5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29">SUM(F5:F12)</f>
        <v>2255013.9900000002</v>
      </c>
      <c r="G13" s="539">
        <f>SUM(G5:G12)</f>
        <v>-33498.738666789999</v>
      </c>
      <c r="H13" s="539">
        <f t="shared" si="29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30">SUM(V5:V12)</f>
        <v>-1694440.0214187815</v>
      </c>
      <c r="W13" s="539">
        <f t="shared" si="30"/>
        <v>-683405.33395377884</v>
      </c>
      <c r="X13" s="539">
        <f t="shared" si="30"/>
        <v>-2769396.4708657796</v>
      </c>
      <c r="Y13" s="539">
        <f>SUM(Y5:Y12)</f>
        <v>-2940906.6891037785</v>
      </c>
      <c r="Z13" s="539">
        <f t="shared" ref="Z13:AE13" si="31">SUM(Z5:Z12)</f>
        <v>-3112721.2246137792</v>
      </c>
      <c r="AA13" s="539">
        <f t="shared" si="31"/>
        <v>-3464489.8670317773</v>
      </c>
      <c r="AB13" s="539">
        <f t="shared" si="31"/>
        <v>-3555298.2266717753</v>
      </c>
      <c r="AC13" s="539">
        <f t="shared" si="31"/>
        <v>-4755858.0107337767</v>
      </c>
      <c r="AD13" s="539">
        <f t="shared" si="31"/>
        <v>-5900360.3440987766</v>
      </c>
      <c r="AE13" s="539">
        <f t="shared" si="31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32">SUM(AI5:AI12)</f>
        <v>-10398819.535470769</v>
      </c>
      <c r="AJ13" s="539">
        <f t="shared" si="32"/>
        <v>-12153304.785960769</v>
      </c>
      <c r="AK13" s="539">
        <f t="shared" si="32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32"/>
        <v>-15660034.00335677</v>
      </c>
      <c r="AO13" s="539">
        <f>SUM(AO5:AO12)</f>
        <v>-16306032.832939774</v>
      </c>
      <c r="AP13" s="539">
        <f t="shared" si="32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33">SUM(AV5:AV12)</f>
        <v>-15173451.409781789</v>
      </c>
      <c r="AW13" s="539">
        <f t="shared" si="33"/>
        <v>-15098116.96234579</v>
      </c>
      <c r="AX13" s="539">
        <f>SUM(AX5:AX12)</f>
        <v>-14771177.38731979</v>
      </c>
      <c r="AY13" s="539">
        <f t="shared" ref="AY13:AZ13" si="34">SUM(AY5:AY12)</f>
        <v>-15909772.702550791</v>
      </c>
      <c r="AZ13" s="539">
        <f t="shared" si="34"/>
        <v>-16977268.897435792</v>
      </c>
      <c r="BA13" s="539">
        <f>SUM(BA5:BA12)</f>
        <v>-18962414.798894793</v>
      </c>
      <c r="BB13" s="539">
        <f t="shared" ref="BB13" si="35">SUM(BB5:BB12)</f>
        <v>-21954910.563472789</v>
      </c>
      <c r="BC13" s="602">
        <f>SUM(BC5:BC12)</f>
        <v>-7921734.9929997846</v>
      </c>
      <c r="BD13" s="539">
        <f>SUM(BD5:BD12)</f>
        <v>-11680848.339853784</v>
      </c>
    </row>
    <row r="14" spans="1:65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558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5">
      <c r="B15" s="479" t="s">
        <v>243</v>
      </c>
      <c r="E15" s="480">
        <f t="shared" ref="E15:H15" si="36">E13-E14</f>
        <v>1.0000000242143869E-2</v>
      </c>
      <c r="F15" s="480">
        <f t="shared" si="36"/>
        <v>1.0000000242143869E-2</v>
      </c>
      <c r="G15" s="480">
        <f t="shared" si="36"/>
        <v>1.1333210000884719E-2</v>
      </c>
      <c r="H15" s="480">
        <f t="shared" si="36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C15" si="37">V13-V14</f>
        <v>-1.418781466782093E-3</v>
      </c>
      <c r="W15" s="480">
        <f t="shared" si="37"/>
        <v>-3.9537788834422827E-3</v>
      </c>
      <c r="X15" s="480">
        <f t="shared" si="37"/>
        <v>-8.6577935144305229E-4</v>
      </c>
      <c r="Y15" s="480">
        <f t="shared" si="37"/>
        <v>8.9622149243950844E-4</v>
      </c>
      <c r="Z15" s="480">
        <f t="shared" si="37"/>
        <v>5.3862207569181919E-3</v>
      </c>
      <c r="AA15" s="480">
        <f t="shared" si="37"/>
        <v>2.9682228341698647E-3</v>
      </c>
      <c r="AB15" s="480">
        <f t="shared" si="37"/>
        <v>3.3282246440649033E-3</v>
      </c>
      <c r="AC15" s="480">
        <f t="shared" si="37"/>
        <v>-7.3377694934606552E-4</v>
      </c>
      <c r="AD15" s="480">
        <f t="shared" ref="AD15:AE15" si="38">AD13-AD14</f>
        <v>-4.0987767279148102E-3</v>
      </c>
      <c r="AE15" s="480">
        <f t="shared" si="38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K15" si="39">AH13-AH14</f>
        <v>5.9522874653339386E-4</v>
      </c>
      <c r="AI15" s="480">
        <f t="shared" si="39"/>
        <v>4.5292302966117859E-3</v>
      </c>
      <c r="AJ15" s="480">
        <f t="shared" si="39"/>
        <v>4.0392298251390457E-3</v>
      </c>
      <c r="AK15" s="480">
        <f t="shared" si="39"/>
        <v>7.895229384303093E-3</v>
      </c>
      <c r="AL15" s="480">
        <f t="shared" ref="AL15:AP15" si="40">AL13-AL14</f>
        <v>5.0072316080331802E-3</v>
      </c>
      <c r="AM15" s="480">
        <f>AM13-AM14</f>
        <v>2.2832304239273071E-3</v>
      </c>
      <c r="AN15" s="480">
        <f t="shared" si="40"/>
        <v>6.6432300955057144E-3</v>
      </c>
      <c r="AO15" s="480">
        <f t="shared" si="40"/>
        <v>7.0602260529994965E-3</v>
      </c>
      <c r="AP15" s="480">
        <f t="shared" si="40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41">AT13-AT14</f>
        <v>1.8762214109301567E-2</v>
      </c>
      <c r="AU15" s="480">
        <f t="shared" si="41"/>
        <v>1.8333211541175842E-2</v>
      </c>
      <c r="AV15" s="480">
        <f t="shared" si="41"/>
        <v>2.021821029484272E-2</v>
      </c>
      <c r="AW15" s="480">
        <f t="shared" si="41"/>
        <v>1.7654210329055786E-2</v>
      </c>
      <c r="AX15" s="480">
        <f t="shared" si="41"/>
        <v>1.2680210173130035E-2</v>
      </c>
      <c r="AY15" s="480">
        <f t="shared" si="41"/>
        <v>1.7449209466576576E-2</v>
      </c>
      <c r="AZ15" s="480">
        <f t="shared" si="41"/>
        <v>1.256420835852623E-2</v>
      </c>
      <c r="BA15" s="480">
        <f t="shared" si="41"/>
        <v>1.1105205863714218E-2</v>
      </c>
      <c r="BB15" s="480">
        <f t="shared" si="41"/>
        <v>-2992495.7534727901</v>
      </c>
      <c r="BC15" s="480">
        <f>BC13-BC14</f>
        <v>11040679.817000214</v>
      </c>
      <c r="BD15" s="480">
        <f>BD13-BD14</f>
        <v>-11680848.339853784</v>
      </c>
    </row>
    <row r="16" spans="1:65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" si="42">U18+1</f>
        <v>201502</v>
      </c>
      <c r="W18" s="482">
        <f t="shared" ref="W18" si="43">V18+1</f>
        <v>201503</v>
      </c>
      <c r="X18" s="482">
        <f t="shared" ref="X18" si="44">W18+1</f>
        <v>201504</v>
      </c>
      <c r="Y18" s="482">
        <f t="shared" ref="Y18" si="45">X18+1</f>
        <v>201505</v>
      </c>
      <c r="Z18" s="482">
        <f t="shared" ref="Z18" si="46">Y18+1</f>
        <v>201506</v>
      </c>
      <c r="AA18" s="482">
        <f t="shared" ref="AA18" si="47">Z18+1</f>
        <v>201507</v>
      </c>
      <c r="AB18" s="482">
        <f t="shared" ref="AB18" si="48">AA18+1</f>
        <v>201508</v>
      </c>
      <c r="AC18" s="482">
        <f t="shared" ref="AC18" si="49">AB18+1</f>
        <v>201509</v>
      </c>
      <c r="AD18" s="482">
        <f t="shared" ref="AD18" si="50">AC18+1</f>
        <v>201510</v>
      </c>
      <c r="AE18" s="482">
        <f>AD18+1</f>
        <v>201511</v>
      </c>
      <c r="AF18" s="482">
        <f t="shared" ref="AF18" si="51">AE18+1</f>
        <v>201512</v>
      </c>
      <c r="AG18" s="482">
        <v>201601</v>
      </c>
      <c r="AH18" s="482">
        <f>AG18+1</f>
        <v>201602</v>
      </c>
      <c r="AI18" s="482">
        <f t="shared" ref="AI18:AR18" si="52">AH18+1</f>
        <v>201603</v>
      </c>
      <c r="AJ18" s="482">
        <f t="shared" si="52"/>
        <v>201604</v>
      </c>
      <c r="AK18" s="482">
        <f t="shared" si="52"/>
        <v>201605</v>
      </c>
      <c r="AL18" s="482">
        <f t="shared" si="52"/>
        <v>201606</v>
      </c>
      <c r="AM18" s="482">
        <f t="shared" si="52"/>
        <v>201607</v>
      </c>
      <c r="AN18" s="482">
        <f t="shared" si="52"/>
        <v>201608</v>
      </c>
      <c r="AO18" s="482">
        <f t="shared" si="52"/>
        <v>201609</v>
      </c>
      <c r="AP18" s="482">
        <f t="shared" si="52"/>
        <v>201610</v>
      </c>
      <c r="AQ18" s="482">
        <f t="shared" si="52"/>
        <v>201611</v>
      </c>
      <c r="AR18" s="482">
        <f t="shared" si="52"/>
        <v>201612</v>
      </c>
      <c r="AS18" s="482">
        <f>AS3</f>
        <v>201701</v>
      </c>
      <c r="AT18" s="482">
        <f>AS18+1</f>
        <v>201702</v>
      </c>
      <c r="AU18" s="482">
        <f t="shared" ref="AU18" si="53">AT18+1</f>
        <v>201703</v>
      </c>
      <c r="AV18" s="482">
        <f t="shared" ref="AV18" si="54">AU18+1</f>
        <v>201704</v>
      </c>
      <c r="AW18" s="482">
        <f t="shared" ref="AW18" si="55">AV18+1</f>
        <v>201705</v>
      </c>
      <c r="AX18" s="482">
        <f t="shared" ref="AX18" si="56">AW18+1</f>
        <v>201706</v>
      </c>
      <c r="AY18" s="482">
        <f t="shared" ref="AY18" si="57">AX18+1</f>
        <v>201707</v>
      </c>
      <c r="AZ18" s="482">
        <f t="shared" ref="AZ18" si="58">AY18+1</f>
        <v>201708</v>
      </c>
      <c r="BA18" s="482">
        <f t="shared" ref="BA18" si="59">AZ18+1</f>
        <v>201709</v>
      </c>
      <c r="BB18" s="482">
        <f t="shared" ref="BB18" si="60">BA18+1</f>
        <v>201710</v>
      </c>
      <c r="BC18" s="482">
        <f t="shared" ref="BC18" si="61">BB18+1</f>
        <v>201711</v>
      </c>
      <c r="BD18" s="482">
        <f t="shared" ref="BD18" si="62">BC18+1</f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620">
        <f>Jun!$G23</f>
        <v>2542069</v>
      </c>
      <c r="AY19" s="620">
        <f>Jul!$G23</f>
        <v>2070483</v>
      </c>
      <c r="AZ19" s="620">
        <f>Aug!$G23</f>
        <v>2080707</v>
      </c>
      <c r="BA19" s="620">
        <f>Sep!G23</f>
        <v>3147236</v>
      </c>
      <c r="BB19" s="620">
        <v>8835836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63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620">
        <f>Jun!$G24</f>
        <v>3619</v>
      </c>
      <c r="AY20" s="620">
        <f>Jul!$G24</f>
        <v>2296</v>
      </c>
      <c r="AZ20" s="620">
        <f>Aug!$G24</f>
        <v>2393</v>
      </c>
      <c r="BA20" s="620">
        <f>Sep!G24</f>
        <v>3920</v>
      </c>
      <c r="BB20" s="620"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63"/>
        <v>51323965</v>
      </c>
      <c r="D21" s="489">
        <f t="shared" ref="D21:D27" si="64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620">
        <f>Jun!$G25</f>
        <v>1878375</v>
      </c>
      <c r="AY21" s="620">
        <f>Jul!$G25</f>
        <v>1446879</v>
      </c>
      <c r="AZ21" s="620">
        <f>Aug!$G25</f>
        <v>1463939</v>
      </c>
      <c r="BA21" s="620">
        <f>Sep!G25</f>
        <v>2165313</v>
      </c>
      <c r="BB21" s="620"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620"/>
      <c r="AY22" s="620"/>
      <c r="AZ22" s="620"/>
      <c r="BA22" s="620">
        <f>Sep!G26</f>
        <v>0</v>
      </c>
      <c r="BB22" s="620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63"/>
        <v>3609942</v>
      </c>
      <c r="D23" s="489">
        <f t="shared" si="64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620">
        <f>Jun!$G27</f>
        <v>289055</v>
      </c>
      <c r="AY23" s="620">
        <f>Jul!$G27</f>
        <v>274504</v>
      </c>
      <c r="AZ23" s="620">
        <f>Aug!$G27</f>
        <v>291721</v>
      </c>
      <c r="BA23" s="620">
        <f>Sep!G27</f>
        <v>348558</v>
      </c>
      <c r="BB23" s="620"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63"/>
        <v>0</v>
      </c>
      <c r="D24" s="489">
        <f t="shared" si="64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63"/>
        <v>0</v>
      </c>
      <c r="D25" s="489">
        <f t="shared" si="64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620">
        <f>Jun!$G29</f>
        <v>0</v>
      </c>
      <c r="AY25" s="620">
        <f>Jul!$G29</f>
        <v>0</v>
      </c>
      <c r="AZ25" s="620">
        <f>Aug!$G29</f>
        <v>0</v>
      </c>
      <c r="BA25" s="620">
        <f>Sep!G29</f>
        <v>0</v>
      </c>
      <c r="BB25" s="620"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63"/>
        <v>0</v>
      </c>
      <c r="D26" s="489">
        <f t="shared" si="64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620"/>
      <c r="AY26" s="620"/>
      <c r="AZ26" s="620"/>
      <c r="BA26" s="620"/>
      <c r="BB26" s="620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63"/>
        <v>35395192</v>
      </c>
      <c r="D27" s="489">
        <f t="shared" si="64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620">
        <f>Jun!$G31</f>
        <v>2531843</v>
      </c>
      <c r="AY27" s="620">
        <f>Jul!$G31</f>
        <v>2144434</v>
      </c>
      <c r="AZ27" s="620">
        <f>Aug!$G31</f>
        <v>2338940</v>
      </c>
      <c r="BA27" s="620">
        <f>Sep!G31</f>
        <v>2209861</v>
      </c>
      <c r="BB27" s="620"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65">SUM(G19:G27)</f>
        <v>24054373</v>
      </c>
      <c r="H28" s="540">
        <f t="shared" si="65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66">SUM(V19:V27)</f>
        <v>21809394</v>
      </c>
      <c r="W28" s="540">
        <f t="shared" si="66"/>
        <v>17454090</v>
      </c>
      <c r="X28" s="540">
        <f t="shared" si="66"/>
        <v>14032685</v>
      </c>
      <c r="Y28" s="540">
        <f t="shared" si="66"/>
        <v>7651890</v>
      </c>
      <c r="Z28" s="540">
        <f t="shared" si="66"/>
        <v>5795038</v>
      </c>
      <c r="AA28" s="540">
        <f t="shared" si="66"/>
        <v>5628267</v>
      </c>
      <c r="AB28" s="540">
        <f t="shared" si="66"/>
        <v>5459507</v>
      </c>
      <c r="AC28" s="540">
        <f t="shared" si="66"/>
        <v>7409442</v>
      </c>
      <c r="AD28" s="540">
        <f t="shared" si="66"/>
        <v>10025335</v>
      </c>
      <c r="AE28" s="540">
        <f t="shared" si="66"/>
        <v>24443601</v>
      </c>
      <c r="AF28" s="540">
        <f t="shared" si="66"/>
        <v>29286544</v>
      </c>
      <c r="AG28" s="540">
        <f>SUM(AG19:AG27)</f>
        <v>40584714</v>
      </c>
      <c r="AH28" s="540">
        <f t="shared" si="66"/>
        <v>30357660</v>
      </c>
      <c r="AI28" s="540">
        <f t="shared" si="66"/>
        <v>23658883</v>
      </c>
      <c r="AJ28" s="540">
        <f t="shared" si="66"/>
        <v>16834972</v>
      </c>
      <c r="AK28" s="540">
        <f t="shared" si="66"/>
        <v>10179280</v>
      </c>
      <c r="AL28" s="540">
        <f>SUM(AL19:AL27)</f>
        <v>7244961</v>
      </c>
      <c r="AM28" s="540">
        <f>SUM(AM19:AM27)</f>
        <v>5938596</v>
      </c>
      <c r="AN28" s="540">
        <f t="shared" si="66"/>
        <v>6177700</v>
      </c>
      <c r="AO28" s="540">
        <f>SUM(AO19:AO27)</f>
        <v>7874888</v>
      </c>
      <c r="AP28" s="540">
        <f t="shared" si="66"/>
        <v>15813981</v>
      </c>
      <c r="AQ28" s="540">
        <f t="shared" si="66"/>
        <v>18553428</v>
      </c>
      <c r="AR28" s="540">
        <f t="shared" si="66"/>
        <v>36861159</v>
      </c>
      <c r="AS28" s="540">
        <f>SUM(AS19:AS27)</f>
        <v>40584714</v>
      </c>
      <c r="AT28" s="540">
        <f t="shared" ref="AT28:AW28" si="67">SUM(AT19:AT27)</f>
        <v>30357660</v>
      </c>
      <c r="AU28" s="540">
        <f t="shared" si="67"/>
        <v>23658883</v>
      </c>
      <c r="AV28" s="540">
        <f t="shared" si="67"/>
        <v>16834972</v>
      </c>
      <c r="AW28" s="540">
        <f t="shared" si="67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68">SUM(AZ19:AZ27)</f>
        <v>6177700</v>
      </c>
      <c r="BA28" s="540">
        <f>SUM(BA19:BA27)</f>
        <v>7874888</v>
      </c>
      <c r="BB28" s="540">
        <f t="shared" ref="BB28:BD28" si="69">SUM(BB19:BB27)</f>
        <v>15813981</v>
      </c>
      <c r="BC28" s="540">
        <f t="shared" si="69"/>
        <v>7201032</v>
      </c>
      <c r="BD28" s="540">
        <f t="shared" si="69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7244961</v>
      </c>
      <c r="AY29" s="489">
        <v>5938596</v>
      </c>
      <c r="AZ29" s="563">
        <v>6177700</v>
      </c>
      <c r="BA29" s="563">
        <v>7874888</v>
      </c>
      <c r="BB29" s="563">
        <v>15813981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" si="70">U31+1</f>
        <v>201502</v>
      </c>
      <c r="W31" s="482">
        <f t="shared" ref="W31" si="71">V31+1</f>
        <v>201503</v>
      </c>
      <c r="X31" s="482">
        <f t="shared" ref="X31" si="72">W31+1</f>
        <v>201504</v>
      </c>
      <c r="Y31" s="482">
        <f t="shared" ref="Y31" si="73">X31+1</f>
        <v>201505</v>
      </c>
      <c r="Z31" s="482">
        <f t="shared" ref="Z31" si="74">Y31+1</f>
        <v>201506</v>
      </c>
      <c r="AA31" s="482">
        <f t="shared" ref="AA31" si="75">Z31+1</f>
        <v>201507</v>
      </c>
      <c r="AB31" s="482">
        <f t="shared" ref="AB31" si="76">AA31+1</f>
        <v>201508</v>
      </c>
      <c r="AC31" s="482">
        <f t="shared" ref="AC31" si="77">AB31+1</f>
        <v>201509</v>
      </c>
      <c r="AD31" s="482">
        <f t="shared" ref="AD31" si="78">AC31+1</f>
        <v>201510</v>
      </c>
      <c r="AE31" s="482">
        <f>AD31+1</f>
        <v>201511</v>
      </c>
      <c r="AF31" s="482">
        <f t="shared" ref="AF31" si="79">AE31+1</f>
        <v>201512</v>
      </c>
      <c r="AG31" s="482">
        <v>201601</v>
      </c>
      <c r="AH31" s="482">
        <f>AG31+1</f>
        <v>201602</v>
      </c>
      <c r="AI31" s="482">
        <f t="shared" ref="AI31:AR31" si="80">AH31+1</f>
        <v>201603</v>
      </c>
      <c r="AJ31" s="482">
        <f t="shared" si="80"/>
        <v>201604</v>
      </c>
      <c r="AK31" s="482">
        <f t="shared" si="80"/>
        <v>201605</v>
      </c>
      <c r="AL31" s="482">
        <f t="shared" si="80"/>
        <v>201606</v>
      </c>
      <c r="AM31" s="482">
        <f t="shared" si="80"/>
        <v>201607</v>
      </c>
      <c r="AN31" s="482">
        <f t="shared" si="80"/>
        <v>201608</v>
      </c>
      <c r="AO31" s="482">
        <f t="shared" si="80"/>
        <v>201609</v>
      </c>
      <c r="AP31" s="482">
        <f t="shared" si="80"/>
        <v>201610</v>
      </c>
      <c r="AQ31" s="482">
        <f t="shared" si="80"/>
        <v>201611</v>
      </c>
      <c r="AR31" s="482">
        <f t="shared" si="80"/>
        <v>201612</v>
      </c>
      <c r="AS31" s="482">
        <f>AS3</f>
        <v>201701</v>
      </c>
      <c r="AT31" s="482">
        <f>AS31+1</f>
        <v>201702</v>
      </c>
      <c r="AU31" s="482">
        <f t="shared" ref="AU31" si="81">AT31+1</f>
        <v>201703</v>
      </c>
      <c r="AV31" s="482">
        <f t="shared" ref="AV31" si="82">AU31+1</f>
        <v>201704</v>
      </c>
      <c r="AW31" s="482">
        <f t="shared" ref="AW31" si="83">AV31+1</f>
        <v>201705</v>
      </c>
      <c r="AX31" s="482">
        <f t="shared" ref="AX31" si="84">AW31+1</f>
        <v>201706</v>
      </c>
      <c r="AY31" s="482">
        <f t="shared" ref="AY31" si="85">AX31+1</f>
        <v>201707</v>
      </c>
      <c r="AZ31" s="482">
        <f t="shared" ref="AZ31" si="86">AY31+1</f>
        <v>201708</v>
      </c>
      <c r="BA31" s="482">
        <f t="shared" ref="BA31" si="87">AZ31+1</f>
        <v>201709</v>
      </c>
      <c r="BB31" s="482">
        <f t="shared" ref="BB31" si="88">BA31+1</f>
        <v>201710</v>
      </c>
      <c r="BC31" s="482">
        <f t="shared" ref="BC31" si="89">BB31+1</f>
        <v>201711</v>
      </c>
      <c r="BD31" s="482">
        <f t="shared" ref="BD31" si="90">BC31+1</f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6">
        <v>9.1740000000000002E-2</v>
      </c>
      <c r="AY32" s="616">
        <v>9.1740000000000002E-2</v>
      </c>
      <c r="AZ32" s="616">
        <v>9.1740000000000002E-2</v>
      </c>
      <c r="BA32" s="616">
        <v>9.1740000000000002E-2</v>
      </c>
      <c r="BB32" s="616">
        <v>9.1740000000000002E-2</v>
      </c>
      <c r="BC32" s="494" t="s">
        <v>326</v>
      </c>
      <c r="BD32" s="494" t="s">
        <v>326</v>
      </c>
    </row>
    <row r="33" spans="1:65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6">
        <v>9.1740000000000002E-2</v>
      </c>
      <c r="AY33" s="616">
        <v>9.1740000000000002E-2</v>
      </c>
      <c r="AZ33" s="616">
        <v>9.1740000000000002E-2</v>
      </c>
      <c r="BA33" s="616">
        <v>9.1740000000000002E-2</v>
      </c>
      <c r="BB33" s="616">
        <v>9.1740000000000002E-2</v>
      </c>
      <c r="BC33" s="494" t="s">
        <v>326</v>
      </c>
      <c r="BD33" s="494" t="s">
        <v>326</v>
      </c>
    </row>
    <row r="34" spans="1:65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6">
        <v>7.2489999999999999E-2</v>
      </c>
      <c r="AY34" s="616">
        <v>7.2489999999999999E-2</v>
      </c>
      <c r="AZ34" s="616">
        <v>7.2489999999999999E-2</v>
      </c>
      <c r="BA34" s="616">
        <v>7.2489999999999999E-2</v>
      </c>
      <c r="BB34" s="616">
        <v>7.2489999999999999E-2</v>
      </c>
      <c r="BC34" s="494" t="s">
        <v>326</v>
      </c>
      <c r="BD34" s="494" t="s">
        <v>326</v>
      </c>
    </row>
    <row r="35" spans="1:65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6"/>
      <c r="AY35" s="616"/>
      <c r="AZ35" s="616"/>
      <c r="BA35" s="616"/>
      <c r="BB35" s="616"/>
      <c r="BC35" s="494"/>
      <c r="BD35" s="494"/>
    </row>
    <row r="36" spans="1:65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6">
        <v>4.4479999999999999E-2</v>
      </c>
      <c r="AY36" s="616">
        <v>4.4479999999999999E-2</v>
      </c>
      <c r="AZ36" s="616">
        <v>4.4479999999999999E-2</v>
      </c>
      <c r="BA36" s="616">
        <v>4.4479999999999999E-2</v>
      </c>
      <c r="BB36" s="616">
        <v>4.4479999999999999E-2</v>
      </c>
      <c r="BC36" s="494" t="s">
        <v>326</v>
      </c>
      <c r="BD36" s="494" t="s">
        <v>326</v>
      </c>
    </row>
    <row r="37" spans="1:65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6"/>
      <c r="AY37" s="616"/>
      <c r="AZ37" s="616"/>
      <c r="BA37" s="616"/>
      <c r="BB37" s="616"/>
      <c r="BC37" s="494"/>
      <c r="BD37" s="494"/>
    </row>
    <row r="38" spans="1:65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6">
        <v>8.8340000000000002E-2</v>
      </c>
      <c r="AY38" s="616">
        <v>8.8340000000000002E-2</v>
      </c>
      <c r="AZ38" s="616">
        <v>8.8340000000000002E-2</v>
      </c>
      <c r="BA38" s="616">
        <v>8.8340000000000002E-2</v>
      </c>
      <c r="BB38" s="616">
        <v>8.8340000000000002E-2</v>
      </c>
      <c r="BC38" s="494" t="s">
        <v>326</v>
      </c>
      <c r="BD38" s="494" t="s">
        <v>326</v>
      </c>
    </row>
    <row r="39" spans="1:65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6"/>
      <c r="AY39" s="616"/>
      <c r="AZ39" s="616"/>
      <c r="BA39" s="616"/>
      <c r="BB39" s="616"/>
      <c r="BC39" s="494"/>
      <c r="BD39" s="494"/>
      <c r="BF39" s="481"/>
      <c r="BG39" s="482"/>
      <c r="BH39" s="481"/>
      <c r="BI39" s="481"/>
      <c r="BJ39" s="481"/>
      <c r="BK39" s="481"/>
    </row>
    <row r="40" spans="1:65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Y40" s="616">
        <v>0</v>
      </c>
      <c r="AZ40" s="616">
        <v>0</v>
      </c>
      <c r="BA40" s="616">
        <v>0</v>
      </c>
      <c r="BB40" s="616">
        <v>0</v>
      </c>
      <c r="BC40" s="494" t="s">
        <v>326</v>
      </c>
      <c r="BD40" s="494" t="s">
        <v>326</v>
      </c>
      <c r="BF40" s="511">
        <f>BF4</f>
        <v>201710</v>
      </c>
      <c r="BG40" s="524"/>
      <c r="BH40" s="512"/>
      <c r="BI40" s="512"/>
      <c r="BJ40" s="512"/>
      <c r="BK40" s="513"/>
    </row>
    <row r="41" spans="1:65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IF(SUMIF(AG3:BD3,BF4,AG46:BD46)&gt;0,SUMIF(AG3:BD3,BF4,AG46:BD46),0)</f>
        <v>3410.4020375124419</v>
      </c>
      <c r="BM41" s="480" t="str">
        <f>_xll.GLW_Segment_Description(BG41,2,2)</f>
        <v>INTEREST ON ENERGY DEFERRALS</v>
      </c>
    </row>
    <row r="42" spans="1:65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" si="91">U42+1</f>
        <v>201502</v>
      </c>
      <c r="W42" s="482">
        <f t="shared" ref="W42" si="92">V42+1</f>
        <v>201503</v>
      </c>
      <c r="X42" s="482">
        <f t="shared" ref="X42" si="93">W42+1</f>
        <v>201504</v>
      </c>
      <c r="Y42" s="482">
        <f t="shared" ref="Y42" si="94">X42+1</f>
        <v>201505</v>
      </c>
      <c r="Z42" s="482">
        <f t="shared" ref="Z42" si="95">Y42+1</f>
        <v>201506</v>
      </c>
      <c r="AA42" s="482">
        <f t="shared" ref="AA42" si="96">Z42+1</f>
        <v>201507</v>
      </c>
      <c r="AB42" s="482">
        <f t="shared" ref="AB42" si="97">AA42+1</f>
        <v>201508</v>
      </c>
      <c r="AC42" s="482">
        <f t="shared" ref="AC42" si="98">AB42+1</f>
        <v>201509</v>
      </c>
      <c r="AD42" s="482">
        <f t="shared" ref="AD42" si="99">AC42+1</f>
        <v>201510</v>
      </c>
      <c r="AE42" s="482">
        <f>AD42+1</f>
        <v>201511</v>
      </c>
      <c r="AF42" s="482">
        <f t="shared" ref="AF42" si="100">AE42+1</f>
        <v>201512</v>
      </c>
      <c r="AG42" s="482">
        <v>201601</v>
      </c>
      <c r="AH42" s="482">
        <f>AG42+1</f>
        <v>201602</v>
      </c>
      <c r="AI42" s="482">
        <f t="shared" ref="AI42:AR42" si="101">AH42+1</f>
        <v>201603</v>
      </c>
      <c r="AJ42" s="482">
        <f t="shared" si="101"/>
        <v>201604</v>
      </c>
      <c r="AK42" s="482">
        <f t="shared" si="101"/>
        <v>201605</v>
      </c>
      <c r="AL42" s="482">
        <f t="shared" si="101"/>
        <v>201606</v>
      </c>
      <c r="AM42" s="482">
        <f t="shared" si="101"/>
        <v>201607</v>
      </c>
      <c r="AN42" s="482">
        <f t="shared" si="101"/>
        <v>201608</v>
      </c>
      <c r="AO42" s="482">
        <f t="shared" si="101"/>
        <v>201609</v>
      </c>
      <c r="AP42" s="482">
        <f t="shared" si="101"/>
        <v>201610</v>
      </c>
      <c r="AQ42" s="482">
        <f t="shared" si="101"/>
        <v>201611</v>
      </c>
      <c r="AR42" s="482">
        <f t="shared" si="101"/>
        <v>201612</v>
      </c>
      <c r="AS42" s="482">
        <f>AS3</f>
        <v>201701</v>
      </c>
      <c r="AT42" s="482">
        <f>AS42+1</f>
        <v>201702</v>
      </c>
      <c r="AU42" s="482">
        <f t="shared" ref="AU42" si="102">AT42+1</f>
        <v>201703</v>
      </c>
      <c r="AV42" s="482">
        <f t="shared" ref="AV42" si="103">AU42+1</f>
        <v>201704</v>
      </c>
      <c r="AW42" s="482">
        <f t="shared" ref="AW42" si="104">AV42+1</f>
        <v>201705</v>
      </c>
      <c r="AX42" s="482">
        <f t="shared" ref="AX42" si="105">AW42+1</f>
        <v>201706</v>
      </c>
      <c r="AY42" s="482">
        <f t="shared" ref="AY42" si="106">AX42+1</f>
        <v>201707</v>
      </c>
      <c r="AZ42" s="482">
        <f t="shared" ref="AZ42" si="107">AY42+1</f>
        <v>201708</v>
      </c>
      <c r="BA42" s="482">
        <f t="shared" ref="BA42" si="108">AZ42+1</f>
        <v>201709</v>
      </c>
      <c r="BB42" s="482">
        <f t="shared" ref="BB42" si="109">BA42+1</f>
        <v>201710</v>
      </c>
      <c r="BC42" s="482">
        <f t="shared" ref="BC42" si="110">BB42+1</f>
        <v>201711</v>
      </c>
      <c r="BD42" s="482">
        <f t="shared" ref="BD42" si="111">BC42+1</f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0</v>
      </c>
      <c r="BK42" s="498">
        <v>0</v>
      </c>
      <c r="BM42" s="480" t="str">
        <f>_xll.GLW_Segment_Description(BG42,2,2)</f>
        <v>INTEREST EXPENSE ENERGY DEFERRALS</v>
      </c>
    </row>
    <row r="43" spans="1:65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617">
        <v>3.7100000000000001E-2</v>
      </c>
      <c r="AY43" s="617">
        <v>3.9600000000000003E-2</v>
      </c>
      <c r="AZ43" s="617">
        <v>3.9600000000000003E-2</v>
      </c>
      <c r="BA43" s="617">
        <v>3.9600000000000003E-2</v>
      </c>
      <c r="BB43" s="617">
        <v>4.2099999999999999E-2</v>
      </c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1089467.8142975126</v>
      </c>
      <c r="BK43" s="498">
        <f>IF((SUMIF(Q42:BD42,BF40,Q45:BD45)+SUMIF(Q42:BD42,BF40,Q46:BD46))&lt;0,-(SUMIF(Q42:BD42,BF40,Q45:BD45)+SUMIF(Q42:BD42,BF40,Q46:BD46)),0)</f>
        <v>0</v>
      </c>
      <c r="BM43" s="480" t="str">
        <f>_xll.GLW_Segment_Description(BG43,2,2)</f>
        <v>RECOVERABLE GAS COSTS AMORTIZED</v>
      </c>
    </row>
    <row r="44" spans="1:65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" si="112">AE49</f>
        <v>-2966848.8846008489</v>
      </c>
      <c r="AG44" s="480">
        <f t="shared" ref="AG44" si="113">AF49</f>
        <v>-2400830.7877258095</v>
      </c>
      <c r="AH44" s="480">
        <f t="shared" ref="AH44" si="114">AG49</f>
        <v>-1799942.4443073752</v>
      </c>
      <c r="AI44" s="480">
        <f t="shared" ref="AI44" si="115">AH49</f>
        <v>-1367080.388300563</v>
      </c>
      <c r="AJ44" s="480">
        <f t="shared" ref="AJ44" si="116">AI49</f>
        <v>-991269.16134300514</v>
      </c>
      <c r="AK44" s="480">
        <f t="shared" ref="AK44" si="117">AJ49</f>
        <v>-820633.96798459429</v>
      </c>
      <c r="AL44" s="480">
        <f>AK49</f>
        <v>-706831.28344430251</v>
      </c>
      <c r="AM44" s="480">
        <f t="shared" ref="AM44" si="118">AL49</f>
        <v>-615740.82707996247</v>
      </c>
      <c r="AN44" s="480">
        <f t="shared" ref="AN44" si="119">AM49</f>
        <v>-539081.43298013532</v>
      </c>
      <c r="AO44" s="480">
        <f t="shared" ref="AO44:AT44" si="120">AN49</f>
        <v>-459570.5002163836</v>
      </c>
      <c r="AP44" s="480">
        <f t="shared" si="120"/>
        <v>-353667.8760235564</v>
      </c>
      <c r="AQ44" s="558">
        <f t="shared" si="120"/>
        <v>-123445.19123732927</v>
      </c>
      <c r="AR44" s="480">
        <f t="shared" si="120"/>
        <v>-12794629.54065969</v>
      </c>
      <c r="AS44" s="480">
        <f t="shared" si="120"/>
        <v>-9990002.7430699486</v>
      </c>
      <c r="AT44" s="480">
        <f t="shared" si="120"/>
        <v>-6863930.3518781429</v>
      </c>
      <c r="AU44" s="480">
        <f>AT49</f>
        <v>-4576506.6383892084</v>
      </c>
      <c r="AV44" s="480">
        <f t="shared" ref="AV44" si="121">AU49</f>
        <v>-2850780.7220049934</v>
      </c>
      <c r="AW44" s="558">
        <f t="shared" ref="AW44" si="122">AV49</f>
        <v>-1667508.1164393995</v>
      </c>
      <c r="AX44" s="480">
        <f>AW49</f>
        <v>-1028322.8285985981</v>
      </c>
      <c r="AY44" s="480">
        <f t="shared" ref="AY44" si="123">AX49</f>
        <v>-648348.69566836057</v>
      </c>
      <c r="AZ44" s="558">
        <f>AY49</f>
        <v>-342730.3402196177</v>
      </c>
      <c r="BA44" s="480">
        <f>AZ49</f>
        <v>-33149.237686728884</v>
      </c>
      <c r="BB44" s="480">
        <f>BA49</f>
        <v>429057.38532247738</v>
      </c>
      <c r="BC44" s="558">
        <f>BB49</f>
        <v>1518525.1996199901</v>
      </c>
      <c r="BD44" s="480">
        <f>BC49</f>
        <v>-11113195.490380011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1086057.4122600001</v>
      </c>
      <c r="BM44" s="480" t="str">
        <f>_xll.GLW_Segment_Description(BG44,2,2)</f>
        <v>AMORTIZE RECOVERABLE GAS COSTS</v>
      </c>
    </row>
    <row r="45" spans="1:65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W45" si="124">SUMPRODUCT(AS19:AS27,AS32:AS40)</f>
        <v>3150615.2519499999</v>
      </c>
      <c r="AT45" s="480">
        <f t="shared" si="124"/>
        <v>2304083.3887400003</v>
      </c>
      <c r="AU45" s="480">
        <f t="shared" si="124"/>
        <v>1736541.60424</v>
      </c>
      <c r="AV45" s="480">
        <f t="shared" si="124"/>
        <v>1190246.3468200001</v>
      </c>
      <c r="AW45" s="480">
        <f t="shared" si="124"/>
        <v>643346.16116000002</v>
      </c>
      <c r="AX45" s="480">
        <f>SUMPRODUCT(AX19:AX27,AX32:AX40)</f>
        <v>382561.98726999998</v>
      </c>
      <c r="AY45" s="480">
        <f t="shared" ref="AY45" si="125">SUMPRODUCT(AY19:AY27,AY32:AY40)</f>
        <v>307250.94208999997</v>
      </c>
      <c r="AZ45" s="480">
        <f>SUMPRODUCT(AZ19:AZ27,AZ32:AZ40)</f>
        <v>310200.28219000006</v>
      </c>
      <c r="BA45" s="480">
        <f>SUMPRODUCT(BA19:BA27,BA32:BA40)</f>
        <v>461554.45064999996</v>
      </c>
      <c r="BB45" s="480">
        <f>SUMPRODUCT(BB19:BB27,BB32:BB40)</f>
        <v>1086057.4122600001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5" si="126">BH43</f>
        <v>GD</v>
      </c>
      <c r="BI45" s="208" t="str">
        <f t="shared" si="126"/>
        <v>WA</v>
      </c>
      <c r="BJ45" s="470">
        <v>0</v>
      </c>
      <c r="BK45" s="460">
        <v>0</v>
      </c>
      <c r="BM45" s="480" t="str">
        <f>_xll.GLW_Segment_Description(BG45,2,2)</f>
        <v>RECOVERABLE GAS COSTS AMORTIZED</v>
      </c>
    </row>
    <row r="46" spans="1:65" ht="16.5" thickBot="1">
      <c r="B46" s="479" t="s">
        <v>4</v>
      </c>
      <c r="C46" s="480">
        <f t="shared" ref="C46:C48" si="127">SUM(AG46:AR46)</f>
        <v>-97522.093694136056</v>
      </c>
      <c r="D46" s="492">
        <f t="shared" ref="D46" si="128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129">((AQ44+AQ47)*(AQ43/12))+(((AQ45+AQ48)/2)*(AQ43/12))</f>
        <v>-39463.659422358884</v>
      </c>
      <c r="AR46" s="487">
        <f t="shared" si="129"/>
        <v>-33179.202410257429</v>
      </c>
      <c r="AS46" s="487">
        <f t="shared" si="129"/>
        <v>-24542.860758193601</v>
      </c>
      <c r="AT46" s="487">
        <f t="shared" si="129"/>
        <v>-16659.675251065419</v>
      </c>
      <c r="AU46" s="487">
        <f t="shared" si="129"/>
        <v>-10815.687855785192</v>
      </c>
      <c r="AV46" s="487">
        <f t="shared" si="129"/>
        <v>-6973.7412544061872</v>
      </c>
      <c r="AW46" s="487">
        <f>((AW44+AW47)*(AW43/12))+(((AW45+AW48)/2)*(AW43/12))</f>
        <v>-4160.873319198643</v>
      </c>
      <c r="AX46" s="487">
        <f>((AX44+AX47)*(AX43/12))+(((AX45+AX48)/2)*(AX43/12))</f>
        <v>-2587.8543397624576</v>
      </c>
      <c r="AY46" s="487">
        <f t="shared" ref="AY46" si="130">((AY44+AY47)*(AY43/12))+(((AY45+AY48)/2)*(AY43/12))</f>
        <v>-1632.5866412570899</v>
      </c>
      <c r="AZ46" s="487">
        <f>((AZ44+AZ47)*(AZ43/12))+(((AZ45+AZ48)/2)*(AZ43/12))</f>
        <v>-619.17965711123838</v>
      </c>
      <c r="BA46" s="487">
        <f>((BA44+BA47)*(BA43/12))+(((BA45+BA48)/2)*(BA43/12))</f>
        <v>652.17235920629469</v>
      </c>
      <c r="BB46" s="487">
        <f>((BB44+BB47)*(BB43/12))+(((BB45+BB48)/2)*(BB43/12))</f>
        <v>3410.4020375124419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ref="BH46:BI46" si="131">BH44</f>
        <v>GD</v>
      </c>
      <c r="BI46" s="556" t="str">
        <f t="shared" si="131"/>
        <v>WA</v>
      </c>
      <c r="BJ46" s="462">
        <f>BK45</f>
        <v>0</v>
      </c>
      <c r="BK46" s="471">
        <f>BJ45</f>
        <v>0</v>
      </c>
      <c r="BM46" s="480" t="str">
        <f>_xll.GLW_Segment_Description(BG46,2,2)</f>
        <v>AMORTIZE RECOVERABLE GAS COSTS</v>
      </c>
    </row>
    <row r="47" spans="1:65" ht="16.5" thickBot="1">
      <c r="B47" s="479" t="s">
        <v>256</v>
      </c>
      <c r="C47" s="480">
        <f t="shared" si="127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5">
      <c r="B48" s="479" t="s">
        <v>148</v>
      </c>
      <c r="C48" s="480">
        <f t="shared" si="127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" si="132">SUM(F44:F48)</f>
        <v>404885.58467682183</v>
      </c>
      <c r="G49" s="539">
        <f t="shared" ref="G49" si="133">SUM(G44:G48)</f>
        <v>1486369.5928734979</v>
      </c>
      <c r="H49" s="539">
        <f t="shared" ref="H49" si="134">SUM(H44:H48)</f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E49" si="135">SUM(V44:V48)</f>
        <v>-978605.01769356499</v>
      </c>
      <c r="W49" s="539">
        <f t="shared" si="135"/>
        <v>-801445.32791263924</v>
      </c>
      <c r="X49" s="539">
        <f t="shared" si="135"/>
        <v>-669275.24177190254</v>
      </c>
      <c r="Y49" s="539">
        <f t="shared" si="135"/>
        <v>-610882.24266902648</v>
      </c>
      <c r="Z49" s="539">
        <f t="shared" si="135"/>
        <v>-574943.04011245095</v>
      </c>
      <c r="AA49" s="539">
        <f t="shared" si="135"/>
        <v>-537511.27700320142</v>
      </c>
      <c r="AB49" s="539">
        <f t="shared" si="135"/>
        <v>-503286.03358886426</v>
      </c>
      <c r="AC49" s="539">
        <f t="shared" si="135"/>
        <v>-446057.56644618412</v>
      </c>
      <c r="AD49" s="539">
        <f t="shared" si="135"/>
        <v>-360318.05653003836</v>
      </c>
      <c r="AE49" s="539">
        <f t="shared" si="135"/>
        <v>-2966848.8846008489</v>
      </c>
      <c r="AF49" s="539">
        <f t="shared" ref="AF49:AR49" si="136">SUM(AF44:AF48)</f>
        <v>-2400830.7877258095</v>
      </c>
      <c r="AG49" s="539">
        <f t="shared" si="136"/>
        <v>-1799942.4443073752</v>
      </c>
      <c r="AH49" s="539">
        <f t="shared" si="136"/>
        <v>-1367080.388300563</v>
      </c>
      <c r="AI49" s="539">
        <f t="shared" si="136"/>
        <v>-991269.16134300514</v>
      </c>
      <c r="AJ49" s="539">
        <f t="shared" si="136"/>
        <v>-820633.96798459429</v>
      </c>
      <c r="AK49" s="539">
        <f t="shared" si="136"/>
        <v>-706831.28344430251</v>
      </c>
      <c r="AL49" s="539">
        <f t="shared" si="136"/>
        <v>-615740.82707996247</v>
      </c>
      <c r="AM49" s="539">
        <f>SUM(AM44:AM48)</f>
        <v>-539081.43298013532</v>
      </c>
      <c r="AN49" s="539">
        <f t="shared" si="136"/>
        <v>-459570.5002163836</v>
      </c>
      <c r="AO49" s="539">
        <f t="shared" si="136"/>
        <v>-353667.8760235564</v>
      </c>
      <c r="AP49" s="539">
        <f t="shared" si="136"/>
        <v>-123445.19123732927</v>
      </c>
      <c r="AQ49" s="539">
        <f>SUM(AQ44:AQ48)</f>
        <v>-12794629.54065969</v>
      </c>
      <c r="AR49" s="539">
        <f t="shared" si="136"/>
        <v>-9990002.7430699486</v>
      </c>
      <c r="AS49" s="539">
        <f>SUM(AS44:AS48)</f>
        <v>-6863930.3518781429</v>
      </c>
      <c r="AT49" s="539">
        <f t="shared" ref="AT49:AX49" si="137">SUM(AT44:AT48)</f>
        <v>-4576506.6383892084</v>
      </c>
      <c r="AU49" s="539">
        <f>SUM(AU44:AU48)</f>
        <v>-2850780.7220049934</v>
      </c>
      <c r="AV49" s="539">
        <f t="shared" si="137"/>
        <v>-1667508.1164393995</v>
      </c>
      <c r="AW49" s="539">
        <f t="shared" si="137"/>
        <v>-1028322.8285985981</v>
      </c>
      <c r="AX49" s="539">
        <f t="shared" si="137"/>
        <v>-648348.69566836057</v>
      </c>
      <c r="AY49" s="539">
        <f>SUM(AY44:AY48)</f>
        <v>-342730.3402196177</v>
      </c>
      <c r="AZ49" s="539">
        <f t="shared" ref="AZ49:BB49" si="138">SUM(AZ44:AZ48)</f>
        <v>-33149.237686728884</v>
      </c>
      <c r="BA49" s="539">
        <f t="shared" si="138"/>
        <v>429057.38532247738</v>
      </c>
      <c r="BB49" s="539">
        <f t="shared" si="138"/>
        <v>1518525.1996199901</v>
      </c>
      <c r="BC49" s="539">
        <f>SUM(BC44:BC48)</f>
        <v>-11113195.490380011</v>
      </c>
      <c r="BD49" s="539">
        <f t="shared" ref="BD49" si="139">SUM(BD44:BD48)</f>
        <v>-8275389.4903800115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140">E49-E50</f>
        <v>-0.22028744451381499</v>
      </c>
      <c r="F51" s="480">
        <f t="shared" si="140"/>
        <v>-0.22532317816512659</v>
      </c>
      <c r="G51" s="480">
        <f t="shared" si="140"/>
        <v>-0.22712650219909847</v>
      </c>
      <c r="H51" s="480">
        <f t="shared" si="140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D51" si="141">V49-V50</f>
        <v>-0.21769356494769454</v>
      </c>
      <c r="W51" s="480">
        <f t="shared" si="141"/>
        <v>-0.21791263925842941</v>
      </c>
      <c r="X51" s="480">
        <f t="shared" si="141"/>
        <v>-0.22177190252114087</v>
      </c>
      <c r="Y51" s="480">
        <f t="shared" si="141"/>
        <v>-0.22266902646515518</v>
      </c>
      <c r="Z51" s="480">
        <f t="shared" si="141"/>
        <v>-0.22011245100293308</v>
      </c>
      <c r="AA51" s="480">
        <f t="shared" si="141"/>
        <v>-0.21700320136733353</v>
      </c>
      <c r="AB51" s="480">
        <f t="shared" si="141"/>
        <v>-0.21358886425150558</v>
      </c>
      <c r="AC51" s="480">
        <f t="shared" si="141"/>
        <v>-0.21644618414575234</v>
      </c>
      <c r="AD51" s="480">
        <f t="shared" si="141"/>
        <v>-0.21653003833489493</v>
      </c>
      <c r="AE51" s="480">
        <f t="shared" ref="AE51:AO51" si="142">AE49-AE50</f>
        <v>-0.21460084896534681</v>
      </c>
      <c r="AF51" s="480">
        <f t="shared" si="142"/>
        <v>-0.21772580966353416</v>
      </c>
      <c r="AG51" s="480">
        <f t="shared" si="142"/>
        <v>-0.22430737526156008</v>
      </c>
      <c r="AH51" s="480">
        <f t="shared" si="142"/>
        <v>-0.21830056305043399</v>
      </c>
      <c r="AI51" s="480">
        <f t="shared" si="142"/>
        <v>-0.22134300519246608</v>
      </c>
      <c r="AJ51" s="480">
        <f t="shared" si="142"/>
        <v>-0.2179845942882821</v>
      </c>
      <c r="AK51" s="480">
        <f>AK49-AK50</f>
        <v>-0.21344430255703628</v>
      </c>
      <c r="AL51" s="480">
        <f t="shared" si="142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142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143">AT49-AT50</f>
        <v>-0.20838920865207911</v>
      </c>
      <c r="AU51" s="480">
        <f>AU49-AU50</f>
        <v>-0.21200499357655644</v>
      </c>
      <c r="AV51" s="480">
        <f t="shared" si="143"/>
        <v>-0.21643939963541925</v>
      </c>
      <c r="AW51" s="480">
        <f>AW49-AW50</f>
        <v>-0.21859859814867377</v>
      </c>
      <c r="AX51" s="480">
        <f t="shared" ref="AX51" si="144">AX49-AX50</f>
        <v>-0.21566836058627814</v>
      </c>
      <c r="AY51" s="480">
        <f>AY49-AY50</f>
        <v>-0.22021961770951748</v>
      </c>
      <c r="AZ51" s="480">
        <f>AZ49-AZ50</f>
        <v>-0.21768672888720175</v>
      </c>
      <c r="BA51" s="480">
        <f t="shared" ref="BA51" si="145">BA49-BA50</f>
        <v>-0.21467752259923145</v>
      </c>
      <c r="BB51" s="480">
        <f>BB49-BB50</f>
        <v>1089467.5996199902</v>
      </c>
      <c r="BC51" s="480">
        <f>BC49-BC50</f>
        <v>-11542253.090380011</v>
      </c>
      <c r="BD51" s="480">
        <f>BD49-BD50</f>
        <v>-8275389.4903800115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" si="146">U54+1</f>
        <v>201502</v>
      </c>
      <c r="W54" s="482">
        <f t="shared" ref="W54" si="147">V54+1</f>
        <v>201503</v>
      </c>
      <c r="X54" s="482">
        <f t="shared" ref="X54" si="148">W54+1</f>
        <v>201504</v>
      </c>
      <c r="Y54" s="482">
        <f t="shared" ref="Y54" si="149">X54+1</f>
        <v>201505</v>
      </c>
      <c r="Z54" s="482">
        <f t="shared" ref="Z54" si="150">Y54+1</f>
        <v>201506</v>
      </c>
      <c r="AA54" s="482">
        <f t="shared" ref="AA54" si="151">Z54+1</f>
        <v>201507</v>
      </c>
      <c r="AB54" s="482">
        <f t="shared" ref="AB54" si="152">AA54+1</f>
        <v>201508</v>
      </c>
      <c r="AC54" s="482">
        <f t="shared" ref="AC54" si="153">AB54+1</f>
        <v>201509</v>
      </c>
      <c r="AD54" s="482">
        <f t="shared" ref="AD54" si="154">AC54+1</f>
        <v>201510</v>
      </c>
      <c r="AE54" s="482">
        <f>AD54+1</f>
        <v>201511</v>
      </c>
      <c r="AF54" s="482">
        <f t="shared" ref="AF54" si="155">AE54+1</f>
        <v>201512</v>
      </c>
      <c r="AG54" s="482">
        <v>201601</v>
      </c>
      <c r="AH54" s="482">
        <f>AG54+1</f>
        <v>201602</v>
      </c>
      <c r="AI54" s="482">
        <f t="shared" ref="AI54:AR54" si="156">AH54+1</f>
        <v>201603</v>
      </c>
      <c r="AJ54" s="482">
        <f t="shared" si="156"/>
        <v>201604</v>
      </c>
      <c r="AK54" s="482">
        <f t="shared" si="156"/>
        <v>201605</v>
      </c>
      <c r="AL54" s="482">
        <f t="shared" si="156"/>
        <v>201606</v>
      </c>
      <c r="AM54" s="482">
        <f t="shared" si="156"/>
        <v>201607</v>
      </c>
      <c r="AN54" s="482">
        <f t="shared" si="156"/>
        <v>201608</v>
      </c>
      <c r="AO54" s="482">
        <f t="shared" si="156"/>
        <v>201609</v>
      </c>
      <c r="AP54" s="482">
        <f t="shared" si="156"/>
        <v>201610</v>
      </c>
      <c r="AQ54" s="482">
        <f t="shared" si="156"/>
        <v>201611</v>
      </c>
      <c r="AR54" s="482">
        <f t="shared" si="156"/>
        <v>201612</v>
      </c>
      <c r="AS54" s="482">
        <f>AS3</f>
        <v>201701</v>
      </c>
      <c r="AT54" s="482">
        <f>AS54+1</f>
        <v>201702</v>
      </c>
      <c r="AU54" s="482">
        <f t="shared" ref="AU54" si="157">AT54+1</f>
        <v>201703</v>
      </c>
      <c r="AV54" s="482">
        <f t="shared" ref="AV54" si="158">AU54+1</f>
        <v>201704</v>
      </c>
      <c r="AW54" s="482">
        <f t="shared" ref="AW54" si="159">AV54+1</f>
        <v>201705</v>
      </c>
      <c r="AX54" s="482">
        <f t="shared" ref="AX54" si="160">AW54+1</f>
        <v>201706</v>
      </c>
      <c r="AY54" s="482">
        <f t="shared" ref="AY54" si="161">AX54+1</f>
        <v>201707</v>
      </c>
      <c r="AZ54" s="482">
        <f t="shared" ref="AZ54" si="162">AY54+1</f>
        <v>201708</v>
      </c>
      <c r="BA54" s="482">
        <f t="shared" ref="BA54" si="163">AZ54+1</f>
        <v>201709</v>
      </c>
      <c r="BB54" s="482">
        <f t="shared" ref="BB54" si="164">BA54+1</f>
        <v>201710</v>
      </c>
      <c r="BC54" s="482">
        <f t="shared" ref="BC54" si="165">BB54+1</f>
        <v>201711</v>
      </c>
      <c r="BD54" s="482">
        <f t="shared" ref="BD54" si="166">BC54+1</f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620">
        <f>Jun!$G23</f>
        <v>2542069</v>
      </c>
      <c r="AY55" s="620">
        <f>Jul!$G23</f>
        <v>2070483</v>
      </c>
      <c r="AZ55" s="620">
        <f>Aug!$G23</f>
        <v>2080707</v>
      </c>
      <c r="BA55" s="620">
        <f>Sep!$G23</f>
        <v>3147236</v>
      </c>
      <c r="BB55" s="620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167">SUM(AG56:AR56)</f>
        <v>197284</v>
      </c>
      <c r="D56" s="489">
        <f t="shared" ref="D56:D63" si="168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620">
        <f>Jun!$G24</f>
        <v>3619</v>
      </c>
      <c r="AY56" s="620">
        <f>Jul!$G24</f>
        <v>2296</v>
      </c>
      <c r="AZ56" s="620">
        <f>Aug!$G24</f>
        <v>2393</v>
      </c>
      <c r="BA56" s="620">
        <f>Sep!$G24</f>
        <v>3920</v>
      </c>
      <c r="BB56" s="620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167"/>
        <v>51323965</v>
      </c>
      <c r="D57" s="489">
        <f t="shared" si="168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620">
        <f>Jun!$G25</f>
        <v>1878375</v>
      </c>
      <c r="AY57" s="620">
        <f>Jul!$G25</f>
        <v>1446879</v>
      </c>
      <c r="AZ57" s="620">
        <f>Aug!$G25</f>
        <v>1463939</v>
      </c>
      <c r="BA57" s="620">
        <f>Sep!$G25</f>
        <v>2165313</v>
      </c>
      <c r="BB57" s="620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167"/>
        <v>0</v>
      </c>
      <c r="D58" s="489">
        <f t="shared" si="168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620">
        <f>Jun!$G26</f>
        <v>0</v>
      </c>
      <c r="AY58" s="620">
        <f>Jul!$G26</f>
        <v>0</v>
      </c>
      <c r="AZ58" s="620">
        <f>Aug!$G26</f>
        <v>0</v>
      </c>
      <c r="BA58" s="620">
        <f>Sep!$G26</f>
        <v>0</v>
      </c>
      <c r="BB58" s="620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167"/>
        <v>3609942</v>
      </c>
      <c r="D59" s="489">
        <f t="shared" si="168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620">
        <f>Jun!$G27</f>
        <v>289055</v>
      </c>
      <c r="AY59" s="620">
        <f>Jul!$G27</f>
        <v>274504</v>
      </c>
      <c r="AZ59" s="620">
        <f>Aug!$G27</f>
        <v>291721</v>
      </c>
      <c r="BA59" s="620">
        <f>Sep!$G27</f>
        <v>348558</v>
      </c>
      <c r="BB59" s="620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167"/>
        <v>506146</v>
      </c>
      <c r="D60" s="489">
        <f t="shared" si="168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620">
        <f>Jun!$G28</f>
        <v>17666</v>
      </c>
      <c r="AY60" s="620">
        <f>Jul!$G28</f>
        <v>44343</v>
      </c>
      <c r="AZ60" s="620">
        <f>Aug!$G28</f>
        <v>24662</v>
      </c>
      <c r="BA60" s="620">
        <f>Sep!$G28</f>
        <v>26763</v>
      </c>
      <c r="BB60" s="620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167"/>
        <v>0</v>
      </c>
      <c r="D61" s="489">
        <f t="shared" si="168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620">
        <f>Jun!$G29</f>
        <v>0</v>
      </c>
      <c r="AY61" s="620">
        <f>Jul!$G29</f>
        <v>0</v>
      </c>
      <c r="AZ61" s="620">
        <f>Aug!$G29</f>
        <v>0</v>
      </c>
      <c r="BA61" s="620">
        <f>Sep!$G29</f>
        <v>0</v>
      </c>
      <c r="BB61" s="620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167"/>
        <v>970005</v>
      </c>
      <c r="D62" s="489">
        <f t="shared" si="168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620">
        <f>Jun!$G30</f>
        <v>53882</v>
      </c>
      <c r="AY62" s="620">
        <f>Jul!$G30</f>
        <v>67673</v>
      </c>
      <c r="AZ62" s="620">
        <f>Aug!$G30</f>
        <v>23786</v>
      </c>
      <c r="BA62" s="620">
        <f>Sep!$G30</f>
        <v>31578</v>
      </c>
      <c r="BB62" s="620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167"/>
        <v>35395192</v>
      </c>
      <c r="D63" s="489">
        <f t="shared" si="168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620">
        <f>Jun!$G31</f>
        <v>2531843</v>
      </c>
      <c r="AY63" s="620">
        <f>Jul!$G31</f>
        <v>2144434</v>
      </c>
      <c r="AZ63" s="620">
        <f>Aug!$G31</f>
        <v>2338940</v>
      </c>
      <c r="BA63" s="620">
        <f>Sep!$G31</f>
        <v>2209861</v>
      </c>
      <c r="BB63" s="620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169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" si="170">SUM(G55:G63)</f>
        <v>24248041</v>
      </c>
      <c r="H64" s="540">
        <f t="shared" ref="H64" si="171">SUM(H55:H63)</f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" si="172">SUM(V55:V63)</f>
        <v>22001617</v>
      </c>
      <c r="W64" s="540">
        <f t="shared" ref="W64:AR64" si="173">SUM(W55:W63)</f>
        <v>17611817</v>
      </c>
      <c r="X64" s="540">
        <f t="shared" si="173"/>
        <v>14163392</v>
      </c>
      <c r="Y64" s="540">
        <f t="shared" si="173"/>
        <v>7782410</v>
      </c>
      <c r="Z64" s="540">
        <f t="shared" si="173"/>
        <v>5881684</v>
      </c>
      <c r="AA64" s="540">
        <f t="shared" si="173"/>
        <v>5669948</v>
      </c>
      <c r="AB64" s="540">
        <f t="shared" si="173"/>
        <v>5554978</v>
      </c>
      <c r="AC64" s="540">
        <f t="shared" si="173"/>
        <v>7484702</v>
      </c>
      <c r="AD64" s="540">
        <f t="shared" si="173"/>
        <v>10158046</v>
      </c>
      <c r="AE64" s="540">
        <f t="shared" si="173"/>
        <v>24566038</v>
      </c>
      <c r="AF64" s="540">
        <f t="shared" si="173"/>
        <v>29412416</v>
      </c>
      <c r="AG64" s="540">
        <f t="shared" si="173"/>
        <v>40809304</v>
      </c>
      <c r="AH64" s="540">
        <f t="shared" si="173"/>
        <v>30544975</v>
      </c>
      <c r="AI64" s="540">
        <f t="shared" si="173"/>
        <v>23815117</v>
      </c>
      <c r="AJ64" s="540">
        <f t="shared" si="173"/>
        <v>16958956</v>
      </c>
      <c r="AK64" s="540">
        <f t="shared" si="173"/>
        <v>10280221</v>
      </c>
      <c r="AL64" s="540">
        <f t="shared" si="173"/>
        <v>7316509</v>
      </c>
      <c r="AM64" s="540">
        <f>SUM(AM55:AM63)</f>
        <v>6050612</v>
      </c>
      <c r="AN64" s="540">
        <f t="shared" si="173"/>
        <v>6226148</v>
      </c>
      <c r="AO64" s="540">
        <f t="shared" si="173"/>
        <v>7933229</v>
      </c>
      <c r="AP64" s="540">
        <f>SUM(AP55:AP63)</f>
        <v>15888438</v>
      </c>
      <c r="AQ64" s="540">
        <f t="shared" si="173"/>
        <v>18689959</v>
      </c>
      <c r="AR64" s="540">
        <f t="shared" si="173"/>
        <v>37042905</v>
      </c>
      <c r="AS64" s="540">
        <f t="shared" ref="AS64:AX64" si="174">SUM(AS55:AS63)</f>
        <v>40809304</v>
      </c>
      <c r="AT64" s="540">
        <f t="shared" si="174"/>
        <v>30544975</v>
      </c>
      <c r="AU64" s="540">
        <f t="shared" si="174"/>
        <v>23815117</v>
      </c>
      <c r="AV64" s="540">
        <f t="shared" si="174"/>
        <v>16958956</v>
      </c>
      <c r="AW64" s="540">
        <f t="shared" si="174"/>
        <v>10280221</v>
      </c>
      <c r="AX64" s="540">
        <f t="shared" si="174"/>
        <v>7316509</v>
      </c>
      <c r="AY64" s="540">
        <f>SUM(AY55:AY63)</f>
        <v>6050612</v>
      </c>
      <c r="AZ64" s="540">
        <f t="shared" ref="AZ64:BA64" si="175">SUM(AZ55:AZ63)</f>
        <v>6226148</v>
      </c>
      <c r="BA64" s="540">
        <f t="shared" si="175"/>
        <v>7933229</v>
      </c>
      <c r="BB64" s="540">
        <f>SUM(BB55:BB63)</f>
        <v>15888438</v>
      </c>
      <c r="BC64" s="540">
        <f t="shared" ref="BC64:BD64" si="176">SUM(BC55:BC63)</f>
        <v>18689959</v>
      </c>
      <c r="BD64" s="540">
        <f t="shared" si="176"/>
        <v>37042905</v>
      </c>
    </row>
    <row r="65" spans="1:65" ht="16.5" thickTop="1">
      <c r="A65" s="481"/>
      <c r="B65" s="479" t="s">
        <v>266</v>
      </c>
      <c r="C65" s="489">
        <f>SUM(AG65:AR65)</f>
        <v>189475264</v>
      </c>
      <c r="D65" s="489">
        <f t="shared" si="169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621">
        <v>7316509</v>
      </c>
      <c r="AY65" s="621">
        <v>6050612</v>
      </c>
      <c r="AZ65" s="621">
        <v>6226148</v>
      </c>
      <c r="BA65" s="621">
        <v>7933229</v>
      </c>
      <c r="BB65" s="621">
        <v>15888438</v>
      </c>
      <c r="BC65" s="489">
        <v>18689959</v>
      </c>
      <c r="BD65" s="489">
        <v>37042905</v>
      </c>
      <c r="BE65" s="579"/>
    </row>
    <row r="66" spans="1:65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5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" si="177">U67+1</f>
        <v>201502</v>
      </c>
      <c r="W67" s="482">
        <f t="shared" ref="W67" si="178">V67+1</f>
        <v>201503</v>
      </c>
      <c r="X67" s="482">
        <f t="shared" ref="X67" si="179">W67+1</f>
        <v>201504</v>
      </c>
      <c r="Y67" s="482">
        <f t="shared" ref="Y67" si="180">X67+1</f>
        <v>201505</v>
      </c>
      <c r="Z67" s="482">
        <f t="shared" ref="Z67" si="181">Y67+1</f>
        <v>201506</v>
      </c>
      <c r="AA67" s="482">
        <f t="shared" ref="AA67" si="182">Z67+1</f>
        <v>201507</v>
      </c>
      <c r="AB67" s="482">
        <f t="shared" ref="AB67" si="183">AA67+1</f>
        <v>201508</v>
      </c>
      <c r="AC67" s="482">
        <f t="shared" ref="AC67" si="184">AB67+1</f>
        <v>201509</v>
      </c>
      <c r="AD67" s="482">
        <f t="shared" ref="AD67" si="185">AC67+1</f>
        <v>201510</v>
      </c>
      <c r="AE67" s="482">
        <f>AD67+1</f>
        <v>201511</v>
      </c>
      <c r="AF67" s="482">
        <f t="shared" ref="AF67" si="186">AE67+1</f>
        <v>201512</v>
      </c>
      <c r="AG67" s="482">
        <v>201601</v>
      </c>
      <c r="AH67" s="482">
        <f>AG67+1</f>
        <v>201602</v>
      </c>
      <c r="AI67" s="482">
        <f t="shared" ref="AI67:AR67" si="187">AH67+1</f>
        <v>201603</v>
      </c>
      <c r="AJ67" s="482">
        <f t="shared" si="187"/>
        <v>201604</v>
      </c>
      <c r="AK67" s="482">
        <f t="shared" si="187"/>
        <v>201605</v>
      </c>
      <c r="AL67" s="482">
        <f t="shared" si="187"/>
        <v>201606</v>
      </c>
      <c r="AM67" s="482">
        <f t="shared" si="187"/>
        <v>201607</v>
      </c>
      <c r="AN67" s="482">
        <f t="shared" si="187"/>
        <v>201608</v>
      </c>
      <c r="AO67" s="482">
        <f t="shared" si="187"/>
        <v>201609</v>
      </c>
      <c r="AP67" s="482">
        <f t="shared" si="187"/>
        <v>201610</v>
      </c>
      <c r="AQ67" s="482">
        <f t="shared" si="187"/>
        <v>201611</v>
      </c>
      <c r="AR67" s="482">
        <f t="shared" si="187"/>
        <v>201612</v>
      </c>
      <c r="AS67" s="482">
        <f>AS3</f>
        <v>201701</v>
      </c>
      <c r="AT67" s="482">
        <f>AS67+1</f>
        <v>201702</v>
      </c>
      <c r="AU67" s="482">
        <f t="shared" ref="AU67" si="188">AT67+1</f>
        <v>201703</v>
      </c>
      <c r="AV67" s="482">
        <f t="shared" ref="AV67" si="189">AU67+1</f>
        <v>201704</v>
      </c>
      <c r="AW67" s="482">
        <f t="shared" ref="AW67" si="190">AV67+1</f>
        <v>201705</v>
      </c>
      <c r="AX67" s="482">
        <f t="shared" ref="AX67" si="191">AW67+1</f>
        <v>201706</v>
      </c>
      <c r="AY67" s="482">
        <f t="shared" ref="AY67" si="192">AX67+1</f>
        <v>201707</v>
      </c>
      <c r="AZ67" s="482">
        <f t="shared" ref="AZ67" si="193">AY67+1</f>
        <v>201708</v>
      </c>
      <c r="BA67" s="482">
        <f t="shared" ref="BA67" si="194">AZ67+1</f>
        <v>201709</v>
      </c>
      <c r="BB67" s="482">
        <f t="shared" ref="BB67" si="195">BA67+1</f>
        <v>201710</v>
      </c>
      <c r="BC67" s="482">
        <f t="shared" ref="BC67" si="196">BB67+1</f>
        <v>201711</v>
      </c>
      <c r="BD67" s="482">
        <f t="shared" ref="BD67" si="197">BC67+1</f>
        <v>201712</v>
      </c>
    </row>
    <row r="68" spans="1:65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6">
        <v>1.0000000000000001E-5</v>
      </c>
      <c r="AY68" s="616">
        <v>1.0000000000000001E-5</v>
      </c>
      <c r="AZ68" s="616">
        <v>1.0000000000000001E-5</v>
      </c>
      <c r="BA68" s="616">
        <v>1.0000000000000001E-5</v>
      </c>
      <c r="BB68" s="616">
        <v>1.0000000000000001E-5</v>
      </c>
      <c r="BC68" s="494" t="s">
        <v>326</v>
      </c>
      <c r="BD68" s="494" t="s">
        <v>326</v>
      </c>
    </row>
    <row r="69" spans="1:65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6">
        <v>1.0000000000000001E-5</v>
      </c>
      <c r="AY69" s="616">
        <v>1.0000000000000001E-5</v>
      </c>
      <c r="AZ69" s="616">
        <v>1.0000000000000001E-5</v>
      </c>
      <c r="BA69" s="616">
        <v>1.0000000000000001E-5</v>
      </c>
      <c r="BB69" s="616">
        <v>1.0000000000000001E-5</v>
      </c>
      <c r="BC69" s="494" t="s">
        <v>326</v>
      </c>
      <c r="BD69" s="494" t="s">
        <v>326</v>
      </c>
    </row>
    <row r="70" spans="1:65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6">
        <v>1.0000000000000001E-5</v>
      </c>
      <c r="AY70" s="616">
        <v>1.0000000000000001E-5</v>
      </c>
      <c r="AZ70" s="616">
        <v>1.0000000000000001E-5</v>
      </c>
      <c r="BA70" s="616">
        <v>1.0000000000000001E-5</v>
      </c>
      <c r="BB70" s="616">
        <v>1.0000000000000001E-5</v>
      </c>
      <c r="BC70" s="494" t="s">
        <v>326</v>
      </c>
      <c r="BD70" s="494" t="s">
        <v>326</v>
      </c>
    </row>
    <row r="71" spans="1:65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6">
        <v>1.0000000000000001E-5</v>
      </c>
      <c r="AY71" s="616">
        <v>1.0000000000000001E-5</v>
      </c>
      <c r="AZ71" s="616">
        <v>1.0000000000000001E-5</v>
      </c>
      <c r="BA71" s="616">
        <v>1.0000000000000001E-5</v>
      </c>
      <c r="BB71" s="616">
        <v>1.0000000000000001E-5</v>
      </c>
      <c r="BC71" s="494" t="s">
        <v>326</v>
      </c>
      <c r="BD71" s="494" t="s">
        <v>326</v>
      </c>
    </row>
    <row r="72" spans="1:65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6">
        <v>1.0000000000000001E-5</v>
      </c>
      <c r="AY72" s="616">
        <v>1.0000000000000001E-5</v>
      </c>
      <c r="AZ72" s="616">
        <v>1.0000000000000001E-5</v>
      </c>
      <c r="BA72" s="616">
        <v>1.0000000000000001E-5</v>
      </c>
      <c r="BB72" s="616">
        <v>1.0000000000000001E-5</v>
      </c>
      <c r="BC72" s="494" t="s">
        <v>326</v>
      </c>
      <c r="BD72" s="494" t="s">
        <v>326</v>
      </c>
    </row>
    <row r="73" spans="1:65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6">
        <v>1.0000000000000001E-5</v>
      </c>
      <c r="AY73" s="616">
        <v>1.0000000000000001E-5</v>
      </c>
      <c r="AZ73" s="616">
        <v>1.0000000000000001E-5</v>
      </c>
      <c r="BA73" s="616">
        <v>1.0000000000000001E-5</v>
      </c>
      <c r="BB73" s="616">
        <v>1.0000000000000001E-5</v>
      </c>
      <c r="BC73" s="494" t="s">
        <v>326</v>
      </c>
      <c r="BD73" s="494" t="s">
        <v>326</v>
      </c>
    </row>
    <row r="74" spans="1:65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6">
        <v>1.0000000000000001E-5</v>
      </c>
      <c r="AY74" s="616">
        <v>1.0000000000000001E-5</v>
      </c>
      <c r="AZ74" s="616">
        <v>1.0000000000000001E-5</v>
      </c>
      <c r="BA74" s="616">
        <v>1.0000000000000001E-5</v>
      </c>
      <c r="BB74" s="616">
        <v>1.0000000000000001E-5</v>
      </c>
      <c r="BC74" s="494" t="s">
        <v>326</v>
      </c>
      <c r="BD74" s="494" t="s">
        <v>326</v>
      </c>
    </row>
    <row r="75" spans="1:65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6">
        <v>1.0000000000000001E-5</v>
      </c>
      <c r="AY75" s="616">
        <v>1.0000000000000001E-5</v>
      </c>
      <c r="AZ75" s="616">
        <v>1.0000000000000001E-5</v>
      </c>
      <c r="BA75" s="616">
        <v>1.0000000000000001E-5</v>
      </c>
      <c r="BB75" s="616">
        <v>1.0000000000000001E-5</v>
      </c>
      <c r="BC75" s="494" t="s">
        <v>326</v>
      </c>
      <c r="BD75" s="494" t="s">
        <v>326</v>
      </c>
      <c r="BF75" s="520">
        <f>BF4</f>
        <v>201710</v>
      </c>
      <c r="BG75" s="529"/>
      <c r="BH75" s="521"/>
      <c r="BI75" s="521"/>
      <c r="BJ75" s="521"/>
      <c r="BK75" s="522"/>
    </row>
    <row r="76" spans="1:65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6">
        <v>0</v>
      </c>
      <c r="AY76" s="616">
        <v>0</v>
      </c>
      <c r="AZ76" s="616">
        <v>0</v>
      </c>
      <c r="BA76" s="616">
        <v>0</v>
      </c>
      <c r="BB76" s="616">
        <v>0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128.02517</v>
      </c>
      <c r="BK76" s="498">
        <f>IF((SUMIF(AG78:BD78,BF75,AG80:BD80))&lt;0,-(SUMIF(AG78:BD78,BF75,AG80:BD80)),0)</f>
        <v>0</v>
      </c>
      <c r="BM76" s="480" t="str">
        <f>_xll.GLW_Segment_Description(BG76,2,2)</f>
        <v>WA GRC JACKSON PRAIRIE DEFERRAL</v>
      </c>
    </row>
    <row r="77" spans="1:65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128.02517</v>
      </c>
      <c r="BM77" s="480" t="str">
        <f>_xll.GLW_Segment_Description(BG77,2,2)</f>
        <v>AMORTIZE RECOVERABLE GAS COSTS</v>
      </c>
    </row>
    <row r="78" spans="1:65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" si="198">U78+1</f>
        <v>201502</v>
      </c>
      <c r="W78" s="482">
        <f t="shared" ref="W78" si="199">V78+1</f>
        <v>201503</v>
      </c>
      <c r="X78" s="482">
        <f t="shared" ref="X78" si="200">W78+1</f>
        <v>201504</v>
      </c>
      <c r="Y78" s="482">
        <f t="shared" ref="Y78" si="201">X78+1</f>
        <v>201505</v>
      </c>
      <c r="Z78" s="482">
        <f t="shared" ref="Z78" si="202">Y78+1</f>
        <v>201506</v>
      </c>
      <c r="AA78" s="482">
        <f t="shared" ref="AA78" si="203">Z78+1</f>
        <v>201507</v>
      </c>
      <c r="AB78" s="482">
        <f t="shared" ref="AB78" si="204">AA78+1</f>
        <v>201508</v>
      </c>
      <c r="AC78" s="482">
        <f t="shared" ref="AC78" si="205">AB78+1</f>
        <v>201509</v>
      </c>
      <c r="AD78" s="482">
        <f t="shared" ref="AD78" si="206">AC78+1</f>
        <v>201510</v>
      </c>
      <c r="AE78" s="482">
        <f>AD78+1</f>
        <v>201511</v>
      </c>
      <c r="AF78" s="482">
        <f t="shared" ref="AF78" si="207">AE78+1</f>
        <v>201512</v>
      </c>
      <c r="AG78" s="482">
        <v>201601</v>
      </c>
      <c r="AH78" s="482">
        <f>AG78+1</f>
        <v>201602</v>
      </c>
      <c r="AI78" s="482">
        <f t="shared" ref="AI78:AR78" si="208">AH78+1</f>
        <v>201603</v>
      </c>
      <c r="AJ78" s="482">
        <f t="shared" si="208"/>
        <v>201604</v>
      </c>
      <c r="AK78" s="482">
        <f t="shared" si="208"/>
        <v>201605</v>
      </c>
      <c r="AL78" s="482">
        <f t="shared" si="208"/>
        <v>201606</v>
      </c>
      <c r="AM78" s="482">
        <f t="shared" si="208"/>
        <v>201607</v>
      </c>
      <c r="AN78" s="482">
        <f t="shared" si="208"/>
        <v>201608</v>
      </c>
      <c r="AO78" s="482">
        <f t="shared" si="208"/>
        <v>201609</v>
      </c>
      <c r="AP78" s="482">
        <f t="shared" si="208"/>
        <v>201610</v>
      </c>
      <c r="AQ78" s="482">
        <f t="shared" si="208"/>
        <v>201611</v>
      </c>
      <c r="AR78" s="482">
        <f t="shared" si="208"/>
        <v>201612</v>
      </c>
      <c r="AS78" s="482">
        <f>AS3</f>
        <v>201701</v>
      </c>
      <c r="AT78" s="482">
        <f>AS78+1</f>
        <v>201702</v>
      </c>
      <c r="AU78" s="482">
        <f t="shared" ref="AU78" si="209">AT78+1</f>
        <v>201703</v>
      </c>
      <c r="AV78" s="482">
        <f t="shared" ref="AV78" si="210">AU78+1</f>
        <v>201704</v>
      </c>
      <c r="AW78" s="482">
        <f t="shared" ref="AW78" si="211">AV78+1</f>
        <v>201705</v>
      </c>
      <c r="AX78" s="482">
        <f t="shared" ref="AX78" si="212">AW78+1</f>
        <v>201706</v>
      </c>
      <c r="AY78" s="482">
        <f t="shared" ref="AY78" si="213">AX78+1</f>
        <v>201707</v>
      </c>
      <c r="AZ78" s="482">
        <f t="shared" ref="AZ78" si="214">AY78+1</f>
        <v>201708</v>
      </c>
      <c r="BA78" s="482">
        <f t="shared" ref="BA78" si="215">AZ78+1</f>
        <v>201709</v>
      </c>
      <c r="BB78" s="482">
        <f t="shared" ref="BB78" si="216">BA78+1</f>
        <v>201710</v>
      </c>
      <c r="BC78" s="482">
        <f t="shared" ref="BC78" si="217">BB78+1</f>
        <v>201711</v>
      </c>
      <c r="BD78" s="482">
        <f t="shared" ref="BD78" si="218">BC78+1</f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  <c r="BM78" s="480" t="str">
        <f>_xll.GLW_Segment_Description(BG78,2,2)</f>
        <v>WA GRC JACKSON PRAIRIE DEFERRAL</v>
      </c>
    </row>
    <row r="79" spans="1:65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219">AF82</f>
        <v>-18146.93566000001</v>
      </c>
      <c r="AH79" s="480">
        <f t="shared" si="219"/>
        <v>-14523.147320000011</v>
      </c>
      <c r="AI79" s="480">
        <f t="shared" si="219"/>
        <v>-11852.264220000012</v>
      </c>
      <c r="AJ79" s="480">
        <f t="shared" si="219"/>
        <v>-9512.6003600000113</v>
      </c>
      <c r="AK79" s="480">
        <f t="shared" si="219"/>
        <v>-8373.7282900000118</v>
      </c>
      <c r="AL79" s="480">
        <f t="shared" si="219"/>
        <v>-7543.4780600000122</v>
      </c>
      <c r="AM79" s="480">
        <f t="shared" si="219"/>
        <v>-6882.1108900000127</v>
      </c>
      <c r="AN79" s="480">
        <f t="shared" si="219"/>
        <v>-6303.9779800000124</v>
      </c>
      <c r="AO79" s="480">
        <f t="shared" si="219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" si="220">AT82</f>
        <v>-3265.0261600000117</v>
      </c>
      <c r="AV79" s="480">
        <f t="shared" ref="AV79" si="221">AU82</f>
        <v>-3060.6942200000117</v>
      </c>
      <c r="AW79" s="480">
        <f t="shared" ref="AW79" si="222">AV82</f>
        <v>-2919.7909600000116</v>
      </c>
      <c r="AX79" s="480">
        <f t="shared" ref="AX79" si="223">AW82</f>
        <v>-2842.0077800000117</v>
      </c>
      <c r="AY79" s="480">
        <f t="shared" ref="AY79" si="224">AX82</f>
        <v>-2794.1611200000116</v>
      </c>
      <c r="AZ79" s="558">
        <f t="shared" ref="AZ79" si="225">AY82</f>
        <v>-2755.0993400000116</v>
      </c>
      <c r="BA79" s="480">
        <f t="shared" ref="BA79" si="226">AZ82</f>
        <v>-2716.2272600000115</v>
      </c>
      <c r="BB79" s="480">
        <f>BA82</f>
        <v>-2658.9935800000117</v>
      </c>
      <c r="BC79" s="480">
        <f>BB82</f>
        <v>-2530.9684100000118</v>
      </c>
      <c r="BD79" s="480">
        <f>BC82</f>
        <v>-3289.9684100000118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  <c r="BM79" s="480" t="str">
        <f>_xll.GLW_Segment_Description(BG79,2,2)</f>
        <v>AMORTIZE RECOVERABLE GAS COSTS</v>
      </c>
    </row>
    <row r="80" spans="1:65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227">SUMPRODUCT(AW55:AW63,AW68:AW76)</f>
        <v>77.783180000000016</v>
      </c>
      <c r="AX80" s="558">
        <f>SUMPRODUCT(AX55:AX63,AX68:AX76)</f>
        <v>47.84666</v>
      </c>
      <c r="AY80" s="558">
        <f>SUMPRODUCT(AY55:AY63,AY68:AY76)</f>
        <v>39.061780000000006</v>
      </c>
      <c r="AZ80" s="558">
        <f>SUMPRODUCT(AZ55:AZ63,AZ68:AZ76)</f>
        <v>38.872079999999997</v>
      </c>
      <c r="BA80" s="558">
        <f>SUMPRODUCT(BA55:BA63,BA68:BA76)</f>
        <v>57.23368</v>
      </c>
      <c r="BB80" s="558">
        <f>SUMPRODUCT(BB55:BB63,BB68:BB76)</f>
        <v>128.02517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228">SUM(E79:E81)</f>
        <v>38932.729789999998</v>
      </c>
      <c r="F82" s="539">
        <f t="shared" si="228"/>
        <v>8140.2385399999985</v>
      </c>
      <c r="G82" s="539">
        <f t="shared" si="228"/>
        <v>-693.68146000000161</v>
      </c>
      <c r="H82" s="539">
        <f t="shared" si="228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229">SUM(V79:V81)</f>
        <v>-38138.117780000015</v>
      </c>
      <c r="W82" s="539">
        <f t="shared" si="229"/>
        <v>-34282.961340000016</v>
      </c>
      <c r="X82" s="539">
        <f t="shared" si="229"/>
        <v>-31253.873050000017</v>
      </c>
      <c r="Y82" s="539">
        <f t="shared" si="229"/>
        <v>-29770.929110000015</v>
      </c>
      <c r="Z82" s="539">
        <f t="shared" si="229"/>
        <v>-28708.282540000015</v>
      </c>
      <c r="AA82" s="539">
        <f t="shared" si="229"/>
        <v>-27692.487530000013</v>
      </c>
      <c r="AB82" s="539">
        <f t="shared" si="229"/>
        <v>-26711.886850000014</v>
      </c>
      <c r="AC82" s="539">
        <f t="shared" si="229"/>
        <v>-25249.174790000012</v>
      </c>
      <c r="AD82" s="539">
        <f t="shared" si="229"/>
        <v>-23171.93566000001</v>
      </c>
      <c r="AE82" s="539">
        <f t="shared" si="229"/>
        <v>-21380.93566000001</v>
      </c>
      <c r="AF82" s="539">
        <f t="shared" si="229"/>
        <v>-18146.93566000001</v>
      </c>
      <c r="AG82" s="539">
        <f t="shared" si="229"/>
        <v>-14523.147320000011</v>
      </c>
      <c r="AH82" s="539">
        <f t="shared" si="229"/>
        <v>-11852.264220000012</v>
      </c>
      <c r="AI82" s="539">
        <f t="shared" si="229"/>
        <v>-9512.6003600000113</v>
      </c>
      <c r="AJ82" s="539">
        <f t="shared" si="229"/>
        <v>-8373.7282900000118</v>
      </c>
      <c r="AK82" s="539">
        <f t="shared" si="229"/>
        <v>-7543.4780600000122</v>
      </c>
      <c r="AL82" s="539">
        <f t="shared" si="229"/>
        <v>-6882.1108900000127</v>
      </c>
      <c r="AM82" s="539">
        <f t="shared" si="229"/>
        <v>-6303.9779800000124</v>
      </c>
      <c r="AN82" s="539">
        <f t="shared" si="229"/>
        <v>-5710.3492900000119</v>
      </c>
      <c r="AO82" s="539">
        <f t="shared" si="229"/>
        <v>-4950.5876300000118</v>
      </c>
      <c r="AP82" s="539">
        <f t="shared" si="229"/>
        <v>-3439.8164200000119</v>
      </c>
      <c r="AQ82" s="539">
        <f t="shared" si="229"/>
        <v>-4198.8164200000119</v>
      </c>
      <c r="AR82" s="539">
        <f t="shared" si="229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230">SUM(AU79:AU81)</f>
        <v>-3060.6942200000117</v>
      </c>
      <c r="AV82" s="539">
        <f t="shared" si="230"/>
        <v>-2919.7909600000116</v>
      </c>
      <c r="AW82" s="539">
        <f t="shared" si="230"/>
        <v>-2842.0077800000117</v>
      </c>
      <c r="AX82" s="539">
        <f t="shared" si="230"/>
        <v>-2794.1611200000116</v>
      </c>
      <c r="AY82" s="539">
        <f t="shared" si="230"/>
        <v>-2755.0993400000116</v>
      </c>
      <c r="AZ82" s="539">
        <f t="shared" si="230"/>
        <v>-2716.2272600000115</v>
      </c>
      <c r="BA82" s="539">
        <f t="shared" si="230"/>
        <v>-2658.9935800000117</v>
      </c>
      <c r="BB82" s="539">
        <f t="shared" si="230"/>
        <v>-2530.9684100000118</v>
      </c>
      <c r="BC82" s="539">
        <f t="shared" si="230"/>
        <v>-3289.9684100000118</v>
      </c>
      <c r="BD82" s="539">
        <f t="shared" si="230"/>
        <v>-3587.9684100000118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231">E82-E83</f>
        <v>-2.1000000560889021E-4</v>
      </c>
      <c r="F84" s="480">
        <f t="shared" si="231"/>
        <v>-1.4600000013160752E-3</v>
      </c>
      <c r="G84" s="480">
        <f t="shared" si="231"/>
        <v>-1.4600000016571357E-3</v>
      </c>
      <c r="H84" s="480">
        <f t="shared" si="231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" si="232">V82-V83</f>
        <v>1.2219999982335139E-2</v>
      </c>
      <c r="W84" s="480">
        <f t="shared" ref="W84:AR84" si="233">W82-W83</f>
        <v>8.6599999849568121E-3</v>
      </c>
      <c r="X84" s="480">
        <f t="shared" si="233"/>
        <v>6.9499999844992999E-3</v>
      </c>
      <c r="Y84" s="480">
        <f t="shared" si="233"/>
        <v>1.0889999983191956E-2</v>
      </c>
      <c r="Z84" s="480">
        <f t="shared" si="233"/>
        <v>7.4599999861675315E-3</v>
      </c>
      <c r="AA84" s="480">
        <f t="shared" si="233"/>
        <v>2.469999988534255E-3</v>
      </c>
      <c r="AB84" s="480">
        <f t="shared" si="233"/>
        <v>3.1499999859079253E-3</v>
      </c>
      <c r="AC84" s="480">
        <f t="shared" si="233"/>
        <v>5.2099999884376302E-3</v>
      </c>
      <c r="AD84" s="480">
        <f t="shared" si="233"/>
        <v>4.339999988587806E-3</v>
      </c>
      <c r="AE84" s="480">
        <f t="shared" si="233"/>
        <v>4.339999988587806E-3</v>
      </c>
      <c r="AF84" s="480">
        <f t="shared" si="233"/>
        <v>4.339999988587806E-3</v>
      </c>
      <c r="AG84" s="480">
        <f t="shared" si="233"/>
        <v>2.6799999886861769E-3</v>
      </c>
      <c r="AH84" s="480">
        <f t="shared" si="233"/>
        <v>5.7799999885901343E-3</v>
      </c>
      <c r="AI84" s="480">
        <f t="shared" si="233"/>
        <v>9.6399999893037602E-3</v>
      </c>
      <c r="AJ84" s="480">
        <f t="shared" si="233"/>
        <v>1.1709999987942865E-2</v>
      </c>
      <c r="AK84" s="480">
        <f t="shared" si="233"/>
        <v>1.1939999987589545E-2</v>
      </c>
      <c r="AL84" s="480">
        <f t="shared" si="233"/>
        <v>9.1099999872312765E-3</v>
      </c>
      <c r="AM84" s="480">
        <f t="shared" si="233"/>
        <v>1.2019999987387564E-2</v>
      </c>
      <c r="AN84" s="480">
        <f t="shared" si="233"/>
        <v>1.0709999987739138E-2</v>
      </c>
      <c r="AO84" s="480">
        <f t="shared" si="233"/>
        <v>1.2369999988550262E-2</v>
      </c>
      <c r="AP84" s="480">
        <f t="shared" si="233"/>
        <v>1.3579999987996416E-2</v>
      </c>
      <c r="AQ84" s="480">
        <f t="shared" si="233"/>
        <v>1.3579999987996416E-2</v>
      </c>
      <c r="AR84" s="480">
        <f t="shared" si="233"/>
        <v>1.3579999987996416E-2</v>
      </c>
      <c r="AS84" s="480">
        <f>AS82-AS83</f>
        <v>1.0319999988041673E-2</v>
      </c>
      <c r="AT84" s="480">
        <f t="shared" ref="AT84:BD84" si="234">AT82-AT83</f>
        <v>1.3839999988249474E-2</v>
      </c>
      <c r="AU84" s="480">
        <f t="shared" si="234"/>
        <v>1.5779999988353666E-2</v>
      </c>
      <c r="AV84" s="480">
        <f t="shared" si="234"/>
        <v>1.9039999988308409E-2</v>
      </c>
      <c r="AW84" s="480">
        <f t="shared" si="234"/>
        <v>2.2219999988465133E-2</v>
      </c>
      <c r="AX84" s="480">
        <f t="shared" si="234"/>
        <v>1.8879999988257623E-2</v>
      </c>
      <c r="AY84" s="480">
        <f>AY82-AY83</f>
        <v>2.0659999988311029E-2</v>
      </c>
      <c r="AZ84" s="480">
        <f t="shared" si="234"/>
        <v>2.2739999988516502E-2</v>
      </c>
      <c r="BA84" s="480">
        <f t="shared" si="234"/>
        <v>2.6419999988320342E-2</v>
      </c>
      <c r="BB84" s="480">
        <f t="shared" si="234"/>
        <v>128.05158999998821</v>
      </c>
      <c r="BC84" s="480">
        <f t="shared" si="234"/>
        <v>-630.94841000001179</v>
      </c>
      <c r="BD84" s="480">
        <f t="shared" si="234"/>
        <v>-3587.9684100000118</v>
      </c>
    </row>
  </sheetData>
  <conditionalFormatting sqref="E29 L65:AR65 K29:AK29 AN29:AR29 BE29 BE65">
    <cfRule type="cellIs" dxfId="722" priority="43" operator="notEqual">
      <formula>E28</formula>
    </cfRule>
  </conditionalFormatting>
  <conditionalFormatting sqref="F29">
    <cfRule type="cellIs" dxfId="721" priority="42" operator="notEqual">
      <formula>F28</formula>
    </cfRule>
  </conditionalFormatting>
  <conditionalFormatting sqref="G29">
    <cfRule type="cellIs" dxfId="720" priority="41" operator="notEqual">
      <formula>G28</formula>
    </cfRule>
  </conditionalFormatting>
  <conditionalFormatting sqref="H29">
    <cfRule type="cellIs" dxfId="719" priority="40" operator="notEqual">
      <formula>H28</formula>
    </cfRule>
  </conditionalFormatting>
  <conditionalFormatting sqref="G65">
    <cfRule type="cellIs" dxfId="718" priority="35" operator="notEqual">
      <formula>G64</formula>
    </cfRule>
  </conditionalFormatting>
  <conditionalFormatting sqref="H65">
    <cfRule type="cellIs" dxfId="717" priority="34" operator="notEqual">
      <formula>H64</formula>
    </cfRule>
  </conditionalFormatting>
  <conditionalFormatting sqref="E65">
    <cfRule type="cellIs" dxfId="716" priority="37" operator="notEqual">
      <formula>E64</formula>
    </cfRule>
  </conditionalFormatting>
  <conditionalFormatting sqref="F65">
    <cfRule type="cellIs" dxfId="715" priority="36" operator="notEqual">
      <formula>F64</formula>
    </cfRule>
  </conditionalFormatting>
  <conditionalFormatting sqref="BK80 BK47 BK11">
    <cfRule type="cellIs" dxfId="714" priority="31" operator="notEqual">
      <formula>0</formula>
    </cfRule>
  </conditionalFormatting>
  <conditionalFormatting sqref="D65">
    <cfRule type="cellIs" dxfId="713" priority="27" operator="notEqual">
      <formula>D64</formula>
    </cfRule>
  </conditionalFormatting>
  <conditionalFormatting sqref="C65">
    <cfRule type="cellIs" dxfId="712" priority="26" operator="notEqual">
      <formula>C64</formula>
    </cfRule>
  </conditionalFormatting>
  <conditionalFormatting sqref="D29">
    <cfRule type="cellIs" dxfId="711" priority="25" operator="notEqual">
      <formula>D28</formula>
    </cfRule>
  </conditionalFormatting>
  <conditionalFormatting sqref="C29">
    <cfRule type="cellIs" dxfId="710" priority="24" operator="notEqual">
      <formula>C28</formula>
    </cfRule>
  </conditionalFormatting>
  <conditionalFormatting sqref="I29">
    <cfRule type="cellIs" dxfId="709" priority="23" operator="notEqual">
      <formula>I28</formula>
    </cfRule>
  </conditionalFormatting>
  <conditionalFormatting sqref="I65">
    <cfRule type="cellIs" dxfId="708" priority="22" operator="notEqual">
      <formula>I64</formula>
    </cfRule>
  </conditionalFormatting>
  <conditionalFormatting sqref="J29">
    <cfRule type="cellIs" dxfId="707" priority="21" operator="notEqual">
      <formula>J28</formula>
    </cfRule>
  </conditionalFormatting>
  <conditionalFormatting sqref="J65">
    <cfRule type="cellIs" dxfId="706" priority="20" operator="notEqual">
      <formula>J64</formula>
    </cfRule>
  </conditionalFormatting>
  <conditionalFormatting sqref="K65">
    <cfRule type="cellIs" dxfId="705" priority="18" operator="notEqual">
      <formula>K64</formula>
    </cfRule>
  </conditionalFormatting>
  <conditionalFormatting sqref="U29">
    <cfRule type="cellIs" dxfId="704" priority="16" operator="notEqual">
      <formula>U28</formula>
    </cfRule>
  </conditionalFormatting>
  <conditionalFormatting sqref="U65">
    <cfRule type="cellIs" dxfId="703" priority="15" operator="notEqual">
      <formula>U64</formula>
    </cfRule>
  </conditionalFormatting>
  <conditionalFormatting sqref="V29">
    <cfRule type="cellIs" dxfId="702" priority="14" operator="notEqual">
      <formula>V28</formula>
    </cfRule>
  </conditionalFormatting>
  <conditionalFormatting sqref="V65">
    <cfRule type="cellIs" dxfId="701" priority="13" operator="notEqual">
      <formula>V64</formula>
    </cfRule>
  </conditionalFormatting>
  <conditionalFormatting sqref="W65">
    <cfRule type="cellIs" dxfId="700" priority="12" operator="notEqual">
      <formula>W64</formula>
    </cfRule>
  </conditionalFormatting>
  <conditionalFormatting sqref="AL29">
    <cfRule type="cellIs" dxfId="699" priority="9" operator="notEqual">
      <formula>AL28</formula>
    </cfRule>
  </conditionalFormatting>
  <conditionalFormatting sqref="AM29">
    <cfRule type="cellIs" dxfId="698" priority="8" operator="notEqual">
      <formula>AM28</formula>
    </cfRule>
  </conditionalFormatting>
  <conditionalFormatting sqref="AS65:AW65 AS29:AW29 AZ29:BD29 AZ65:BA65 BC65:BD65">
    <cfRule type="cellIs" dxfId="697" priority="7" operator="notEqual">
      <formula>AS28</formula>
    </cfRule>
  </conditionalFormatting>
  <conditionalFormatting sqref="AX29">
    <cfRule type="cellIs" dxfId="696" priority="6" operator="notEqual">
      <formula>AX28</formula>
    </cfRule>
  </conditionalFormatting>
  <conditionalFormatting sqref="AX65">
    <cfRule type="cellIs" dxfId="695" priority="4" operator="notEqual">
      <formula>AX64</formula>
    </cfRule>
  </conditionalFormatting>
  <conditionalFormatting sqref="AY29">
    <cfRule type="cellIs" dxfId="694" priority="3" operator="notEqual">
      <formula>AY28</formula>
    </cfRule>
  </conditionalFormatting>
  <conditionalFormatting sqref="AY65">
    <cfRule type="cellIs" dxfId="693" priority="2" operator="notEqual">
      <formula>AY64</formula>
    </cfRule>
  </conditionalFormatting>
  <conditionalFormatting sqref="BB65">
    <cfRule type="cellIs" dxfId="692" priority="1" operator="notEqual">
      <formula>BB64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T4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3" width="16.28515625" style="480" hidden="1" customWidth="1"/>
    <col min="44" max="44" width="17.7109375" style="480" hidden="1" customWidth="1"/>
    <col min="45" max="45" width="18.7109375" style="480" hidden="1" customWidth="1"/>
    <col min="46" max="47" width="16.28515625" style="480" hidden="1" customWidth="1"/>
    <col min="48" max="55" width="16.28515625" style="480" customWidth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6">
      <c r="A1" s="478" t="s">
        <v>262</v>
      </c>
      <c r="B1" s="478"/>
      <c r="BG1" s="478" t="s">
        <v>312</v>
      </c>
      <c r="BJ1" s="481" t="s">
        <v>333</v>
      </c>
      <c r="BK1" s="481"/>
    </row>
    <row r="2" spans="1:66">
      <c r="B2" s="575" t="s">
        <v>264</v>
      </c>
    </row>
    <row r="3" spans="1:66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6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201710</v>
      </c>
      <c r="BH4" s="524"/>
      <c r="BI4" s="512"/>
      <c r="BJ4" s="512"/>
      <c r="BK4" s="512"/>
      <c r="BL4" s="513"/>
    </row>
    <row r="5" spans="1:66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558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  <c r="BN5" s="480" t="str">
        <f>_xll.GLW_Segment_Description(BH5,2,2)</f>
        <v>INTEREST ON ENERGY DEFERRALS</v>
      </c>
    </row>
    <row r="6" spans="1:66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8702.15</v>
      </c>
      <c r="BL6" s="498">
        <v>0</v>
      </c>
      <c r="BN6" s="480" t="str">
        <f>_xll.GLW_Segment_Description(BH6,2,2)</f>
        <v>INTEREST EXPENSE ENERGY DEFERRALS</v>
      </c>
    </row>
    <row r="7" spans="1:66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1677145.3027319992</v>
      </c>
      <c r="BN7" s="480" t="str">
        <f>_xll.GLW_Segment_Description(BH7,2,2)</f>
        <v>CURR UNRECOV PGA DEFERRED</v>
      </c>
    </row>
    <row r="8" spans="1:66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>ROUND(((AY5+AY9+AY10+AY11)*(AY4/12))+((SUM(AY6:AY7)/2)*(AY4/12)),2)</f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1668443.1527319993</v>
      </c>
      <c r="BL8" s="460">
        <f>IF((SUMIF(AH3:BE3,BG4,AH6:BE6)+SUMIF(AH3:BE3,BG4,AH7:BE7))&gt;0,(SUMIF(AH3:BE3,BG4,AH6:BE6)+SUMIF(AH3:BE3,BG4,AH7:BE7)),0)</f>
        <v>0</v>
      </c>
      <c r="BN8" s="480" t="str">
        <f>_xll.GLW_Segment_Description(BH8,2,2)</f>
        <v>DEFER CURRENT UNRECOVERED GAS COSTS</v>
      </c>
    </row>
    <row r="9" spans="1:66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  <c r="BN9" s="480" t="str">
        <f>_xll.GLW_Segment_Description(BH9,2,2)</f>
        <v>CURR UNRECOV PGA DEFERRED</v>
      </c>
    </row>
    <row r="10" spans="1:66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  <c r="BN10" s="480" t="str">
        <f>_xll.GLW_Segment_Description(BH10,2,2)</f>
        <v>RECOVERABLE GAS COSTS AMORTIZED</v>
      </c>
    </row>
    <row r="11" spans="1:66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6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6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6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558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6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6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621">
        <f>Jun!$K36</f>
        <v>1233197</v>
      </c>
      <c r="AZ19" s="621">
        <f>Jul!$K36</f>
        <v>1087844</v>
      </c>
      <c r="BA19" s="621">
        <f>Aug!$K36</f>
        <v>986275</v>
      </c>
      <c r="BB19" s="621">
        <f>Sep!$K36</f>
        <v>1445438</v>
      </c>
      <c r="BC19" s="621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621">
        <f>Jun!$K37</f>
        <v>1319570</v>
      </c>
      <c r="AZ20" s="621">
        <f>Jul!$K37</f>
        <v>931171</v>
      </c>
      <c r="BA20" s="621">
        <f>Aug!$K37</f>
        <v>1366641</v>
      </c>
      <c r="BB20" s="621">
        <f>Sep!$K37</f>
        <v>991953</v>
      </c>
      <c r="BC20" s="621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621"/>
      <c r="AZ21" s="621"/>
      <c r="BA21" s="621"/>
      <c r="BB21" s="621"/>
      <c r="BC21" s="621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621"/>
      <c r="AZ22" s="621"/>
      <c r="BA22" s="621"/>
      <c r="BB22" s="621"/>
      <c r="BC22" s="621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621"/>
      <c r="AZ23" s="621"/>
      <c r="BA23" s="621"/>
      <c r="BB23" s="621"/>
      <c r="BC23" s="621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621">
        <f>Jun!$K41</f>
        <v>0</v>
      </c>
      <c r="AZ24" s="621">
        <v>0</v>
      </c>
      <c r="BA24" s="621">
        <v>0</v>
      </c>
      <c r="BB24" s="621">
        <v>0</v>
      </c>
      <c r="BC24" s="621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2352916</v>
      </c>
      <c r="BB28" s="562">
        <v>2437391</v>
      </c>
      <c r="BC28" s="562">
        <v>6761852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8">
        <v>9.3079999999999996E-2</v>
      </c>
      <c r="AZ31" s="618">
        <v>9.3079999999999996E-2</v>
      </c>
      <c r="BA31" s="618">
        <v>9.3079999999999996E-2</v>
      </c>
      <c r="BB31" s="618">
        <v>9.3079999999999996E-2</v>
      </c>
      <c r="BC31" s="618">
        <v>9.3079999999999996E-2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8">
        <v>9.3079999999999996E-2</v>
      </c>
      <c r="AZ32" s="618">
        <v>9.3079999999999996E-2</v>
      </c>
      <c r="BA32" s="618">
        <v>9.3079999999999996E-2</v>
      </c>
      <c r="BB32" s="618">
        <v>9.3079999999999996E-2</v>
      </c>
      <c r="BC32" s="618">
        <v>9.3079999999999996E-2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6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8"/>
      <c r="AZ33" s="618"/>
      <c r="BA33" s="613"/>
      <c r="BB33" s="618"/>
      <c r="BC33" s="618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6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8"/>
      <c r="AZ34" s="618"/>
      <c r="BA34" s="613"/>
      <c r="BB34" s="618"/>
      <c r="BC34" s="618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6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8"/>
      <c r="AZ35" s="618"/>
      <c r="BA35" s="613"/>
      <c r="BB35" s="618"/>
      <c r="BC35" s="618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6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8">
        <v>9.665E-2</v>
      </c>
      <c r="AZ36" s="618">
        <v>9.665E-2</v>
      </c>
      <c r="BA36" s="618">
        <v>9.665E-2</v>
      </c>
      <c r="BB36" s="618">
        <v>9.665E-2</v>
      </c>
      <c r="BC36" s="618">
        <v>9.665E-2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6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6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6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6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6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617">
        <v>0.01</v>
      </c>
      <c r="AZ41" s="617">
        <v>0.01</v>
      </c>
      <c r="BA41" s="617">
        <v>0.01</v>
      </c>
      <c r="BB41" s="617">
        <v>0.01</v>
      </c>
      <c r="BC41" s="617">
        <v>0.01</v>
      </c>
      <c r="BD41" s="486"/>
      <c r="BE41" s="486"/>
      <c r="BF41" s="577"/>
      <c r="BG41" s="511">
        <f>BG4</f>
        <v>201710</v>
      </c>
      <c r="BH41" s="524"/>
      <c r="BI41" s="512"/>
      <c r="BJ41" s="512"/>
      <c r="BK41" s="512"/>
      <c r="BL41" s="513"/>
    </row>
    <row r="42" spans="1:66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-239397.9359650402</v>
      </c>
      <c r="BA42" s="558">
        <f t="shared" si="38"/>
        <v>-51589.21391326109</v>
      </c>
      <c r="BB42" s="480">
        <f>BA47</f>
        <v>167468.4702806779</v>
      </c>
      <c r="BC42" s="480">
        <f>BB47</f>
        <v>394574.91176686174</v>
      </c>
      <c r="BD42" s="480">
        <f>BC47</f>
        <v>1024559.1555134008</v>
      </c>
      <c r="BE42" s="480">
        <f t="shared" ref="BE42" si="39">BD47</f>
        <v>-5393871.464486599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591.05958653905145</v>
      </c>
      <c r="BN42" s="480" t="str">
        <f>_xll.GLW_Segment_Description(BH42,2,2)</f>
        <v>INTEREST ON ENERGY DEFERRALS</v>
      </c>
    </row>
    <row r="43" spans="1:66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>SUMPRODUCT(AY19:AY24,AY31:AY36)</f>
        <v>237611.55235999997</v>
      </c>
      <c r="AZ43" s="558">
        <f t="shared" si="43"/>
        <v>187929.91619999998</v>
      </c>
      <c r="BA43" s="558">
        <f>SUMPRODUCT(BA19:BA24,BA31:BA36)</f>
        <v>219009.42128000001</v>
      </c>
      <c r="BB43" s="558">
        <f>SUMPRODUCT(BB19:BB24,BB31:BB36)</f>
        <v>226872.35427999997</v>
      </c>
      <c r="BC43" s="558">
        <f>SUMPRODUCT(BC19:BC24,BC31:BC36)</f>
        <v>629393.18415999995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0</v>
      </c>
      <c r="BL43" s="498">
        <v>0</v>
      </c>
      <c r="BN43" s="480" t="str">
        <f>_xll.GLW_Segment_Description(BH43,2,2)</f>
        <v>INTEREST EXPENSE ENERGY DEFERRALS</v>
      </c>
    </row>
    <row r="44" spans="1:66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AX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ref="AY44:BB44" si="48">((AY42*(AY41/12))+((AY43/2)*(AY41/12)))</f>
        <v>-298.25454799753561</v>
      </c>
      <c r="AZ44" s="487">
        <f t="shared" si="48"/>
        <v>-121.19414822086686</v>
      </c>
      <c r="BA44" s="487">
        <f t="shared" si="48"/>
        <v>48.262913938949097</v>
      </c>
      <c r="BB44" s="487">
        <f t="shared" si="48"/>
        <v>234.08720618389827</v>
      </c>
      <c r="BC44" s="487">
        <f>((BC42*(BC41/12))+((BC43/2)*(BC41/12)))</f>
        <v>591.05958653905145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629984.243746539</v>
      </c>
      <c r="BL44" s="498">
        <f>IF((SUMIF(AH40:BE40,BG41,AH43:BE43)+SUMIF(AH40:BE40,BG41,AH44:BE44))&lt;0,-(SUMIF(AH40:BE40,BG41,AH43:BE43)+SUMIF(AH40:BE40,BG41,AH44:BE44)),0)</f>
        <v>0</v>
      </c>
      <c r="BN44" s="480" t="str">
        <f>_xll.GLW_Segment_Description(BH44,2,2)</f>
        <v>RECOVERABLE GAS COSTS AMORTIZED</v>
      </c>
    </row>
    <row r="45" spans="1:66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629393.18415999995</v>
      </c>
      <c r="BN45" s="480" t="str">
        <f>_xll.GLW_Segment_Description(BH45,2,2)</f>
        <v>AMORTIZE RECOVERABLE GAS COSTS</v>
      </c>
    </row>
    <row r="46" spans="1:66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9">BH44</f>
        <v>191000</v>
      </c>
      <c r="BI46" s="526" t="str">
        <f t="shared" si="49"/>
        <v>GD</v>
      </c>
      <c r="BJ46" s="526" t="str">
        <f t="shared" si="49"/>
        <v>ID</v>
      </c>
      <c r="BK46" s="379">
        <v>0</v>
      </c>
      <c r="BL46" s="498">
        <v>0</v>
      </c>
      <c r="BN46" s="480" t="str">
        <f>_xll.GLW_Segment_Description(BH46,2,2)</f>
        <v>RECOVERABLE GAS COSTS AMORTIZED</v>
      </c>
    </row>
    <row r="47" spans="1:66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50">SUM(G42:G46)</f>
        <v>122203.74560073584</v>
      </c>
      <c r="H47" s="539">
        <f t="shared" si="50"/>
        <v>121907.05607206978</v>
      </c>
      <c r="I47" s="539">
        <f t="shared" si="50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1">SUM(W42:W46)</f>
        <v>-1139196.8415066958</v>
      </c>
      <c r="X47" s="539">
        <f t="shared" si="51"/>
        <v>-927936.74257669575</v>
      </c>
      <c r="Y47" s="539">
        <f t="shared" si="51"/>
        <v>-767403.9580847763</v>
      </c>
      <c r="Z47" s="539">
        <f t="shared" si="51"/>
        <v>-685903.92338007619</v>
      </c>
      <c r="AA47" s="539">
        <f t="shared" si="51"/>
        <v>-623363.07088572613</v>
      </c>
      <c r="AB47" s="539">
        <f t="shared" si="51"/>
        <v>-564427.81872858922</v>
      </c>
      <c r="AC47" s="539">
        <f t="shared" si="51"/>
        <v>-496357.29729955469</v>
      </c>
      <c r="AD47" s="539">
        <f t="shared" si="51"/>
        <v>-416678.50147523766</v>
      </c>
      <c r="AE47" s="539">
        <f t="shared" si="51"/>
        <v>-299312.54063388787</v>
      </c>
      <c r="AF47" s="539">
        <f t="shared" si="51"/>
        <v>-1658528.5495927494</v>
      </c>
      <c r="AG47" s="539">
        <f t="shared" si="51"/>
        <v>-1317584.0800507434</v>
      </c>
      <c r="AH47" s="539">
        <f t="shared" si="51"/>
        <v>-983065.53286414407</v>
      </c>
      <c r="AI47" s="539">
        <f t="shared" si="51"/>
        <v>-731100.32081221836</v>
      </c>
      <c r="AJ47" s="539">
        <f t="shared" si="51"/>
        <v>-500233.0713481619</v>
      </c>
      <c r="AK47" s="539">
        <f t="shared" si="51"/>
        <v>-388052.25664285204</v>
      </c>
      <c r="AL47" s="539">
        <f t="shared" si="51"/>
        <v>-302311.59410241275</v>
      </c>
      <c r="AM47" s="539">
        <f t="shared" si="51"/>
        <v>-233827.69948376893</v>
      </c>
      <c r="AN47" s="539">
        <f t="shared" si="51"/>
        <v>-172084.16076408038</v>
      </c>
      <c r="AO47" s="539">
        <f t="shared" si="51"/>
        <v>-104004.25798317129</v>
      </c>
      <c r="AP47" s="539">
        <f t="shared" si="51"/>
        <v>-33400.491537082271</v>
      </c>
      <c r="AQ47" s="539">
        <f t="shared" si="51"/>
        <v>121534.67583500767</v>
      </c>
      <c r="AR47" s="539">
        <f t="shared" si="51"/>
        <v>-6302479.3101892965</v>
      </c>
      <c r="AS47" s="539">
        <f>SUM(AS42:AS46)</f>
        <v>-4876312.2000311213</v>
      </c>
      <c r="AT47" s="539">
        <f t="shared" ref="AT47:BD47" si="52">SUM(AT42:AT46)</f>
        <v>-3394087.7102784473</v>
      </c>
      <c r="AU47" s="539">
        <f t="shared" si="52"/>
        <v>-2356091.6246554293</v>
      </c>
      <c r="AV47" s="539">
        <f t="shared" si="52"/>
        <v>-1466224.9722105423</v>
      </c>
      <c r="AW47" s="539">
        <f t="shared" si="52"/>
        <v>-841900.16822978447</v>
      </c>
      <c r="AX47" s="539">
        <f t="shared" si="52"/>
        <v>-476711.23377704265</v>
      </c>
      <c r="AY47" s="539">
        <f t="shared" si="52"/>
        <v>-239397.9359650402</v>
      </c>
      <c r="AZ47" s="539">
        <f>SUM(AZ42:AZ46)</f>
        <v>-51589.21391326109</v>
      </c>
      <c r="BA47" s="539">
        <f t="shared" si="52"/>
        <v>167468.4702806779</v>
      </c>
      <c r="BB47" s="539">
        <f t="shared" si="52"/>
        <v>394574.91176686174</v>
      </c>
      <c r="BC47" s="539">
        <f t="shared" si="52"/>
        <v>1024559.1555134008</v>
      </c>
      <c r="BD47" s="539">
        <f t="shared" si="52"/>
        <v>-5393871.464486599</v>
      </c>
      <c r="BE47" s="539">
        <f>SUM(BE42:BE46)</f>
        <v>-3963048.464486599</v>
      </c>
      <c r="BG47" s="499" t="str">
        <f>BG46</f>
        <v>Large Customer Refund</v>
      </c>
      <c r="BH47" s="527">
        <f t="shared" si="49"/>
        <v>805110</v>
      </c>
      <c r="BI47" s="527" t="str">
        <f t="shared" si="49"/>
        <v>GD</v>
      </c>
      <c r="BJ47" s="527" t="str">
        <f t="shared" si="49"/>
        <v>ID</v>
      </c>
      <c r="BK47" s="501">
        <v>0</v>
      </c>
      <c r="BL47" s="519">
        <f>BK46</f>
        <v>0</v>
      </c>
      <c r="BN47" s="480" t="str">
        <f>_xll.GLW_Segment_Description(BH47,2,2)</f>
        <v>AMORTIZE RECOVERABLE GAS COSTS</v>
      </c>
    </row>
    <row r="48" spans="1:66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3">F47-F48</f>
        <v>2.2137390881653118E-2</v>
      </c>
      <c r="G49" s="480">
        <f t="shared" si="53"/>
        <v>90.56560073584842</v>
      </c>
      <c r="H49" s="480">
        <f t="shared" si="53"/>
        <v>90.646072069779621</v>
      </c>
      <c r="I49" s="480">
        <f t="shared" si="53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4">W47-W48</f>
        <v>-1.506695756688714E-3</v>
      </c>
      <c r="X49" s="480">
        <f t="shared" si="54"/>
        <v>-2.5766957551240921E-3</v>
      </c>
      <c r="Y49" s="480">
        <f t="shared" si="54"/>
        <v>1.9152236636728048E-3</v>
      </c>
      <c r="Z49" s="480">
        <f t="shared" si="54"/>
        <v>-3.3800761448219419E-3</v>
      </c>
      <c r="AA49" s="480">
        <f t="shared" si="54"/>
        <v>-8.8572618551552296E-4</v>
      </c>
      <c r="AB49" s="480">
        <f t="shared" si="54"/>
        <v>1.2714107288047671E-3</v>
      </c>
      <c r="AC49" s="480">
        <f t="shared" si="54"/>
        <v>2.7004453004337847E-3</v>
      </c>
      <c r="AD49" s="480">
        <f t="shared" si="54"/>
        <v>-1.4752376591786742E-3</v>
      </c>
      <c r="AE49" s="480">
        <f t="shared" si="54"/>
        <v>-6.3388788839802146E-4</v>
      </c>
      <c r="AF49" s="480">
        <f t="shared" si="54"/>
        <v>4.0725059807300568E-4</v>
      </c>
      <c r="AG49" s="480">
        <f t="shared" si="54"/>
        <v>-5.0743343308568001E-5</v>
      </c>
      <c r="AH49" s="480">
        <f>AH47-AH48</f>
        <v>-2.8641440439969301E-3</v>
      </c>
      <c r="AI49" s="480">
        <f t="shared" si="54"/>
        <v>-8.1221840810030699E-4</v>
      </c>
      <c r="AJ49" s="480">
        <f t="shared" si="54"/>
        <v>-1.3481618952937424E-3</v>
      </c>
      <c r="AK49" s="480">
        <f t="shared" si="54"/>
        <v>-6.6428520367480814E-3</v>
      </c>
      <c r="AL49" s="480">
        <f t="shared" si="54"/>
        <v>-4.1024127276614308E-3</v>
      </c>
      <c r="AM49" s="480">
        <f t="shared" si="54"/>
        <v>5.1623108447529376E-4</v>
      </c>
      <c r="AN49" s="480">
        <f t="shared" si="54"/>
        <v>-7.6408038148656487E-4</v>
      </c>
      <c r="AO49" s="480">
        <f t="shared" si="54"/>
        <v>2.0168287010164931E-3</v>
      </c>
      <c r="AP49" s="480">
        <f t="shared" si="54"/>
        <v>-1.5370822729892097E-3</v>
      </c>
      <c r="AQ49" s="480">
        <f>AQ47-AQ48</f>
        <v>-4.1649923223303631E-3</v>
      </c>
      <c r="AR49" s="480">
        <f t="shared" si="54"/>
        <v>-1.892969012260437E-4</v>
      </c>
      <c r="AS49" s="480">
        <f>AS47-AS48</f>
        <v>-3.112107515335083E-5</v>
      </c>
      <c r="AT49" s="480">
        <f t="shared" ref="AT49:BB49" si="55">AT47-AT48</f>
        <v>-2.7844728901982307E-4</v>
      </c>
      <c r="AU49" s="480">
        <f t="shared" si="55"/>
        <v>-4.6554291620850563E-3</v>
      </c>
      <c r="AV49" s="480">
        <f>AV47-AV48</f>
        <v>-2.2105423267930746E-3</v>
      </c>
      <c r="AW49" s="480">
        <f t="shared" si="55"/>
        <v>1.7702155746519566E-3</v>
      </c>
      <c r="AX49" s="480">
        <f>AX47-AX48</f>
        <v>6.2229573377408087E-3</v>
      </c>
      <c r="AY49" s="480">
        <f t="shared" si="55"/>
        <v>4.0349597984459251E-3</v>
      </c>
      <c r="AZ49" s="480">
        <f>AZ47-AZ48</f>
        <v>6.0867389111081138E-3</v>
      </c>
      <c r="BA49" s="480">
        <f t="shared" si="55"/>
        <v>1.0280677903210744E-2</v>
      </c>
      <c r="BB49" s="480">
        <f t="shared" si="55"/>
        <v>1.1766861716751009E-2</v>
      </c>
      <c r="BC49" s="480">
        <f>BC47-BC48</f>
        <v>629984.25551340077</v>
      </c>
      <c r="BD49" s="480">
        <f t="shared" ref="BD49" si="56">BD47-BD48</f>
        <v>-5788446.3644865993</v>
      </c>
      <c r="BE49" s="480">
        <f>BE47-BE48</f>
        <v>-3963048.464486599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7">V51+1</f>
        <v>201502</v>
      </c>
      <c r="X51" s="482">
        <f t="shared" si="57"/>
        <v>201503</v>
      </c>
      <c r="Y51" s="482">
        <f t="shared" si="57"/>
        <v>201504</v>
      </c>
      <c r="Z51" s="482">
        <f t="shared" si="57"/>
        <v>201505</v>
      </c>
      <c r="AA51" s="482">
        <f t="shared" si="57"/>
        <v>201506</v>
      </c>
      <c r="AB51" s="482">
        <f t="shared" si="57"/>
        <v>201507</v>
      </c>
      <c r="AC51" s="482">
        <f t="shared" si="57"/>
        <v>201508</v>
      </c>
      <c r="AD51" s="482">
        <f t="shared" si="57"/>
        <v>201509</v>
      </c>
      <c r="AE51" s="482">
        <f t="shared" si="57"/>
        <v>201510</v>
      </c>
      <c r="AF51" s="482">
        <f t="shared" si="57"/>
        <v>201511</v>
      </c>
      <c r="AG51" s="482">
        <f t="shared" si="57"/>
        <v>201512</v>
      </c>
      <c r="AH51" s="482">
        <v>201601</v>
      </c>
      <c r="AI51" s="482">
        <f>AH51+1</f>
        <v>201602</v>
      </c>
      <c r="AJ51" s="482">
        <f t="shared" ref="AJ51:AS51" si="58">AI51+1</f>
        <v>201603</v>
      </c>
      <c r="AK51" s="482">
        <f t="shared" si="58"/>
        <v>201604</v>
      </c>
      <c r="AL51" s="482">
        <f t="shared" si="58"/>
        <v>201605</v>
      </c>
      <c r="AM51" s="482">
        <f t="shared" si="58"/>
        <v>201606</v>
      </c>
      <c r="AN51" s="482">
        <f t="shared" si="58"/>
        <v>201607</v>
      </c>
      <c r="AO51" s="482">
        <f t="shared" si="58"/>
        <v>201608</v>
      </c>
      <c r="AP51" s="482">
        <f t="shared" si="58"/>
        <v>201609</v>
      </c>
      <c r="AQ51" s="482">
        <f t="shared" si="58"/>
        <v>201610</v>
      </c>
      <c r="AR51" s="482">
        <f t="shared" si="58"/>
        <v>201611</v>
      </c>
      <c r="AS51" s="482">
        <f t="shared" si="58"/>
        <v>201612</v>
      </c>
      <c r="AT51" s="482">
        <f>AT3</f>
        <v>201701</v>
      </c>
      <c r="AU51" s="482">
        <f>AT51+1</f>
        <v>201702</v>
      </c>
      <c r="AV51" s="482">
        <f t="shared" ref="AV51:BE51" si="59">AU51+1</f>
        <v>201703</v>
      </c>
      <c r="AW51" s="482">
        <f t="shared" si="59"/>
        <v>201704</v>
      </c>
      <c r="AX51" s="482">
        <f t="shared" si="59"/>
        <v>201705</v>
      </c>
      <c r="AY51" s="482">
        <f t="shared" si="59"/>
        <v>201706</v>
      </c>
      <c r="AZ51" s="482">
        <f t="shared" si="59"/>
        <v>201707</v>
      </c>
      <c r="BA51" s="482">
        <f t="shared" si="59"/>
        <v>201708</v>
      </c>
      <c r="BB51" s="482">
        <f t="shared" si="59"/>
        <v>201709</v>
      </c>
      <c r="BC51" s="482">
        <f t="shared" si="59"/>
        <v>201710</v>
      </c>
      <c r="BD51" s="482">
        <f t="shared" si="59"/>
        <v>201711</v>
      </c>
      <c r="BE51" s="482">
        <f t="shared" si="59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621">
        <f>Jun!$K36</f>
        <v>1233197</v>
      </c>
      <c r="AZ52" s="621">
        <f>Jul!$K36</f>
        <v>1087844</v>
      </c>
      <c r="BA52" s="621">
        <f>Aug!$K36</f>
        <v>986275</v>
      </c>
      <c r="BB52" s="621">
        <f>Sep!$K36</f>
        <v>1445438</v>
      </c>
      <c r="BC52" s="621"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60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621">
        <f>Jun!$K37</f>
        <v>1319570</v>
      </c>
      <c r="AZ53" s="621">
        <f>Jul!$K37</f>
        <v>931171</v>
      </c>
      <c r="BA53" s="621">
        <f>Aug!$K37</f>
        <v>1366641</v>
      </c>
      <c r="BB53" s="621">
        <f>Sep!$K37</f>
        <v>991953</v>
      </c>
      <c r="BC53" s="621"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60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621">
        <f>Jun!$K38</f>
        <v>55493</v>
      </c>
      <c r="AZ54" s="621">
        <f>Jul!$K38</f>
        <v>70834</v>
      </c>
      <c r="BA54" s="621">
        <f>Aug!$K38</f>
        <v>82239</v>
      </c>
      <c r="BB54" s="621">
        <f>Sep!$K38</f>
        <v>71733</v>
      </c>
      <c r="BC54" s="621"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60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621">
        <f>Jun!$K39</f>
        <v>0</v>
      </c>
      <c r="AZ55" s="621">
        <f>Jul!$K39</f>
        <v>0</v>
      </c>
      <c r="BA55" s="621">
        <f>Aug!$K39</f>
        <v>0</v>
      </c>
      <c r="BB55" s="621">
        <f>Sep!$K39</f>
        <v>0</v>
      </c>
      <c r="BC55" s="621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60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621"/>
      <c r="AZ56" s="621"/>
      <c r="BA56" s="621"/>
      <c r="BB56" s="621"/>
      <c r="BC56" s="621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60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621"/>
      <c r="AZ57" s="621"/>
      <c r="BA57" s="621"/>
      <c r="BB57" s="621"/>
      <c r="BC57" s="621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60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621">
        <f>Jun!$K42</f>
        <v>0</v>
      </c>
      <c r="AZ58" s="621">
        <f>Jul!$K42</f>
        <v>0</v>
      </c>
      <c r="BA58" s="621">
        <f>Aug!$K42</f>
        <v>0</v>
      </c>
      <c r="BB58" s="621">
        <f>Sep!$K42</f>
        <v>0</v>
      </c>
      <c r="BC58" s="621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1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60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2">SUM(H52:H59)</f>
        <v>9560411</v>
      </c>
      <c r="I60" s="540">
        <f t="shared" si="62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3">SUM(V52:V59)</f>
        <v>11853389</v>
      </c>
      <c r="W60" s="540">
        <f t="shared" si="63"/>
        <v>7975879</v>
      </c>
      <c r="X60" s="540">
        <f t="shared" si="63"/>
        <v>7051984</v>
      </c>
      <c r="Y60" s="540">
        <f t="shared" si="63"/>
        <v>5286030</v>
      </c>
      <c r="Z60" s="540">
        <f t="shared" si="63"/>
        <v>2733897</v>
      </c>
      <c r="AA60" s="540">
        <f t="shared" si="63"/>
        <v>2096440</v>
      </c>
      <c r="AB60" s="540">
        <f t="shared" si="63"/>
        <v>1982316</v>
      </c>
      <c r="AC60" s="540">
        <f t="shared" si="63"/>
        <v>2300576</v>
      </c>
      <c r="AD60" s="540">
        <f t="shared" si="63"/>
        <v>2659390</v>
      </c>
      <c r="AE60" s="540">
        <f t="shared" si="63"/>
        <v>3938193</v>
      </c>
      <c r="AF60" s="540">
        <f t="shared" si="63"/>
        <v>9651342</v>
      </c>
      <c r="AG60" s="540">
        <f t="shared" si="63"/>
        <v>11926102</v>
      </c>
      <c r="AH60" s="540">
        <f>SUM(AH52:AH59)</f>
        <v>11687768</v>
      </c>
      <c r="AI60" s="540">
        <f t="shared" si="63"/>
        <v>8803437</v>
      </c>
      <c r="AJ60" s="540">
        <f t="shared" si="63"/>
        <v>8059448</v>
      </c>
      <c r="AK60" s="540">
        <f t="shared" si="63"/>
        <v>3932071</v>
      </c>
      <c r="AL60" s="540">
        <f t="shared" si="63"/>
        <v>3024022</v>
      </c>
      <c r="AM60" s="540">
        <f t="shared" si="63"/>
        <v>2420319</v>
      </c>
      <c r="AN60" s="540">
        <f t="shared" si="63"/>
        <v>2230031</v>
      </c>
      <c r="AO60" s="540">
        <f t="shared" si="63"/>
        <v>2423944</v>
      </c>
      <c r="AP60" s="540">
        <f>SUM(AP52:AP59)</f>
        <v>2496864</v>
      </c>
      <c r="AQ60" s="540">
        <f>SUM(AQ52:AQ59)</f>
        <v>5410298</v>
      </c>
      <c r="AR60" s="540">
        <f t="shared" si="63"/>
        <v>7791802</v>
      </c>
      <c r="AS60" s="540">
        <f t="shared" si="63"/>
        <v>15447189</v>
      </c>
      <c r="AT60" s="540">
        <f t="shared" si="63"/>
        <v>15965877</v>
      </c>
      <c r="AU60" s="540">
        <f t="shared" si="63"/>
        <v>11188261</v>
      </c>
      <c r="AV60" s="540">
        <f t="shared" si="63"/>
        <v>9580240</v>
      </c>
      <c r="AW60" s="540">
        <f t="shared" si="63"/>
        <v>6725403</v>
      </c>
      <c r="AX60" s="540">
        <f t="shared" si="63"/>
        <v>3958456</v>
      </c>
      <c r="AY60" s="540">
        <f t="shared" si="63"/>
        <v>2608260</v>
      </c>
      <c r="AZ60" s="540">
        <f t="shared" si="63"/>
        <v>2089849</v>
      </c>
      <c r="BA60" s="540">
        <f t="shared" si="63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4">SUM(BD52:BD59)</f>
        <v>7791802</v>
      </c>
      <c r="BE60" s="540">
        <f t="shared" si="64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2435155</v>
      </c>
      <c r="BB61" s="562">
        <v>2509124</v>
      </c>
      <c r="BC61" s="562">
        <v>6809567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5">V63+1</f>
        <v>201502</v>
      </c>
      <c r="X63" s="482">
        <f t="shared" si="65"/>
        <v>201503</v>
      </c>
      <c r="Y63" s="482">
        <f t="shared" si="65"/>
        <v>201504</v>
      </c>
      <c r="Z63" s="482">
        <f t="shared" si="65"/>
        <v>201505</v>
      </c>
      <c r="AA63" s="482">
        <f t="shared" si="65"/>
        <v>201506</v>
      </c>
      <c r="AB63" s="482">
        <f t="shared" si="65"/>
        <v>201507</v>
      </c>
      <c r="AC63" s="482">
        <f t="shared" si="65"/>
        <v>201508</v>
      </c>
      <c r="AD63" s="482">
        <f t="shared" si="65"/>
        <v>201509</v>
      </c>
      <c r="AE63" s="482">
        <f t="shared" si="65"/>
        <v>201510</v>
      </c>
      <c r="AF63" s="482">
        <f t="shared" si="65"/>
        <v>201511</v>
      </c>
      <c r="AG63" s="482">
        <f t="shared" si="65"/>
        <v>201512</v>
      </c>
      <c r="AH63" s="482">
        <v>201601</v>
      </c>
      <c r="AI63" s="482">
        <f>AH63+1</f>
        <v>201602</v>
      </c>
      <c r="AJ63" s="482">
        <f t="shared" ref="AJ63:AS63" si="66">AI63+1</f>
        <v>201603</v>
      </c>
      <c r="AK63" s="482">
        <f t="shared" si="66"/>
        <v>201604</v>
      </c>
      <c r="AL63" s="482">
        <f t="shared" si="66"/>
        <v>201605</v>
      </c>
      <c r="AM63" s="482">
        <f t="shared" si="66"/>
        <v>201606</v>
      </c>
      <c r="AN63" s="482">
        <f t="shared" si="66"/>
        <v>201607</v>
      </c>
      <c r="AO63" s="482">
        <f t="shared" si="66"/>
        <v>201608</v>
      </c>
      <c r="AP63" s="482">
        <f t="shared" si="66"/>
        <v>201609</v>
      </c>
      <c r="AQ63" s="482">
        <f t="shared" si="66"/>
        <v>201610</v>
      </c>
      <c r="AR63" s="482">
        <f t="shared" si="66"/>
        <v>201611</v>
      </c>
      <c r="AS63" s="482">
        <f t="shared" si="66"/>
        <v>201612</v>
      </c>
      <c r="AT63" s="482">
        <f>AT3</f>
        <v>201701</v>
      </c>
      <c r="AU63" s="482">
        <f>AT63+1</f>
        <v>201702</v>
      </c>
      <c r="AV63" s="482">
        <f t="shared" ref="AV63:BE63" si="67">AU63+1</f>
        <v>201703</v>
      </c>
      <c r="AW63" s="482">
        <f t="shared" si="67"/>
        <v>201704</v>
      </c>
      <c r="AX63" s="482">
        <f t="shared" si="67"/>
        <v>201705</v>
      </c>
      <c r="AY63" s="482">
        <f t="shared" si="67"/>
        <v>201706</v>
      </c>
      <c r="AZ63" s="482">
        <f t="shared" si="67"/>
        <v>201707</v>
      </c>
      <c r="BA63" s="482">
        <f t="shared" si="67"/>
        <v>201708</v>
      </c>
      <c r="BB63" s="482">
        <f t="shared" si="67"/>
        <v>201709</v>
      </c>
      <c r="BC63" s="482">
        <f t="shared" si="67"/>
        <v>201710</v>
      </c>
      <c r="BD63" s="482">
        <f t="shared" si="67"/>
        <v>201711</v>
      </c>
      <c r="BE63" s="482">
        <f t="shared" si="67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8">
        <v>0</v>
      </c>
      <c r="AZ64" s="618">
        <v>0</v>
      </c>
      <c r="BA64" s="618">
        <v>0</v>
      </c>
      <c r="BB64" s="618">
        <v>0</v>
      </c>
      <c r="BC64" s="618">
        <v>0</v>
      </c>
      <c r="BD64" s="613">
        <v>0</v>
      </c>
      <c r="BE64" s="613">
        <v>0</v>
      </c>
    </row>
    <row r="65" spans="1:66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8">
        <v>0</v>
      </c>
      <c r="AZ65" s="618">
        <v>0</v>
      </c>
      <c r="BA65" s="618">
        <v>0</v>
      </c>
      <c r="BB65" s="618">
        <v>0</v>
      </c>
      <c r="BC65" s="618">
        <v>0</v>
      </c>
      <c r="BD65" s="613">
        <v>0</v>
      </c>
      <c r="BE65" s="613">
        <v>0</v>
      </c>
    </row>
    <row r="66" spans="1:66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8">
        <v>0</v>
      </c>
      <c r="AZ66" s="618">
        <v>0</v>
      </c>
      <c r="BA66" s="618">
        <v>0</v>
      </c>
      <c r="BB66" s="618">
        <v>0</v>
      </c>
      <c r="BC66" s="618">
        <v>0</v>
      </c>
      <c r="BD66" s="613">
        <v>0</v>
      </c>
      <c r="BE66" s="613">
        <v>0</v>
      </c>
    </row>
    <row r="67" spans="1:66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8">
        <v>0</v>
      </c>
      <c r="AZ67" s="618">
        <v>0</v>
      </c>
      <c r="BA67" s="618">
        <v>0</v>
      </c>
      <c r="BB67" s="618">
        <v>0</v>
      </c>
      <c r="BC67" s="618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6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8"/>
      <c r="AZ68" s="618"/>
      <c r="BA68" s="618"/>
      <c r="BB68" s="618"/>
      <c r="BC68" s="618"/>
      <c r="BD68" s="613"/>
      <c r="BE68" s="613"/>
      <c r="BG68" s="654"/>
      <c r="BH68" s="654"/>
      <c r="BI68" s="654"/>
      <c r="BJ68" s="654"/>
      <c r="BK68" s="654"/>
      <c r="BL68" s="654"/>
    </row>
    <row r="69" spans="1:66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8"/>
      <c r="AZ69" s="618"/>
      <c r="BA69" s="618"/>
      <c r="BB69" s="618"/>
      <c r="BC69" s="618"/>
      <c r="BD69" s="613"/>
      <c r="BE69" s="613"/>
      <c r="BG69" s="654"/>
      <c r="BH69" s="654"/>
      <c r="BI69" s="654"/>
      <c r="BJ69" s="654"/>
      <c r="BK69" s="654"/>
      <c r="BL69" s="654"/>
    </row>
    <row r="70" spans="1:66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8">
        <v>0</v>
      </c>
      <c r="AZ70" s="618">
        <v>0</v>
      </c>
      <c r="BA70" s="618">
        <v>0</v>
      </c>
      <c r="BB70" s="618">
        <v>0</v>
      </c>
      <c r="BC70" s="618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6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6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6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8">V73+1</f>
        <v>201502</v>
      </c>
      <c r="X73" s="482">
        <f t="shared" si="68"/>
        <v>201503</v>
      </c>
      <c r="Y73" s="482">
        <f t="shared" si="68"/>
        <v>201504</v>
      </c>
      <c r="Z73" s="482">
        <f t="shared" si="68"/>
        <v>201505</v>
      </c>
      <c r="AA73" s="482">
        <f t="shared" si="68"/>
        <v>201506</v>
      </c>
      <c r="AB73" s="482">
        <f t="shared" si="68"/>
        <v>201507</v>
      </c>
      <c r="AC73" s="482">
        <f t="shared" si="68"/>
        <v>201508</v>
      </c>
      <c r="AD73" s="482">
        <f t="shared" si="68"/>
        <v>201509</v>
      </c>
      <c r="AE73" s="482">
        <f t="shared" si="68"/>
        <v>201510</v>
      </c>
      <c r="AF73" s="482">
        <f t="shared" si="68"/>
        <v>201511</v>
      </c>
      <c r="AG73" s="482">
        <f t="shared" si="68"/>
        <v>201512</v>
      </c>
      <c r="AH73" s="482">
        <v>201601</v>
      </c>
      <c r="AI73" s="482">
        <f>AH73+1</f>
        <v>201602</v>
      </c>
      <c r="AJ73" s="482">
        <f t="shared" ref="AJ73:AS73" si="69">AI73+1</f>
        <v>201603</v>
      </c>
      <c r="AK73" s="482">
        <f t="shared" si="69"/>
        <v>201604</v>
      </c>
      <c r="AL73" s="482">
        <f t="shared" si="69"/>
        <v>201605</v>
      </c>
      <c r="AM73" s="482">
        <f t="shared" si="69"/>
        <v>201606</v>
      </c>
      <c r="AN73" s="482">
        <f t="shared" si="69"/>
        <v>201607</v>
      </c>
      <c r="AO73" s="587">
        <f t="shared" si="69"/>
        <v>201608</v>
      </c>
      <c r="AP73" s="482">
        <f t="shared" si="69"/>
        <v>201609</v>
      </c>
      <c r="AQ73" s="482">
        <f t="shared" si="69"/>
        <v>201610</v>
      </c>
      <c r="AR73" s="482">
        <f t="shared" si="69"/>
        <v>201611</v>
      </c>
      <c r="AS73" s="482">
        <f t="shared" si="69"/>
        <v>201612</v>
      </c>
      <c r="AT73" s="482">
        <f>AT3</f>
        <v>201701</v>
      </c>
      <c r="AU73" s="482">
        <f>AT73+1</f>
        <v>201702</v>
      </c>
      <c r="AV73" s="482">
        <f t="shared" ref="AV73:BE73" si="70">AU73+1</f>
        <v>201703</v>
      </c>
      <c r="AW73" s="482">
        <f t="shared" si="70"/>
        <v>201704</v>
      </c>
      <c r="AX73" s="482">
        <f t="shared" si="70"/>
        <v>201705</v>
      </c>
      <c r="AY73" s="482">
        <f t="shared" si="70"/>
        <v>201706</v>
      </c>
      <c r="AZ73" s="482">
        <f t="shared" si="70"/>
        <v>201707</v>
      </c>
      <c r="BA73" s="587">
        <f t="shared" si="70"/>
        <v>201708</v>
      </c>
      <c r="BB73" s="482">
        <f t="shared" si="70"/>
        <v>201709</v>
      </c>
      <c r="BC73" s="482">
        <f t="shared" si="70"/>
        <v>201710</v>
      </c>
      <c r="BD73" s="482">
        <f t="shared" si="70"/>
        <v>201711</v>
      </c>
      <c r="BE73" s="482">
        <f t="shared" si="70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6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617">
        <v>0.01</v>
      </c>
      <c r="AZ74" s="617">
        <v>0.01</v>
      </c>
      <c r="BA74" s="617">
        <v>0.01</v>
      </c>
      <c r="BB74" s="617">
        <v>0.01</v>
      </c>
      <c r="BC74" s="617">
        <v>0.01</v>
      </c>
      <c r="BD74" s="486"/>
      <c r="BE74" s="486"/>
      <c r="BF74" s="577"/>
      <c r="BG74" s="511">
        <f>BG4</f>
        <v>201710</v>
      </c>
      <c r="BH74" s="524"/>
      <c r="BI74" s="512"/>
      <c r="BJ74" s="512"/>
      <c r="BK74" s="521"/>
      <c r="BL74" s="513"/>
    </row>
    <row r="75" spans="1:66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1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2">AB79</f>
        <v>-11951.205399782522</v>
      </c>
      <c r="AD75" s="480">
        <f t="shared" si="72"/>
        <v>-11961.164737615674</v>
      </c>
      <c r="AE75" s="480">
        <f t="shared" si="72"/>
        <v>-11971.132374897021</v>
      </c>
      <c r="AF75" s="480">
        <f t="shared" si="72"/>
        <v>-11981.108318542769</v>
      </c>
      <c r="AG75" s="480">
        <f t="shared" si="72"/>
        <v>-11991.092575474888</v>
      </c>
      <c r="AH75" s="480">
        <f t="shared" si="72"/>
        <v>-12001.085152621117</v>
      </c>
      <c r="AI75" s="480">
        <f t="shared" si="72"/>
        <v>-12011.086056914968</v>
      </c>
      <c r="AJ75" s="480">
        <f t="shared" si="72"/>
        <v>-12021.09529529573</v>
      </c>
      <c r="AK75" s="480">
        <f t="shared" si="72"/>
        <v>-12031.112874708477</v>
      </c>
      <c r="AL75" s="480">
        <f t="shared" si="72"/>
        <v>-12041.138802104068</v>
      </c>
      <c r="AM75" s="480">
        <f t="shared" si="72"/>
        <v>-12051.173084439155</v>
      </c>
      <c r="AN75" s="480">
        <f>AM79</f>
        <v>-12061.215728676189</v>
      </c>
      <c r="AO75" s="480">
        <f t="shared" ref="AO75:AP75" si="73">AN79</f>
        <v>-12071.266741783418</v>
      </c>
      <c r="AP75" s="480">
        <f t="shared" si="73"/>
        <v>-12081.326130734904</v>
      </c>
      <c r="AQ75" s="480">
        <f>AP79</f>
        <v>-12091.393902510516</v>
      </c>
      <c r="AR75" s="480">
        <f t="shared" ref="AR75:AS75" si="74">AQ79</f>
        <v>-12101.470064095942</v>
      </c>
      <c r="AS75" s="480">
        <f t="shared" si="74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5">AV79</f>
        <v>-12151.976964077072</v>
      </c>
      <c r="AX75" s="558">
        <f t="shared" si="75"/>
        <v>-12162.103611547136</v>
      </c>
      <c r="AY75" s="480">
        <f t="shared" si="75"/>
        <v>-12172.238697890092</v>
      </c>
      <c r="AZ75" s="480">
        <f>AY79</f>
        <v>-12182.382230138333</v>
      </c>
      <c r="BA75" s="480">
        <f t="shared" ref="BA75:BB75" si="76">AZ79</f>
        <v>-12192.534215330115</v>
      </c>
      <c r="BB75" s="480">
        <f t="shared" si="76"/>
        <v>-12202.694660509556</v>
      </c>
      <c r="BC75" s="480">
        <f>BB79</f>
        <v>-12212.863572726648</v>
      </c>
      <c r="BD75" s="480">
        <f t="shared" ref="BD75:BE75" si="77">BC79</f>
        <v>-12223.040959037255</v>
      </c>
      <c r="BE75" s="480">
        <f t="shared" si="77"/>
        <v>-12223.040959037255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  <c r="BN75" s="480" t="str">
        <f>_xll.GLW_Segment_Description(BH75,2,2)</f>
        <v>INTEREST ON ENERGY DEFERRALS</v>
      </c>
    </row>
    <row r="76" spans="1:66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8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10.177386310605542</v>
      </c>
      <c r="BL76" s="498">
        <v>0</v>
      </c>
      <c r="BN76" s="480" t="str">
        <f>_xll.GLW_Segment_Description(BH76,2,2)</f>
        <v>INTEREST EXPENSE ENERGY DEFERRALS</v>
      </c>
    </row>
    <row r="77" spans="1:66">
      <c r="C77" s="479" t="s">
        <v>4</v>
      </c>
      <c r="D77" s="480">
        <f t="shared" ref="D77:D78" si="79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80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80"/>
        <v>-9.9593378331521034</v>
      </c>
      <c r="AD77" s="487">
        <f t="shared" si="80"/>
        <v>-9.9676372813463967</v>
      </c>
      <c r="AE77" s="487">
        <f t="shared" si="80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Q77" si="81">((AH75*(AH74/12))+((AH76/2)*(AH74/12)))</f>
        <v>-10.000904293850931</v>
      </c>
      <c r="AI77" s="487">
        <f t="shared" si="81"/>
        <v>-10.009238380762474</v>
      </c>
      <c r="AJ77" s="487">
        <f t="shared" si="81"/>
        <v>-10.017579412746443</v>
      </c>
      <c r="AK77" s="487">
        <f t="shared" si="81"/>
        <v>-10.025927395590397</v>
      </c>
      <c r="AL77" s="487">
        <f t="shared" si="81"/>
        <v>-10.034282335086724</v>
      </c>
      <c r="AM77" s="487">
        <f t="shared" si="81"/>
        <v>-10.042644237032629</v>
      </c>
      <c r="AN77" s="487">
        <f t="shared" si="81"/>
        <v>-10.051013107230158</v>
      </c>
      <c r="AO77" s="487">
        <f t="shared" si="81"/>
        <v>-10.059388951486183</v>
      </c>
      <c r="AP77" s="487">
        <f>((AP75*(AP74/12))+((AP76/2)*(AP74/12)))</f>
        <v>-10.067771775612421</v>
      </c>
      <c r="AQ77" s="487">
        <f t="shared" si="81"/>
        <v>-10.07616158542543</v>
      </c>
      <c r="AR77" s="487">
        <f t="shared" ref="AR77:AV77" si="82">((AR75*(AR74/12))+((AR76/2)*(AR74/12)))</f>
        <v>-10.084558386746618</v>
      </c>
      <c r="AS77" s="487">
        <f t="shared" si="82"/>
        <v>-10.092962185402241</v>
      </c>
      <c r="AT77" s="487">
        <f t="shared" si="82"/>
        <v>-10.10137298722341</v>
      </c>
      <c r="AU77" s="487">
        <f t="shared" si="82"/>
        <v>-10.109790798046095</v>
      </c>
      <c r="AV77" s="487">
        <f t="shared" si="82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B77" si="83">((AY75*(AY74/12))+((AY76/2)*(AY74/12)))</f>
        <v>-10.143532248241744</v>
      </c>
      <c r="AZ77" s="487">
        <f t="shared" si="83"/>
        <v>-10.151985191781945</v>
      </c>
      <c r="BA77" s="487">
        <f t="shared" si="83"/>
        <v>-10.160445179441764</v>
      </c>
      <c r="BB77" s="487">
        <f t="shared" si="83"/>
        <v>-10.168912217091298</v>
      </c>
      <c r="BC77" s="487">
        <f>((BC75*(BC74/12))+((BC76/2)*(BC74/12)))</f>
        <v>-10.177386310605542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10.177386310605542</v>
      </c>
      <c r="BN77" s="480" t="str">
        <f>_xll.GLW_Segment_Description(BH77,2,2)</f>
        <v>ID HOLDBACK</v>
      </c>
    </row>
    <row r="78" spans="1:66">
      <c r="C78" s="479" t="s">
        <v>148</v>
      </c>
      <c r="D78" s="480">
        <f t="shared" si="79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  <c r="BN78" s="480" t="str">
        <f>_xll.GLW_Segment_Description(BH78,2,2)</f>
        <v>AMORTIZE ID HOLDBACK</v>
      </c>
    </row>
    <row r="79" spans="1:66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4">SUM(W75:W78)</f>
        <v>-11901.532960675278</v>
      </c>
      <c r="X79" s="539">
        <f t="shared" si="84"/>
        <v>-11911.450904809175</v>
      </c>
      <c r="Y79" s="539">
        <f t="shared" si="84"/>
        <v>-11921.377113896517</v>
      </c>
      <c r="Z79" s="539">
        <f t="shared" si="84"/>
        <v>-11931.311594824763</v>
      </c>
      <c r="AA79" s="539">
        <f t="shared" si="84"/>
        <v>-11941.254354487117</v>
      </c>
      <c r="AB79" s="539">
        <f t="shared" si="84"/>
        <v>-11951.205399782522</v>
      </c>
      <c r="AC79" s="539">
        <f t="shared" si="84"/>
        <v>-11961.164737615674</v>
      </c>
      <c r="AD79" s="539">
        <f t="shared" si="84"/>
        <v>-11971.132374897021</v>
      </c>
      <c r="AE79" s="539">
        <f t="shared" si="84"/>
        <v>-11981.108318542769</v>
      </c>
      <c r="AF79" s="539">
        <f t="shared" si="84"/>
        <v>-11991.092575474888</v>
      </c>
      <c r="AG79" s="539">
        <f t="shared" si="84"/>
        <v>-12001.085152621117</v>
      </c>
      <c r="AH79" s="539">
        <f t="shared" si="84"/>
        <v>-12011.086056914968</v>
      </c>
      <c r="AI79" s="539">
        <f t="shared" si="84"/>
        <v>-12021.09529529573</v>
      </c>
      <c r="AJ79" s="539">
        <f t="shared" si="84"/>
        <v>-12031.112874708477</v>
      </c>
      <c r="AK79" s="539">
        <f t="shared" si="84"/>
        <v>-12041.138802104068</v>
      </c>
      <c r="AL79" s="539">
        <f t="shared" si="84"/>
        <v>-12051.173084439155</v>
      </c>
      <c r="AM79" s="539">
        <f t="shared" si="84"/>
        <v>-12061.215728676189</v>
      </c>
      <c r="AN79" s="539">
        <f t="shared" si="84"/>
        <v>-12071.266741783418</v>
      </c>
      <c r="AO79" s="539">
        <f t="shared" si="84"/>
        <v>-12081.326130734904</v>
      </c>
      <c r="AP79" s="539">
        <f t="shared" si="84"/>
        <v>-12091.393902510516</v>
      </c>
      <c r="AQ79" s="539">
        <f t="shared" si="84"/>
        <v>-12101.470064095942</v>
      </c>
      <c r="AR79" s="539">
        <f t="shared" si="84"/>
        <v>-12111.554622482689</v>
      </c>
      <c r="AS79" s="539">
        <f>SUM(AS75:AS78)</f>
        <v>-12121.647584668091</v>
      </c>
      <c r="AT79" s="539">
        <f t="shared" ref="AT79:BD79" si="85">SUM(AT75:AT78)</f>
        <v>-12131.748957655314</v>
      </c>
      <c r="AU79" s="539">
        <f t="shared" si="85"/>
        <v>-12141.85874845336</v>
      </c>
      <c r="AV79" s="539">
        <f>SUM(AV75:AV78)</f>
        <v>-12151.976964077072</v>
      </c>
      <c r="AW79" s="539">
        <f t="shared" si="85"/>
        <v>-12162.103611547136</v>
      </c>
      <c r="AX79" s="539">
        <f t="shared" si="85"/>
        <v>-12172.238697890092</v>
      </c>
      <c r="AY79" s="539">
        <f t="shared" si="85"/>
        <v>-12182.382230138333</v>
      </c>
      <c r="AZ79" s="539">
        <f t="shared" si="85"/>
        <v>-12192.534215330115</v>
      </c>
      <c r="BA79" s="539">
        <f t="shared" si="85"/>
        <v>-12202.694660509556</v>
      </c>
      <c r="BB79" s="539">
        <f t="shared" si="85"/>
        <v>-12212.863572726648</v>
      </c>
      <c r="BC79" s="539">
        <f t="shared" si="85"/>
        <v>-12223.040959037255</v>
      </c>
      <c r="BD79" s="539">
        <f t="shared" si="85"/>
        <v>-12223.040959037255</v>
      </c>
      <c r="BE79" s="539">
        <f>SUM(BE75:BE78)</f>
        <v>-12223.040959037255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  <c r="BN79" s="480" t="str">
        <f>_xll.GLW_Segment_Description(BH79,2,2)</f>
        <v>ID HOLDBACK</v>
      </c>
    </row>
    <row r="80" spans="1:66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  <c r="BN80" s="480" t="str">
        <f>_xll.GLW_Segment_Description(BH80,2,2)</f>
        <v>INTEREST EXPENSE ENERGY DEFERRALS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6">W79-W80</f>
        <v>1.7039324720826698E-2</v>
      </c>
      <c r="X81" s="480">
        <f t="shared" si="86"/>
        <v>1.9095190824373276E-2</v>
      </c>
      <c r="Y81" s="480">
        <f t="shared" si="86"/>
        <v>2.2886103482960607E-2</v>
      </c>
      <c r="Z81" s="480">
        <f t="shared" si="86"/>
        <v>1.8405175236694049E-2</v>
      </c>
      <c r="AA81" s="480">
        <f t="shared" si="86"/>
        <v>1.5645512883565971E-2</v>
      </c>
      <c r="AB81" s="480">
        <f t="shared" si="86"/>
        <v>1.4600217476981925E-2</v>
      </c>
      <c r="AC81" s="480">
        <f t="shared" si="86"/>
        <v>1.5262384325978928E-2</v>
      </c>
      <c r="AD81" s="480">
        <f t="shared" si="86"/>
        <v>1.7625102978854557E-2</v>
      </c>
      <c r="AE81" s="480">
        <f t="shared" si="86"/>
        <v>2.1681457230442902E-2</v>
      </c>
      <c r="AF81" s="480">
        <f t="shared" si="86"/>
        <v>1.7424525112801348E-2</v>
      </c>
      <c r="AG81" s="480">
        <f t="shared" si="86"/>
        <v>1.4847378883132478E-2</v>
      </c>
      <c r="AH81" s="480">
        <f t="shared" si="86"/>
        <v>1.3943085032224189E-2</v>
      </c>
      <c r="AI81" s="480">
        <f t="shared" si="86"/>
        <v>1.4704704270116054E-2</v>
      </c>
      <c r="AJ81" s="480">
        <f t="shared" si="86"/>
        <v>1.7125291522461339E-2</v>
      </c>
      <c r="AK81" s="480">
        <f t="shared" si="86"/>
        <v>2.1197895932346E-2</v>
      </c>
      <c r="AL81" s="480">
        <f t="shared" si="86"/>
        <v>1.6915560845518485E-2</v>
      </c>
      <c r="AM81" s="480">
        <f t="shared" si="86"/>
        <v>1.4271323811044567E-2</v>
      </c>
      <c r="AN81" s="480">
        <f t="shared" si="86"/>
        <v>1.3258216582471505E-2</v>
      </c>
      <c r="AO81" s="480">
        <f t="shared" si="86"/>
        <v>1.3869265096218442E-2</v>
      </c>
      <c r="AP81" s="480">
        <f t="shared" si="86"/>
        <v>1.6097489484309335E-2</v>
      </c>
      <c r="AQ81" s="480">
        <f t="shared" si="86"/>
        <v>1.9935904058002052E-2</v>
      </c>
      <c r="AR81" s="480">
        <f t="shared" si="86"/>
        <v>1.5377517311208067E-2</v>
      </c>
      <c r="AS81" s="480">
        <f t="shared" si="86"/>
        <v>1.2415331908414373E-2</v>
      </c>
      <c r="AT81" s="480">
        <f t="shared" si="86"/>
        <v>1.1042344685847638E-2</v>
      </c>
      <c r="AU81" s="480">
        <f t="shared" si="86"/>
        <v>1.1251546640778542E-2</v>
      </c>
      <c r="AV81" s="480">
        <f t="shared" si="86"/>
        <v>1.3035922927883803E-2</v>
      </c>
      <c r="AW81" s="480">
        <f t="shared" si="86"/>
        <v>1.638845286470314E-2</v>
      </c>
      <c r="AX81" s="480">
        <f t="shared" si="86"/>
        <v>2.1302109907992417E-2</v>
      </c>
      <c r="AY81" s="480">
        <f t="shared" si="86"/>
        <v>1.7769861666238285E-2</v>
      </c>
      <c r="AZ81" s="480">
        <f t="shared" si="86"/>
        <v>1.5784669883942115E-2</v>
      </c>
      <c r="BA81" s="480">
        <f t="shared" si="86"/>
        <v>1.5339490442784154E-2</v>
      </c>
      <c r="BB81" s="480">
        <f t="shared" si="86"/>
        <v>1.6427273350927862E-2</v>
      </c>
      <c r="BC81" s="480">
        <f t="shared" si="86"/>
        <v>-10.160959037255452</v>
      </c>
      <c r="BD81" s="480">
        <f t="shared" si="86"/>
        <v>-10.160959037255452</v>
      </c>
      <c r="BE81" s="480">
        <f t="shared" si="86"/>
        <v>-12223.040959037255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691" priority="26" operator="notEqual">
      <formula>F27</formula>
    </cfRule>
  </conditionalFormatting>
  <conditionalFormatting sqref="G28">
    <cfRule type="cellIs" dxfId="690" priority="25" operator="notEqual">
      <formula>G27</formula>
    </cfRule>
  </conditionalFormatting>
  <conditionalFormatting sqref="H28">
    <cfRule type="cellIs" dxfId="689" priority="24" operator="notEqual">
      <formula>H27</formula>
    </cfRule>
  </conditionalFormatting>
  <conditionalFormatting sqref="I28">
    <cfRule type="cellIs" dxfId="688" priority="23" operator="notEqual">
      <formula>I27</formula>
    </cfRule>
  </conditionalFormatting>
  <conditionalFormatting sqref="D28">
    <cfRule type="cellIs" dxfId="687" priority="22" operator="notEqual">
      <formula>D27</formula>
    </cfRule>
  </conditionalFormatting>
  <conditionalFormatting sqref="G61">
    <cfRule type="cellIs" dxfId="686" priority="21" operator="notEqual">
      <formula>G60</formula>
    </cfRule>
  </conditionalFormatting>
  <conditionalFormatting sqref="H61">
    <cfRule type="cellIs" dxfId="685" priority="20" operator="notEqual">
      <formula>H60</formula>
    </cfRule>
  </conditionalFormatting>
  <conditionalFormatting sqref="I61">
    <cfRule type="cellIs" dxfId="684" priority="19" operator="notEqual">
      <formula>I60</formula>
    </cfRule>
  </conditionalFormatting>
  <conditionalFormatting sqref="D61">
    <cfRule type="cellIs" dxfId="683" priority="18" operator="notEqual">
      <formula>D60</formula>
    </cfRule>
  </conditionalFormatting>
  <conditionalFormatting sqref="J61">
    <cfRule type="cellIs" dxfId="682" priority="17" operator="notEqual">
      <formula>J60</formula>
    </cfRule>
  </conditionalFormatting>
  <conditionalFormatting sqref="BL81 BL48 BL11">
    <cfRule type="cellIs" dxfId="681" priority="16" operator="notEqual">
      <formula>0</formula>
    </cfRule>
  </conditionalFormatting>
  <conditionalFormatting sqref="J28">
    <cfRule type="cellIs" dxfId="680" priority="15" operator="notEqual">
      <formula>J27</formula>
    </cfRule>
  </conditionalFormatting>
  <conditionalFormatting sqref="K28">
    <cfRule type="cellIs" dxfId="679" priority="14" operator="notEqual">
      <formula>K27</formula>
    </cfRule>
  </conditionalFormatting>
  <conditionalFormatting sqref="K61">
    <cfRule type="cellIs" dxfId="678" priority="13" operator="notEqual">
      <formula>K60</formula>
    </cfRule>
  </conditionalFormatting>
  <conditionalFormatting sqref="L28">
    <cfRule type="cellIs" dxfId="677" priority="12" operator="notEqual">
      <formula>L27</formula>
    </cfRule>
  </conditionalFormatting>
  <conditionalFormatting sqref="L61">
    <cfRule type="cellIs" dxfId="676" priority="11" operator="notEqual">
      <formula>L60</formula>
    </cfRule>
  </conditionalFormatting>
  <conditionalFormatting sqref="M28:N28">
    <cfRule type="cellIs" dxfId="675" priority="10" operator="notEqual">
      <formula>M27</formula>
    </cfRule>
  </conditionalFormatting>
  <conditionalFormatting sqref="O28">
    <cfRule type="cellIs" dxfId="674" priority="9" operator="notEqual">
      <formula>O27</formula>
    </cfRule>
  </conditionalFormatting>
  <conditionalFormatting sqref="V61">
    <cfRule type="cellIs" dxfId="673" priority="8" operator="notEqual">
      <formula>V60</formula>
    </cfRule>
  </conditionalFormatting>
  <conditionalFormatting sqref="V28:W28">
    <cfRule type="cellIs" dxfId="672" priority="7" operator="notEqual">
      <formula>V27</formula>
    </cfRule>
  </conditionalFormatting>
  <conditionalFormatting sqref="W28">
    <cfRule type="cellIs" dxfId="671" priority="6" operator="notEqual">
      <formula>W27</formula>
    </cfRule>
  </conditionalFormatting>
  <conditionalFormatting sqref="W61">
    <cfRule type="cellIs" dxfId="670" priority="5" operator="notEqual">
      <formula>W60</formula>
    </cfRule>
  </conditionalFormatting>
  <conditionalFormatting sqref="X28">
    <cfRule type="cellIs" dxfId="669" priority="4" operator="notEqual">
      <formula>X27</formula>
    </cfRule>
  </conditionalFormatting>
  <conditionalFormatting sqref="X61">
    <cfRule type="cellIs" dxfId="668" priority="3" operator="notEqual">
      <formula>X60</formula>
    </cfRule>
  </conditionalFormatting>
  <conditionalFormatting sqref="Y28:Z28">
    <cfRule type="cellIs" dxfId="667" priority="2" operator="notEqual">
      <formula>Y27</formula>
    </cfRule>
  </conditionalFormatting>
  <conditionalFormatting sqref="AA28">
    <cfRule type="cellIs" dxfId="666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M84"/>
  <sheetViews>
    <sheetView showGridLines="0" zoomScale="70" zoomScaleNormal="70" zoomScaleSheetLayoutView="85" workbookViewId="0">
      <pane xSplit="2" ySplit="3" topLeftCell="AT20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hidden="1" customWidth="1"/>
    <col min="43" max="43" width="18.140625" style="480" hidden="1" customWidth="1"/>
    <col min="44" max="44" width="17.7109375" style="480" hidden="1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53" width="17.42578125" style="480" customWidth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5">
      <c r="A1" s="478" t="s">
        <v>262</v>
      </c>
      <c r="BF1" s="478" t="s">
        <v>312</v>
      </c>
      <c r="BI1" s="481" t="s">
        <v>333</v>
      </c>
      <c r="BJ1" s="481"/>
    </row>
    <row r="2" spans="1:65">
      <c r="A2" s="481" t="s">
        <v>263</v>
      </c>
    </row>
    <row r="3" spans="1:65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5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3.9600000000000003E-2</v>
      </c>
      <c r="AZ4" s="617">
        <v>3.9600000000000003E-2</v>
      </c>
      <c r="BA4" s="617">
        <v>3.9600000000000003E-2</v>
      </c>
      <c r="BB4" s="617">
        <v>3.7100000000000001E-2</v>
      </c>
      <c r="BC4" s="617">
        <v>3.7100000000000001E-2</v>
      </c>
      <c r="BD4" s="617">
        <v>3.7100000000000001E-2</v>
      </c>
      <c r="BE4" s="577"/>
      <c r="BF4" s="542">
        <v>201709</v>
      </c>
      <c r="BG4" s="524"/>
      <c r="BH4" s="512"/>
      <c r="BI4" s="512"/>
      <c r="BJ4" s="512"/>
      <c r="BK4" s="513"/>
    </row>
    <row r="5" spans="1:65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558">
        <f t="shared" si="5"/>
        <v>-15173451.409781789</v>
      </c>
      <c r="AX5" s="480">
        <f t="shared" si="5"/>
        <v>-15098116.96234579</v>
      </c>
      <c r="AY5" s="480">
        <f>AX13</f>
        <v>-14771177.38731979</v>
      </c>
      <c r="AZ5" s="558">
        <f t="shared" ref="AZ5" si="6">AY13</f>
        <v>-15909772.702550791</v>
      </c>
      <c r="BA5" s="480">
        <f>AZ13</f>
        <v>-16977268.897435792</v>
      </c>
      <c r="BB5" s="480">
        <f t="shared" ref="BB5" si="7">BA13</f>
        <v>-18962414.798894793</v>
      </c>
      <c r="BC5" s="480">
        <f>BB13</f>
        <v>-21946401.053472787</v>
      </c>
      <c r="BD5" s="480">
        <f t="shared" ref="BD5" si="8">BC13</f>
        <v>-7913199.1729997844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  <c r="BM5" s="480" t="str">
        <f>_xll.GLW_Segment_Description(BG5,2,2)</f>
        <v>INTEREST ON ENERGY DEFERRALS</v>
      </c>
    </row>
    <row r="6" spans="1:65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59202.79</v>
      </c>
      <c r="BK6" s="498">
        <v>0</v>
      </c>
      <c r="BM6" s="480" t="str">
        <f>_xll.GLW_Segment_Description(BG6,2,2)</f>
        <v>INTEREST EXPENSE ENERGY DEFERRALS</v>
      </c>
    </row>
    <row r="7" spans="1:65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1985145.9014589998</v>
      </c>
      <c r="BM7" s="480" t="str">
        <f>_xll.GLW_Segment_Description(BG7,2,2)</f>
        <v>CURR UNRECOV PGA DEFERRED</v>
      </c>
    </row>
    <row r="8" spans="1:65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11">ROUND(((AR5)*(AR4/12))+((SUM(AR6:AR7)/2)*(AR4/12)),2)</f>
        <v>-14406.68</v>
      </c>
      <c r="AS8" s="555">
        <f t="shared" si="11"/>
        <v>-24852.09</v>
      </c>
      <c r="AT8" s="555">
        <f t="shared" si="11"/>
        <v>-32890.959999999999</v>
      </c>
      <c r="AU8" s="555">
        <f t="shared" si="11"/>
        <v>-38340.61</v>
      </c>
      <c r="AV8" s="555">
        <f t="shared" si="11"/>
        <v>-45012.82</v>
      </c>
      <c r="AW8" s="555">
        <f t="shared" si="11"/>
        <v>-46722.57</v>
      </c>
      <c r="AX8" s="555">
        <f>ROUND(((AX5)*(AX4/12))+((SUM(AX6:AX7)/2)*(AX4/12)),2)</f>
        <v>-46101.69</v>
      </c>
      <c r="AY8" s="555">
        <f t="shared" ref="AY8:BA8" si="12">ROUND(((AY5)*(AY4/12))+((SUM(AY6:AY7)/2)*(AY4/12)),2)</f>
        <v>-50540.18</v>
      </c>
      <c r="AZ8" s="555">
        <f>ROUND(((AZ5)*(AZ4/12))+((SUM(AZ6:AZ7)/2)*(AZ4/12)),2)</f>
        <v>-54174.23</v>
      </c>
      <c r="BA8" s="555">
        <f t="shared" si="12"/>
        <v>-59202.79</v>
      </c>
      <c r="BB8" s="555">
        <f>ROUND(((BB5)*(BB4/12))+((SUM(BB6:BB7)/2)*(BB4/12)),2)</f>
        <v>-63140.61</v>
      </c>
      <c r="BC8" s="555">
        <f>ROUND(((BC5+BC9+BC10+BC11)*(BC4/12))+((SUM(BC6:BC7)/2)*(BC4/12)),2)</f>
        <v>-23288.19</v>
      </c>
      <c r="BD8" s="487">
        <f>ROUND(((BD5)*(BD4/12))+((SUM(BD6:BD7)/2)*(BD4/12)),2)</f>
        <v>-30229.17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1925943.1114589998</v>
      </c>
      <c r="BK8" s="498">
        <f>IF((SUMIF(AG3:BD3,BF4,AG6:BD6)+SUMIF(AG3:BD3,BF4,AG7:BD7))&gt;0,(SUMIF(AG3:BD3,BF4,AG6:BD6)+SUMIF(AG3:BD3,BF4,AG7:BD7)),0)</f>
        <v>0</v>
      </c>
      <c r="BM8" s="480" t="str">
        <f>_xll.GLW_Segment_Description(BG8,2,2)</f>
        <v>DEFER CURRENT UNRECOVERED GAS COSTS</v>
      </c>
    </row>
    <row r="9" spans="1:65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  <c r="BM9" s="480" t="str">
        <f>_xll.GLW_Segment_Description(BG9,2,2)</f>
        <v>CURR UNRECOV PGA DEFERRED</v>
      </c>
    </row>
    <row r="10" spans="1:65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  <c r="BM10" s="480" t="str">
        <f>_xll.GLW_Segment_Description(BG10,2,2)</f>
        <v>RECOVERABLE GAS COSTS AMORTIZED</v>
      </c>
    </row>
    <row r="11" spans="1:65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5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5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3">SUM(F5:F12)</f>
        <v>2255013.9900000002</v>
      </c>
      <c r="G13" s="539">
        <f>SUM(G5:G12)</f>
        <v>-33498.738666789999</v>
      </c>
      <c r="H13" s="539">
        <f t="shared" si="13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4">SUM(V5:V12)</f>
        <v>-1694440.0214187815</v>
      </c>
      <c r="W13" s="539">
        <f t="shared" si="14"/>
        <v>-683405.33395377884</v>
      </c>
      <c r="X13" s="539">
        <f t="shared" si="14"/>
        <v>-2769396.4708657796</v>
      </c>
      <c r="Y13" s="539">
        <f>SUM(Y5:Y12)</f>
        <v>-2940906.6891037785</v>
      </c>
      <c r="Z13" s="539">
        <f t="shared" ref="Z13:AE13" si="15">SUM(Z5:Z12)</f>
        <v>-3112721.2246137792</v>
      </c>
      <c r="AA13" s="539">
        <f t="shared" si="15"/>
        <v>-3464489.8670317773</v>
      </c>
      <c r="AB13" s="539">
        <f t="shared" si="15"/>
        <v>-3555298.2266717753</v>
      </c>
      <c r="AC13" s="539">
        <f t="shared" si="15"/>
        <v>-4755858.0107337767</v>
      </c>
      <c r="AD13" s="539">
        <f t="shared" si="15"/>
        <v>-5900360.3440987766</v>
      </c>
      <c r="AE13" s="539">
        <f t="shared" si="15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6">SUM(AI5:AI12)</f>
        <v>-10398819.535470769</v>
      </c>
      <c r="AJ13" s="539">
        <f t="shared" si="16"/>
        <v>-12153304.785960769</v>
      </c>
      <c r="AK13" s="539">
        <f t="shared" si="16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6"/>
        <v>-15660034.00335677</v>
      </c>
      <c r="AO13" s="539">
        <f>SUM(AO5:AO12)</f>
        <v>-16306032.832939774</v>
      </c>
      <c r="AP13" s="539">
        <f t="shared" si="16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7">SUM(AV5:AV12)</f>
        <v>-15173451.409781789</v>
      </c>
      <c r="AW13" s="539">
        <f t="shared" si="17"/>
        <v>-15098116.96234579</v>
      </c>
      <c r="AX13" s="539">
        <f>SUM(AX5:AX12)</f>
        <v>-14771177.38731979</v>
      </c>
      <c r="AY13" s="539">
        <f t="shared" ref="AY13:AZ13" si="18">SUM(AY5:AY12)</f>
        <v>-15909772.702550791</v>
      </c>
      <c r="AZ13" s="539">
        <f t="shared" si="18"/>
        <v>-16977268.897435792</v>
      </c>
      <c r="BA13" s="539">
        <f>SUM(BA5:BA12)</f>
        <v>-18962414.798894793</v>
      </c>
      <c r="BB13" s="539">
        <f t="shared" ref="BB13" si="19">SUM(BB5:BB12)</f>
        <v>-21946401.053472787</v>
      </c>
      <c r="BC13" s="602">
        <f>SUM(BC5:BC12)</f>
        <v>-7913199.1729997844</v>
      </c>
      <c r="BD13" s="539">
        <f>SUM(BD5:BD12)</f>
        <v>-11672286.129853783</v>
      </c>
    </row>
    <row r="14" spans="1:65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558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5">
      <c r="B15" s="479" t="s">
        <v>243</v>
      </c>
      <c r="E15" s="480">
        <f t="shared" ref="E15:H15" si="20">E13-E14</f>
        <v>1.0000000242143869E-2</v>
      </c>
      <c r="F15" s="480">
        <f t="shared" si="20"/>
        <v>1.0000000242143869E-2</v>
      </c>
      <c r="G15" s="480">
        <f t="shared" si="20"/>
        <v>1.1333210000884719E-2</v>
      </c>
      <c r="H15" s="480">
        <f t="shared" si="20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1">V13-V14</f>
        <v>-1.418781466782093E-3</v>
      </c>
      <c r="W15" s="480">
        <f t="shared" si="21"/>
        <v>-3.9537788834422827E-3</v>
      </c>
      <c r="X15" s="480">
        <f t="shared" si="21"/>
        <v>-8.6577935144305229E-4</v>
      </c>
      <c r="Y15" s="480">
        <f t="shared" si="21"/>
        <v>8.9622149243950844E-4</v>
      </c>
      <c r="Z15" s="480">
        <f t="shared" si="21"/>
        <v>5.3862207569181919E-3</v>
      </c>
      <c r="AA15" s="480">
        <f t="shared" si="21"/>
        <v>2.9682228341698647E-3</v>
      </c>
      <c r="AB15" s="480">
        <f t="shared" si="21"/>
        <v>3.3282246440649033E-3</v>
      </c>
      <c r="AC15" s="480">
        <f t="shared" si="21"/>
        <v>-7.3377694934606552E-4</v>
      </c>
      <c r="AD15" s="480">
        <f t="shared" si="21"/>
        <v>-4.0987767279148102E-3</v>
      </c>
      <c r="AE15" s="480">
        <f t="shared" si="21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2">AH13-AH14</f>
        <v>5.9522874653339386E-4</v>
      </c>
      <c r="AI15" s="480">
        <f t="shared" si="22"/>
        <v>4.5292302966117859E-3</v>
      </c>
      <c r="AJ15" s="480">
        <f t="shared" si="22"/>
        <v>4.0392298251390457E-3</v>
      </c>
      <c r="AK15" s="480">
        <f t="shared" si="22"/>
        <v>7.895229384303093E-3</v>
      </c>
      <c r="AL15" s="480">
        <f t="shared" si="22"/>
        <v>5.0072316080331802E-3</v>
      </c>
      <c r="AM15" s="480">
        <f>AM13-AM14</f>
        <v>2.2832304239273071E-3</v>
      </c>
      <c r="AN15" s="480">
        <f t="shared" si="22"/>
        <v>6.6432300955057144E-3</v>
      </c>
      <c r="AO15" s="480">
        <f t="shared" si="22"/>
        <v>7.0602260529994965E-3</v>
      </c>
      <c r="AP15" s="480">
        <f t="shared" si="22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3">AT13-AT14</f>
        <v>1.8762214109301567E-2</v>
      </c>
      <c r="AU15" s="480">
        <f t="shared" si="23"/>
        <v>1.8333211541175842E-2</v>
      </c>
      <c r="AV15" s="480">
        <f t="shared" si="23"/>
        <v>2.021821029484272E-2</v>
      </c>
      <c r="AW15" s="480">
        <f t="shared" si="23"/>
        <v>1.7654210329055786E-2</v>
      </c>
      <c r="AX15" s="480">
        <f t="shared" si="23"/>
        <v>1.2680210173130035E-2</v>
      </c>
      <c r="AY15" s="480">
        <f t="shared" si="23"/>
        <v>1.7449209466576576E-2</v>
      </c>
      <c r="AZ15" s="480">
        <f t="shared" si="23"/>
        <v>1.256420835852623E-2</v>
      </c>
      <c r="BA15" s="480">
        <f t="shared" si="23"/>
        <v>1.1105205863714218E-2</v>
      </c>
      <c r="BB15" s="480">
        <f t="shared" si="23"/>
        <v>-2983986.2434727885</v>
      </c>
      <c r="BC15" s="480">
        <f>BC13-BC14</f>
        <v>11049215.637000214</v>
      </c>
      <c r="BD15" s="480">
        <f>BD13-BD14</f>
        <v>-11672286.129853783</v>
      </c>
    </row>
    <row r="16" spans="1:65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4">U18+1</f>
        <v>201502</v>
      </c>
      <c r="W18" s="482">
        <f t="shared" si="24"/>
        <v>201503</v>
      </c>
      <c r="X18" s="482">
        <f t="shared" si="24"/>
        <v>201504</v>
      </c>
      <c r="Y18" s="482">
        <f t="shared" si="24"/>
        <v>201505</v>
      </c>
      <c r="Z18" s="482">
        <f t="shared" si="24"/>
        <v>201506</v>
      </c>
      <c r="AA18" s="482">
        <f t="shared" si="24"/>
        <v>201507</v>
      </c>
      <c r="AB18" s="482">
        <f t="shared" si="24"/>
        <v>201508</v>
      </c>
      <c r="AC18" s="482">
        <f t="shared" si="24"/>
        <v>201509</v>
      </c>
      <c r="AD18" s="482">
        <f t="shared" si="24"/>
        <v>201510</v>
      </c>
      <c r="AE18" s="482">
        <f>AD18+1</f>
        <v>201511</v>
      </c>
      <c r="AF18" s="482">
        <f t="shared" ref="AF18" si="25">AE18+1</f>
        <v>201512</v>
      </c>
      <c r="AG18" s="482">
        <v>201601</v>
      </c>
      <c r="AH18" s="482">
        <f>AG18+1</f>
        <v>201602</v>
      </c>
      <c r="AI18" s="482">
        <f t="shared" ref="AI18:AR18" si="26">AH18+1</f>
        <v>201603</v>
      </c>
      <c r="AJ18" s="482">
        <f t="shared" si="26"/>
        <v>201604</v>
      </c>
      <c r="AK18" s="482">
        <f t="shared" si="26"/>
        <v>201605</v>
      </c>
      <c r="AL18" s="482">
        <f t="shared" si="26"/>
        <v>201606</v>
      </c>
      <c r="AM18" s="482">
        <f t="shared" si="26"/>
        <v>201607</v>
      </c>
      <c r="AN18" s="482">
        <f t="shared" si="26"/>
        <v>201608</v>
      </c>
      <c r="AO18" s="482">
        <f t="shared" si="26"/>
        <v>201609</v>
      </c>
      <c r="AP18" s="482">
        <f t="shared" si="26"/>
        <v>201610</v>
      </c>
      <c r="AQ18" s="482">
        <f t="shared" si="26"/>
        <v>201611</v>
      </c>
      <c r="AR18" s="482">
        <f t="shared" si="26"/>
        <v>201612</v>
      </c>
      <c r="AS18" s="482">
        <f>AS3</f>
        <v>201701</v>
      </c>
      <c r="AT18" s="482">
        <f>AS18+1</f>
        <v>201702</v>
      </c>
      <c r="AU18" s="482">
        <f t="shared" ref="AU18:BD18" si="27">AT18+1</f>
        <v>201703</v>
      </c>
      <c r="AV18" s="482">
        <f t="shared" si="27"/>
        <v>201704</v>
      </c>
      <c r="AW18" s="482">
        <f t="shared" si="27"/>
        <v>201705</v>
      </c>
      <c r="AX18" s="482">
        <f t="shared" si="27"/>
        <v>201706</v>
      </c>
      <c r="AY18" s="482">
        <f t="shared" si="27"/>
        <v>201707</v>
      </c>
      <c r="AZ18" s="482">
        <f t="shared" si="27"/>
        <v>201708</v>
      </c>
      <c r="BA18" s="482">
        <f t="shared" si="27"/>
        <v>201709</v>
      </c>
      <c r="BB18" s="482">
        <f t="shared" si="27"/>
        <v>201710</v>
      </c>
      <c r="BC18" s="482">
        <f t="shared" si="27"/>
        <v>201711</v>
      </c>
      <c r="BD18" s="482">
        <f t="shared" si="27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620">
        <f>Jun!$G23</f>
        <v>2542069</v>
      </c>
      <c r="AY19" s="620">
        <f>Jul!$G23</f>
        <v>2070483</v>
      </c>
      <c r="AZ19" s="620">
        <f>Aug!$G23</f>
        <v>2080707</v>
      </c>
      <c r="BA19" s="620">
        <f>Sep!G23</f>
        <v>3147236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8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620">
        <f>Jun!$G24</f>
        <v>3619</v>
      </c>
      <c r="AY20" s="620">
        <f>Jul!$G24</f>
        <v>2296</v>
      </c>
      <c r="AZ20" s="620">
        <f>Aug!$G24</f>
        <v>2393</v>
      </c>
      <c r="BA20" s="620">
        <f>Sep!G24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8"/>
        <v>51323965</v>
      </c>
      <c r="D21" s="489">
        <f t="shared" ref="D21:D27" si="29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620">
        <f>Jun!$G25</f>
        <v>1878375</v>
      </c>
      <c r="AY21" s="620">
        <f>Jul!$G25</f>
        <v>1446879</v>
      </c>
      <c r="AZ21" s="620">
        <f>Aug!$G25</f>
        <v>1463939</v>
      </c>
      <c r="BA21" s="620">
        <f>Sep!G25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620"/>
      <c r="AY22" s="620"/>
      <c r="AZ22" s="620"/>
      <c r="BA22" s="620">
        <f>Sep!G26</f>
        <v>0</v>
      </c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8"/>
        <v>3609942</v>
      </c>
      <c r="D23" s="489">
        <f t="shared" si="29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620">
        <f>Jun!$G27</f>
        <v>289055</v>
      </c>
      <c r="AY23" s="620">
        <f>Jul!$G27</f>
        <v>274504</v>
      </c>
      <c r="AZ23" s="620">
        <f>Aug!$G27</f>
        <v>291721</v>
      </c>
      <c r="BA23" s="620">
        <f>Sep!G27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8"/>
        <v>0</v>
      </c>
      <c r="D24" s="489">
        <f t="shared" si="29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620"/>
      <c r="AY24" s="620"/>
      <c r="AZ24" s="620"/>
      <c r="BA24" s="620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8"/>
        <v>0</v>
      </c>
      <c r="D25" s="489">
        <f t="shared" si="29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620">
        <f>Jun!$G29</f>
        <v>0</v>
      </c>
      <c r="AY25" s="620">
        <f>Jul!$G29</f>
        <v>0</v>
      </c>
      <c r="AZ25" s="620">
        <f>Aug!$G29</f>
        <v>0</v>
      </c>
      <c r="BA25" s="620">
        <f>Sep!G29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8"/>
        <v>0</v>
      </c>
      <c r="D26" s="489">
        <f t="shared" si="29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620"/>
      <c r="AY26" s="620"/>
      <c r="AZ26" s="620"/>
      <c r="BA26" s="620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8"/>
        <v>35395192</v>
      </c>
      <c r="D27" s="489">
        <f t="shared" si="29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620">
        <f>Jun!$G31</f>
        <v>2531843</v>
      </c>
      <c r="AY27" s="620">
        <f>Jul!$G31</f>
        <v>2144434</v>
      </c>
      <c r="AZ27" s="620">
        <f>Aug!$G31</f>
        <v>2338940</v>
      </c>
      <c r="BA27" s="620">
        <f>Sep!G31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30">SUM(G19:G27)</f>
        <v>24054373</v>
      </c>
      <c r="H28" s="540">
        <f t="shared" si="30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1">SUM(V19:V27)</f>
        <v>21809394</v>
      </c>
      <c r="W28" s="540">
        <f t="shared" si="31"/>
        <v>17454090</v>
      </c>
      <c r="X28" s="540">
        <f t="shared" si="31"/>
        <v>14032685</v>
      </c>
      <c r="Y28" s="540">
        <f t="shared" si="31"/>
        <v>7651890</v>
      </c>
      <c r="Z28" s="540">
        <f t="shared" si="31"/>
        <v>5795038</v>
      </c>
      <c r="AA28" s="540">
        <f t="shared" si="31"/>
        <v>5628267</v>
      </c>
      <c r="AB28" s="540">
        <f t="shared" si="31"/>
        <v>5459507</v>
      </c>
      <c r="AC28" s="540">
        <f t="shared" si="31"/>
        <v>7409442</v>
      </c>
      <c r="AD28" s="540">
        <f t="shared" si="31"/>
        <v>10025335</v>
      </c>
      <c r="AE28" s="540">
        <f t="shared" si="31"/>
        <v>24443601</v>
      </c>
      <c r="AF28" s="540">
        <f t="shared" si="31"/>
        <v>29286544</v>
      </c>
      <c r="AG28" s="540">
        <f>SUM(AG19:AG27)</f>
        <v>40584714</v>
      </c>
      <c r="AH28" s="540">
        <f t="shared" si="31"/>
        <v>30357660</v>
      </c>
      <c r="AI28" s="540">
        <f t="shared" si="31"/>
        <v>23658883</v>
      </c>
      <c r="AJ28" s="540">
        <f t="shared" si="31"/>
        <v>16834972</v>
      </c>
      <c r="AK28" s="540">
        <f t="shared" si="31"/>
        <v>10179280</v>
      </c>
      <c r="AL28" s="540">
        <f>SUM(AL19:AL27)</f>
        <v>7244961</v>
      </c>
      <c r="AM28" s="540">
        <f>SUM(AM19:AM27)</f>
        <v>5938596</v>
      </c>
      <c r="AN28" s="540">
        <f t="shared" si="31"/>
        <v>6177700</v>
      </c>
      <c r="AO28" s="540">
        <f>SUM(AO19:AO27)</f>
        <v>7874888</v>
      </c>
      <c r="AP28" s="540">
        <f t="shared" si="31"/>
        <v>15813981</v>
      </c>
      <c r="AQ28" s="540">
        <f t="shared" si="31"/>
        <v>18553428</v>
      </c>
      <c r="AR28" s="540">
        <f t="shared" si="31"/>
        <v>36861159</v>
      </c>
      <c r="AS28" s="540">
        <f>SUM(AS19:AS27)</f>
        <v>40584714</v>
      </c>
      <c r="AT28" s="540">
        <f t="shared" ref="AT28:AW28" si="32">SUM(AT19:AT27)</f>
        <v>30357660</v>
      </c>
      <c r="AU28" s="540">
        <f t="shared" si="32"/>
        <v>23658883</v>
      </c>
      <c r="AV28" s="540">
        <f t="shared" si="32"/>
        <v>16834972</v>
      </c>
      <c r="AW28" s="540">
        <f t="shared" si="32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3">SUM(AZ19:AZ27)</f>
        <v>6177700</v>
      </c>
      <c r="BA28" s="540">
        <f>SUM(BA19:BA27)</f>
        <v>7874888</v>
      </c>
      <c r="BB28" s="540">
        <f t="shared" ref="BB28:BD28" si="34">SUM(BB19:BB27)</f>
        <v>6978145</v>
      </c>
      <c r="BC28" s="540">
        <f t="shared" si="34"/>
        <v>7201032</v>
      </c>
      <c r="BD28" s="540">
        <f t="shared" si="34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7244961</v>
      </c>
      <c r="AY29" s="489">
        <v>5938596</v>
      </c>
      <c r="AZ29" s="563">
        <v>6177700</v>
      </c>
      <c r="BA29" s="563">
        <v>7874888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5">U31+1</f>
        <v>201502</v>
      </c>
      <c r="W31" s="482">
        <f t="shared" si="35"/>
        <v>201503</v>
      </c>
      <c r="X31" s="482">
        <f t="shared" si="35"/>
        <v>201504</v>
      </c>
      <c r="Y31" s="482">
        <f t="shared" si="35"/>
        <v>201505</v>
      </c>
      <c r="Z31" s="482">
        <f t="shared" si="35"/>
        <v>201506</v>
      </c>
      <c r="AA31" s="482">
        <f t="shared" si="35"/>
        <v>201507</v>
      </c>
      <c r="AB31" s="482">
        <f t="shared" si="35"/>
        <v>201508</v>
      </c>
      <c r="AC31" s="482">
        <f t="shared" si="35"/>
        <v>201509</v>
      </c>
      <c r="AD31" s="482">
        <f t="shared" si="35"/>
        <v>201510</v>
      </c>
      <c r="AE31" s="482">
        <f>AD31+1</f>
        <v>201511</v>
      </c>
      <c r="AF31" s="482">
        <f t="shared" ref="AF31" si="36">AE31+1</f>
        <v>201512</v>
      </c>
      <c r="AG31" s="482">
        <v>201601</v>
      </c>
      <c r="AH31" s="482">
        <f>AG31+1</f>
        <v>201602</v>
      </c>
      <c r="AI31" s="482">
        <f t="shared" ref="AI31:AR31" si="37">AH31+1</f>
        <v>201603</v>
      </c>
      <c r="AJ31" s="482">
        <f t="shared" si="37"/>
        <v>201604</v>
      </c>
      <c r="AK31" s="482">
        <f t="shared" si="37"/>
        <v>201605</v>
      </c>
      <c r="AL31" s="482">
        <f t="shared" si="37"/>
        <v>201606</v>
      </c>
      <c r="AM31" s="482">
        <f t="shared" si="37"/>
        <v>201607</v>
      </c>
      <c r="AN31" s="482">
        <f t="shared" si="37"/>
        <v>201608</v>
      </c>
      <c r="AO31" s="482">
        <f t="shared" si="37"/>
        <v>201609</v>
      </c>
      <c r="AP31" s="482">
        <f t="shared" si="37"/>
        <v>201610</v>
      </c>
      <c r="AQ31" s="482">
        <f t="shared" si="37"/>
        <v>201611</v>
      </c>
      <c r="AR31" s="482">
        <f t="shared" si="37"/>
        <v>201612</v>
      </c>
      <c r="AS31" s="482">
        <f>AS3</f>
        <v>201701</v>
      </c>
      <c r="AT31" s="482">
        <f>AS31+1</f>
        <v>201702</v>
      </c>
      <c r="AU31" s="482">
        <f t="shared" ref="AU31:BD31" si="38">AT31+1</f>
        <v>201703</v>
      </c>
      <c r="AV31" s="482">
        <f t="shared" si="38"/>
        <v>201704</v>
      </c>
      <c r="AW31" s="482">
        <f t="shared" si="38"/>
        <v>201705</v>
      </c>
      <c r="AX31" s="482">
        <f t="shared" si="38"/>
        <v>201706</v>
      </c>
      <c r="AY31" s="482">
        <f t="shared" si="38"/>
        <v>201707</v>
      </c>
      <c r="AZ31" s="482">
        <f t="shared" si="38"/>
        <v>201708</v>
      </c>
      <c r="BA31" s="482">
        <f t="shared" si="38"/>
        <v>201709</v>
      </c>
      <c r="BB31" s="482">
        <f t="shared" si="38"/>
        <v>201710</v>
      </c>
      <c r="BC31" s="482">
        <f t="shared" si="38"/>
        <v>201711</v>
      </c>
      <c r="BD31" s="482">
        <f t="shared" si="38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6">
        <v>9.1740000000000002E-2</v>
      </c>
      <c r="AY32" s="616">
        <v>9.1740000000000002E-2</v>
      </c>
      <c r="AZ32" s="616">
        <v>9.1740000000000002E-2</v>
      </c>
      <c r="BA32" s="616">
        <v>9.1740000000000002E-2</v>
      </c>
      <c r="BB32" s="612">
        <v>2.571E-2</v>
      </c>
      <c r="BC32" s="494" t="s">
        <v>326</v>
      </c>
      <c r="BD32" s="494" t="s">
        <v>326</v>
      </c>
    </row>
    <row r="33" spans="1:65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6">
        <v>9.1740000000000002E-2</v>
      </c>
      <c r="AY33" s="616">
        <v>9.1740000000000002E-2</v>
      </c>
      <c r="AZ33" s="616">
        <v>9.1740000000000002E-2</v>
      </c>
      <c r="BA33" s="616">
        <v>9.1740000000000002E-2</v>
      </c>
      <c r="BB33" s="612">
        <v>2.571E-2</v>
      </c>
      <c r="BC33" s="494" t="s">
        <v>326</v>
      </c>
      <c r="BD33" s="494" t="s">
        <v>326</v>
      </c>
    </row>
    <row r="34" spans="1:65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6">
        <v>7.2489999999999999E-2</v>
      </c>
      <c r="AY34" s="616">
        <v>7.2489999999999999E-2</v>
      </c>
      <c r="AZ34" s="616">
        <v>7.2489999999999999E-2</v>
      </c>
      <c r="BA34" s="616">
        <v>7.2489999999999999E-2</v>
      </c>
      <c r="BB34" s="612">
        <v>1.372E-2</v>
      </c>
      <c r="BC34" s="494" t="s">
        <v>326</v>
      </c>
      <c r="BD34" s="494" t="s">
        <v>326</v>
      </c>
    </row>
    <row r="35" spans="1:65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6"/>
      <c r="AY35" s="616"/>
      <c r="AZ35" s="616"/>
      <c r="BA35" s="616"/>
      <c r="BB35" s="612"/>
      <c r="BC35" s="494"/>
      <c r="BD35" s="494"/>
    </row>
    <row r="36" spans="1:65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6">
        <v>4.4479999999999999E-2</v>
      </c>
      <c r="AY36" s="616">
        <v>4.4479999999999999E-2</v>
      </c>
      <c r="AZ36" s="616">
        <v>4.4479999999999999E-2</v>
      </c>
      <c r="BA36" s="616">
        <v>4.4479999999999999E-2</v>
      </c>
      <c r="BB36" s="612">
        <v>-5.2900000000000004E-3</v>
      </c>
      <c r="BC36" s="494" t="s">
        <v>326</v>
      </c>
      <c r="BD36" s="494" t="s">
        <v>326</v>
      </c>
    </row>
    <row r="37" spans="1:65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6"/>
      <c r="AY37" s="616"/>
      <c r="AZ37" s="616"/>
      <c r="BA37" s="616"/>
      <c r="BB37" s="612"/>
      <c r="BC37" s="494"/>
      <c r="BD37" s="494"/>
    </row>
    <row r="38" spans="1:65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6">
        <v>8.8340000000000002E-2</v>
      </c>
      <c r="AY38" s="616">
        <v>8.8340000000000002E-2</v>
      </c>
      <c r="AZ38" s="616">
        <v>8.8340000000000002E-2</v>
      </c>
      <c r="BA38" s="616">
        <v>8.8340000000000002E-2</v>
      </c>
      <c r="BB38" s="612">
        <v>1.635E-2</v>
      </c>
      <c r="BC38" s="494" t="s">
        <v>326</v>
      </c>
      <c r="BD38" s="494" t="s">
        <v>326</v>
      </c>
    </row>
    <row r="39" spans="1:65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6"/>
      <c r="AY39" s="616"/>
      <c r="AZ39" s="616"/>
      <c r="BA39" s="616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5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Y40" s="616">
        <v>0</v>
      </c>
      <c r="AZ40" s="616">
        <v>0</v>
      </c>
      <c r="BA40" s="616">
        <v>0</v>
      </c>
      <c r="BB40" s="612">
        <v>0</v>
      </c>
      <c r="BC40" s="494" t="s">
        <v>326</v>
      </c>
      <c r="BD40" s="494" t="s">
        <v>326</v>
      </c>
      <c r="BF40" s="511">
        <f>BF4</f>
        <v>201709</v>
      </c>
      <c r="BG40" s="524"/>
      <c r="BH40" s="512"/>
      <c r="BI40" s="512"/>
      <c r="BJ40" s="512"/>
      <c r="BK40" s="513"/>
    </row>
    <row r="41" spans="1:65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IF(SUMIF(AG3:BD3,BF4,AG46:BD46)&gt;0,SUMIF(AG3:BD3,BF4,AG46:BD46),0)</f>
        <v>652.17235920629469</v>
      </c>
      <c r="BM41" s="480" t="str">
        <f>_xll.GLW_Segment_Description(BG41,2,2)</f>
        <v>INTEREST ON ENERGY DEFERRALS</v>
      </c>
    </row>
    <row r="42" spans="1:65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9">U42+1</f>
        <v>201502</v>
      </c>
      <c r="W42" s="482">
        <f t="shared" si="39"/>
        <v>201503</v>
      </c>
      <c r="X42" s="482">
        <f t="shared" si="39"/>
        <v>201504</v>
      </c>
      <c r="Y42" s="482">
        <f t="shared" si="39"/>
        <v>201505</v>
      </c>
      <c r="Z42" s="482">
        <f t="shared" si="39"/>
        <v>201506</v>
      </c>
      <c r="AA42" s="482">
        <f t="shared" si="39"/>
        <v>201507</v>
      </c>
      <c r="AB42" s="482">
        <f t="shared" si="39"/>
        <v>201508</v>
      </c>
      <c r="AC42" s="482">
        <f t="shared" si="39"/>
        <v>201509</v>
      </c>
      <c r="AD42" s="482">
        <f t="shared" si="39"/>
        <v>201510</v>
      </c>
      <c r="AE42" s="482">
        <f>AD42+1</f>
        <v>201511</v>
      </c>
      <c r="AF42" s="482">
        <f t="shared" ref="AF42" si="40">AE42+1</f>
        <v>201512</v>
      </c>
      <c r="AG42" s="482">
        <v>201601</v>
      </c>
      <c r="AH42" s="482">
        <f>AG42+1</f>
        <v>201602</v>
      </c>
      <c r="AI42" s="482">
        <f t="shared" ref="AI42:AR42" si="41">AH42+1</f>
        <v>201603</v>
      </c>
      <c r="AJ42" s="482">
        <f t="shared" si="41"/>
        <v>201604</v>
      </c>
      <c r="AK42" s="482">
        <f t="shared" si="41"/>
        <v>201605</v>
      </c>
      <c r="AL42" s="482">
        <f t="shared" si="41"/>
        <v>201606</v>
      </c>
      <c r="AM42" s="482">
        <f t="shared" si="41"/>
        <v>201607</v>
      </c>
      <c r="AN42" s="482">
        <f t="shared" si="41"/>
        <v>201608</v>
      </c>
      <c r="AO42" s="482">
        <f t="shared" si="41"/>
        <v>201609</v>
      </c>
      <c r="AP42" s="482">
        <f t="shared" si="41"/>
        <v>201610</v>
      </c>
      <c r="AQ42" s="482">
        <f t="shared" si="41"/>
        <v>201611</v>
      </c>
      <c r="AR42" s="482">
        <f t="shared" si="41"/>
        <v>201612</v>
      </c>
      <c r="AS42" s="482">
        <f>AS3</f>
        <v>201701</v>
      </c>
      <c r="AT42" s="482">
        <f>AS42+1</f>
        <v>201702</v>
      </c>
      <c r="AU42" s="482">
        <f t="shared" ref="AU42:BD42" si="42">AT42+1</f>
        <v>201703</v>
      </c>
      <c r="AV42" s="482">
        <f t="shared" si="42"/>
        <v>201704</v>
      </c>
      <c r="AW42" s="482">
        <f t="shared" si="42"/>
        <v>201705</v>
      </c>
      <c r="AX42" s="482">
        <f t="shared" si="42"/>
        <v>201706</v>
      </c>
      <c r="AY42" s="482">
        <f t="shared" si="42"/>
        <v>201707</v>
      </c>
      <c r="AZ42" s="482">
        <f t="shared" si="42"/>
        <v>201708</v>
      </c>
      <c r="BA42" s="482">
        <f t="shared" si="42"/>
        <v>201709</v>
      </c>
      <c r="BB42" s="482">
        <f t="shared" si="42"/>
        <v>201710</v>
      </c>
      <c r="BC42" s="482">
        <f t="shared" si="42"/>
        <v>201711</v>
      </c>
      <c r="BD42" s="482">
        <f t="shared" si="42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0</v>
      </c>
      <c r="BK42" s="498">
        <v>0</v>
      </c>
      <c r="BM42" s="480" t="str">
        <f>_xll.GLW_Segment_Description(BG42,2,2)</f>
        <v>INTEREST EXPENSE ENERGY DEFERRALS</v>
      </c>
    </row>
    <row r="43" spans="1:65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617">
        <v>3.7100000000000001E-2</v>
      </c>
      <c r="AY43" s="617">
        <v>3.9600000000000003E-2</v>
      </c>
      <c r="AZ43" s="617">
        <v>3.9600000000000003E-2</v>
      </c>
      <c r="BA43" s="617">
        <v>3.9600000000000003E-2</v>
      </c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462206.62300920626</v>
      </c>
      <c r="BK43" s="498">
        <f>IF((SUMIF(Q42:BD42,BF40,Q45:BD45)+SUMIF(Q42:BD42,BF40,Q46:BD46))&lt;0,-(SUMIF(Q42:BD42,BF40,Q45:BD45)+SUMIF(Q42:BD42,BF40,Q46:BD46)),0)</f>
        <v>0</v>
      </c>
      <c r="BM43" s="480" t="str">
        <f>_xll.GLW_Segment_Description(BG43,2,2)</f>
        <v>RECOVERABLE GAS COSTS AMORTIZED</v>
      </c>
    </row>
    <row r="44" spans="1:65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3">AE49</f>
        <v>-2966848.8846008489</v>
      </c>
      <c r="AG44" s="480">
        <f t="shared" si="43"/>
        <v>-2400830.7877258095</v>
      </c>
      <c r="AH44" s="480">
        <f t="shared" si="43"/>
        <v>-1799942.4443073752</v>
      </c>
      <c r="AI44" s="480">
        <f t="shared" si="43"/>
        <v>-1367080.388300563</v>
      </c>
      <c r="AJ44" s="480">
        <f t="shared" si="43"/>
        <v>-991269.16134300514</v>
      </c>
      <c r="AK44" s="480">
        <f t="shared" si="43"/>
        <v>-820633.96798459429</v>
      </c>
      <c r="AL44" s="480">
        <f>AK49</f>
        <v>-706831.28344430251</v>
      </c>
      <c r="AM44" s="480">
        <f t="shared" ref="AM44:AT44" si="44">AL49</f>
        <v>-615740.82707996247</v>
      </c>
      <c r="AN44" s="480">
        <f t="shared" si="44"/>
        <v>-539081.43298013532</v>
      </c>
      <c r="AO44" s="480">
        <f t="shared" si="44"/>
        <v>-459570.5002163836</v>
      </c>
      <c r="AP44" s="480">
        <f t="shared" si="44"/>
        <v>-353667.8760235564</v>
      </c>
      <c r="AQ44" s="558">
        <f t="shared" si="44"/>
        <v>-123445.19123732927</v>
      </c>
      <c r="AR44" s="480">
        <f t="shared" si="44"/>
        <v>-12794629.54065969</v>
      </c>
      <c r="AS44" s="480">
        <f t="shared" si="44"/>
        <v>-9990002.7430699486</v>
      </c>
      <c r="AT44" s="480">
        <f t="shared" si="44"/>
        <v>-6863930.3518781429</v>
      </c>
      <c r="AU44" s="480">
        <f>AT49</f>
        <v>-4576506.6383892084</v>
      </c>
      <c r="AV44" s="480">
        <f t="shared" ref="AV44:AW44" si="45">AU49</f>
        <v>-2850780.7220049934</v>
      </c>
      <c r="AW44" s="558">
        <f t="shared" si="45"/>
        <v>-1667508.1164393995</v>
      </c>
      <c r="AX44" s="480">
        <f>AW49</f>
        <v>-1028322.8285985981</v>
      </c>
      <c r="AY44" s="480">
        <f t="shared" ref="AY44" si="46">AX49</f>
        <v>-648348.69566836057</v>
      </c>
      <c r="AZ44" s="558">
        <f>AY49</f>
        <v>-342730.3402196177</v>
      </c>
      <c r="BA44" s="480">
        <f>AZ49</f>
        <v>-33149.237686728884</v>
      </c>
      <c r="BB44" s="480">
        <f>BA49</f>
        <v>429057.38532247738</v>
      </c>
      <c r="BC44" s="558">
        <f>BB49</f>
        <v>477903.63294247736</v>
      </c>
      <c r="BD44" s="480">
        <f>BC49</f>
        <v>-12153817.057057524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461554.45064999996</v>
      </c>
      <c r="BM44" s="480" t="str">
        <f>_xll.GLW_Segment_Description(BG44,2,2)</f>
        <v>AMORTIZE RECOVERABLE GAS COSTS</v>
      </c>
    </row>
    <row r="45" spans="1:65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W45" si="47">SUMPRODUCT(AS19:AS27,AS32:AS40)</f>
        <v>3150615.2519499999</v>
      </c>
      <c r="AT45" s="480">
        <f t="shared" si="47"/>
        <v>2304083.3887400003</v>
      </c>
      <c r="AU45" s="480">
        <f t="shared" si="47"/>
        <v>1736541.60424</v>
      </c>
      <c r="AV45" s="480">
        <f t="shared" si="47"/>
        <v>1190246.3468200001</v>
      </c>
      <c r="AW45" s="480">
        <f t="shared" si="47"/>
        <v>643346.16116000002</v>
      </c>
      <c r="AX45" s="480">
        <f>SUMPRODUCT(AX19:AX27,AX32:AX40)</f>
        <v>382561.98726999998</v>
      </c>
      <c r="AY45" s="480">
        <f t="shared" ref="AY45" si="48">SUMPRODUCT(AY19:AY27,AY32:AY40)</f>
        <v>307250.94208999997</v>
      </c>
      <c r="AZ45" s="480">
        <f>SUMPRODUCT(AZ19:AZ27,AZ32:AZ40)</f>
        <v>310200.28219000006</v>
      </c>
      <c r="BA45" s="480">
        <f>SUMPRODUCT(BA19:BA27,BA32:BA40)</f>
        <v>461554.45064999996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9">BH43</f>
        <v>GD</v>
      </c>
      <c r="BI45" s="208" t="str">
        <f t="shared" si="49"/>
        <v>WA</v>
      </c>
      <c r="BJ45" s="470">
        <v>0</v>
      </c>
      <c r="BK45" s="460">
        <v>0</v>
      </c>
      <c r="BM45" s="480" t="str">
        <f>_xll.GLW_Segment_Description(BG45,2,2)</f>
        <v>RECOVERABLE GAS COSTS AMORTIZED</v>
      </c>
    </row>
    <row r="46" spans="1:65" ht="16.5" thickBot="1">
      <c r="B46" s="479" t="s">
        <v>4</v>
      </c>
      <c r="C46" s="480">
        <f t="shared" ref="C46:C48" si="50">SUM(AG46:AR46)</f>
        <v>-97522.093694136056</v>
      </c>
      <c r="D46" s="492">
        <f t="shared" ref="D46" si="51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52">((AQ44+AQ47)*(AQ43/12))+(((AQ45+AQ48)/2)*(AQ43/12))</f>
        <v>-39463.659422358884</v>
      </c>
      <c r="AR46" s="487">
        <f t="shared" si="52"/>
        <v>-33179.202410257429</v>
      </c>
      <c r="AS46" s="487">
        <f t="shared" si="52"/>
        <v>-24542.860758193601</v>
      </c>
      <c r="AT46" s="487">
        <f t="shared" si="52"/>
        <v>-16659.675251065419</v>
      </c>
      <c r="AU46" s="487">
        <f t="shared" si="52"/>
        <v>-10815.687855785192</v>
      </c>
      <c r="AV46" s="487">
        <f t="shared" si="52"/>
        <v>-6973.7412544061872</v>
      </c>
      <c r="AW46" s="487">
        <f>((AW44+AW47)*(AW43/12))+(((AW45+AW48)/2)*(AW43/12))</f>
        <v>-4160.873319198643</v>
      </c>
      <c r="AX46" s="487">
        <f>((AX44+AX47)*(AX43/12))+(((AX45+AX48)/2)*(AX43/12))</f>
        <v>-2587.8543397624576</v>
      </c>
      <c r="AY46" s="487">
        <f t="shared" ref="AY46" si="53">((AY44+AY47)*(AY43/12))+(((AY45+AY48)/2)*(AY43/12))</f>
        <v>-1632.5866412570899</v>
      </c>
      <c r="AZ46" s="487">
        <f>((AZ44+AZ47)*(AZ43/12))+(((AZ45+AZ48)/2)*(AZ43/12))</f>
        <v>-619.17965711123838</v>
      </c>
      <c r="BA46" s="487">
        <f>((BA44+BA47)*(BA43/12))+(((BA45+BA48)/2)*(BA43/12))</f>
        <v>652.17235920629469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9"/>
        <v>GD</v>
      </c>
      <c r="BI46" s="556" t="str">
        <f t="shared" si="49"/>
        <v>WA</v>
      </c>
      <c r="BJ46" s="462">
        <f>BK45</f>
        <v>0</v>
      </c>
      <c r="BK46" s="471">
        <f>BJ45</f>
        <v>0</v>
      </c>
      <c r="BM46" s="480" t="str">
        <f>_xll.GLW_Segment_Description(BG46,2,2)</f>
        <v>AMORTIZE RECOVERABLE GAS COSTS</v>
      </c>
    </row>
    <row r="47" spans="1:65" ht="16.5" thickBot="1">
      <c r="B47" s="479" t="s">
        <v>256</v>
      </c>
      <c r="C47" s="480">
        <f t="shared" si="50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5">
      <c r="B48" s="479" t="s">
        <v>148</v>
      </c>
      <c r="C48" s="480">
        <f t="shared" si="50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4">SUM(F44:F48)</f>
        <v>404885.58467682183</v>
      </c>
      <c r="G49" s="539">
        <f t="shared" si="54"/>
        <v>1486369.5928734979</v>
      </c>
      <c r="H49" s="539">
        <f t="shared" si="54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5">SUM(V44:V48)</f>
        <v>-978605.01769356499</v>
      </c>
      <c r="W49" s="539">
        <f t="shared" si="55"/>
        <v>-801445.32791263924</v>
      </c>
      <c r="X49" s="539">
        <f t="shared" si="55"/>
        <v>-669275.24177190254</v>
      </c>
      <c r="Y49" s="539">
        <f t="shared" si="55"/>
        <v>-610882.24266902648</v>
      </c>
      <c r="Z49" s="539">
        <f t="shared" si="55"/>
        <v>-574943.04011245095</v>
      </c>
      <c r="AA49" s="539">
        <f t="shared" si="55"/>
        <v>-537511.27700320142</v>
      </c>
      <c r="AB49" s="539">
        <f t="shared" si="55"/>
        <v>-503286.03358886426</v>
      </c>
      <c r="AC49" s="539">
        <f t="shared" si="55"/>
        <v>-446057.56644618412</v>
      </c>
      <c r="AD49" s="539">
        <f t="shared" si="55"/>
        <v>-360318.05653003836</v>
      </c>
      <c r="AE49" s="539">
        <f t="shared" si="55"/>
        <v>-2966848.8846008489</v>
      </c>
      <c r="AF49" s="539">
        <f t="shared" si="55"/>
        <v>-2400830.7877258095</v>
      </c>
      <c r="AG49" s="539">
        <f t="shared" si="55"/>
        <v>-1799942.4443073752</v>
      </c>
      <c r="AH49" s="539">
        <f t="shared" si="55"/>
        <v>-1367080.388300563</v>
      </c>
      <c r="AI49" s="539">
        <f t="shared" si="55"/>
        <v>-991269.16134300514</v>
      </c>
      <c r="AJ49" s="539">
        <f t="shared" si="55"/>
        <v>-820633.96798459429</v>
      </c>
      <c r="AK49" s="539">
        <f t="shared" si="55"/>
        <v>-706831.28344430251</v>
      </c>
      <c r="AL49" s="539">
        <f t="shared" si="55"/>
        <v>-615740.82707996247</v>
      </c>
      <c r="AM49" s="539">
        <f>SUM(AM44:AM48)</f>
        <v>-539081.43298013532</v>
      </c>
      <c r="AN49" s="539">
        <f t="shared" si="55"/>
        <v>-459570.5002163836</v>
      </c>
      <c r="AO49" s="539">
        <f t="shared" si="55"/>
        <v>-353667.8760235564</v>
      </c>
      <c r="AP49" s="539">
        <f t="shared" si="55"/>
        <v>-123445.19123732927</v>
      </c>
      <c r="AQ49" s="539">
        <f>SUM(AQ44:AQ48)</f>
        <v>-12794629.54065969</v>
      </c>
      <c r="AR49" s="539">
        <f t="shared" si="55"/>
        <v>-9990002.7430699486</v>
      </c>
      <c r="AS49" s="539">
        <f>SUM(AS44:AS48)</f>
        <v>-6863930.3518781429</v>
      </c>
      <c r="AT49" s="539">
        <f t="shared" ref="AT49:AX49" si="56">SUM(AT44:AT48)</f>
        <v>-4576506.6383892084</v>
      </c>
      <c r="AU49" s="539">
        <f>SUM(AU44:AU48)</f>
        <v>-2850780.7220049934</v>
      </c>
      <c r="AV49" s="539">
        <f t="shared" si="56"/>
        <v>-1667508.1164393995</v>
      </c>
      <c r="AW49" s="539">
        <f t="shared" si="56"/>
        <v>-1028322.8285985981</v>
      </c>
      <c r="AX49" s="539">
        <f t="shared" si="56"/>
        <v>-648348.69566836057</v>
      </c>
      <c r="AY49" s="539">
        <f>SUM(AY44:AY48)</f>
        <v>-342730.3402196177</v>
      </c>
      <c r="AZ49" s="539">
        <f t="shared" ref="AZ49:BB49" si="57">SUM(AZ44:AZ48)</f>
        <v>-33149.237686728884</v>
      </c>
      <c r="BA49" s="539">
        <f t="shared" si="57"/>
        <v>429057.38532247738</v>
      </c>
      <c r="BB49" s="539">
        <f t="shared" si="57"/>
        <v>477903.63294247736</v>
      </c>
      <c r="BC49" s="539">
        <f>SUM(BC44:BC48)</f>
        <v>-12153817.057057524</v>
      </c>
      <c r="BD49" s="539">
        <f t="shared" ref="BD49" si="58">SUM(BD44:BD48)</f>
        <v>-9316011.0570575241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9">E49-E50</f>
        <v>-0.22028744451381499</v>
      </c>
      <c r="F51" s="480">
        <f t="shared" si="59"/>
        <v>-0.22532317816512659</v>
      </c>
      <c r="G51" s="480">
        <f t="shared" si="59"/>
        <v>-0.22712650219909847</v>
      </c>
      <c r="H51" s="480">
        <f t="shared" si="59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60">V49-V50</f>
        <v>-0.21769356494769454</v>
      </c>
      <c r="W51" s="480">
        <f t="shared" si="60"/>
        <v>-0.21791263925842941</v>
      </c>
      <c r="X51" s="480">
        <f t="shared" si="60"/>
        <v>-0.22177190252114087</v>
      </c>
      <c r="Y51" s="480">
        <f t="shared" si="60"/>
        <v>-0.22266902646515518</v>
      </c>
      <c r="Z51" s="480">
        <f t="shared" si="60"/>
        <v>-0.22011245100293308</v>
      </c>
      <c r="AA51" s="480">
        <f t="shared" si="60"/>
        <v>-0.21700320136733353</v>
      </c>
      <c r="AB51" s="480">
        <f t="shared" si="60"/>
        <v>-0.21358886425150558</v>
      </c>
      <c r="AC51" s="480">
        <f t="shared" si="60"/>
        <v>-0.21644618414575234</v>
      </c>
      <c r="AD51" s="480">
        <f t="shared" si="60"/>
        <v>-0.21653003833489493</v>
      </c>
      <c r="AE51" s="480">
        <f t="shared" si="60"/>
        <v>-0.21460084896534681</v>
      </c>
      <c r="AF51" s="480">
        <f t="shared" si="60"/>
        <v>-0.21772580966353416</v>
      </c>
      <c r="AG51" s="480">
        <f t="shared" si="60"/>
        <v>-0.22430737526156008</v>
      </c>
      <c r="AH51" s="480">
        <f t="shared" si="60"/>
        <v>-0.21830056305043399</v>
      </c>
      <c r="AI51" s="480">
        <f t="shared" si="60"/>
        <v>-0.22134300519246608</v>
      </c>
      <c r="AJ51" s="480">
        <f t="shared" si="60"/>
        <v>-0.2179845942882821</v>
      </c>
      <c r="AK51" s="480">
        <f>AK49-AK50</f>
        <v>-0.21344430255703628</v>
      </c>
      <c r="AL51" s="480">
        <f t="shared" si="60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60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1">AT49-AT50</f>
        <v>-0.20838920865207911</v>
      </c>
      <c r="AU51" s="480">
        <f>AU49-AU50</f>
        <v>-0.21200499357655644</v>
      </c>
      <c r="AV51" s="480">
        <f t="shared" si="61"/>
        <v>-0.21643939963541925</v>
      </c>
      <c r="AW51" s="480">
        <f>AW49-AW50</f>
        <v>-0.21859859814867377</v>
      </c>
      <c r="AX51" s="480">
        <f t="shared" ref="AX51" si="62">AX49-AX50</f>
        <v>-0.21566836058627814</v>
      </c>
      <c r="AY51" s="480">
        <f>AY49-AY50</f>
        <v>-0.22021961770951748</v>
      </c>
      <c r="AZ51" s="480">
        <f>AZ49-AZ50</f>
        <v>-0.21768672888720175</v>
      </c>
      <c r="BA51" s="480">
        <f t="shared" ref="BA51" si="63">BA49-BA50</f>
        <v>-0.21467752259923145</v>
      </c>
      <c r="BB51" s="480">
        <f>BB49-BB50</f>
        <v>48846.032942477381</v>
      </c>
      <c r="BC51" s="480">
        <f>BC49-BC50</f>
        <v>-12582874.657057524</v>
      </c>
      <c r="BD51" s="480">
        <f>BD49-BD50</f>
        <v>-9316011.0570575241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4">U54+1</f>
        <v>201502</v>
      </c>
      <c r="W54" s="482">
        <f t="shared" si="64"/>
        <v>201503</v>
      </c>
      <c r="X54" s="482">
        <f t="shared" si="64"/>
        <v>201504</v>
      </c>
      <c r="Y54" s="482">
        <f t="shared" si="64"/>
        <v>201505</v>
      </c>
      <c r="Z54" s="482">
        <f t="shared" si="64"/>
        <v>201506</v>
      </c>
      <c r="AA54" s="482">
        <f t="shared" si="64"/>
        <v>201507</v>
      </c>
      <c r="AB54" s="482">
        <f t="shared" si="64"/>
        <v>201508</v>
      </c>
      <c r="AC54" s="482">
        <f t="shared" si="64"/>
        <v>201509</v>
      </c>
      <c r="AD54" s="482">
        <f t="shared" si="64"/>
        <v>201510</v>
      </c>
      <c r="AE54" s="482">
        <f>AD54+1</f>
        <v>201511</v>
      </c>
      <c r="AF54" s="482">
        <f t="shared" ref="AF54" si="65">AE54+1</f>
        <v>201512</v>
      </c>
      <c r="AG54" s="482">
        <v>201601</v>
      </c>
      <c r="AH54" s="482">
        <f>AG54+1</f>
        <v>201602</v>
      </c>
      <c r="AI54" s="482">
        <f t="shared" ref="AI54:AR54" si="66">AH54+1</f>
        <v>201603</v>
      </c>
      <c r="AJ54" s="482">
        <f t="shared" si="66"/>
        <v>201604</v>
      </c>
      <c r="AK54" s="482">
        <f t="shared" si="66"/>
        <v>201605</v>
      </c>
      <c r="AL54" s="482">
        <f t="shared" si="66"/>
        <v>201606</v>
      </c>
      <c r="AM54" s="482">
        <f t="shared" si="66"/>
        <v>201607</v>
      </c>
      <c r="AN54" s="482">
        <f t="shared" si="66"/>
        <v>201608</v>
      </c>
      <c r="AO54" s="482">
        <f t="shared" si="66"/>
        <v>201609</v>
      </c>
      <c r="AP54" s="482">
        <f t="shared" si="66"/>
        <v>201610</v>
      </c>
      <c r="AQ54" s="482">
        <f t="shared" si="66"/>
        <v>201611</v>
      </c>
      <c r="AR54" s="482">
        <f t="shared" si="66"/>
        <v>201612</v>
      </c>
      <c r="AS54" s="482">
        <f>AS3</f>
        <v>201701</v>
      </c>
      <c r="AT54" s="482">
        <f>AS54+1</f>
        <v>201702</v>
      </c>
      <c r="AU54" s="482">
        <f t="shared" ref="AU54:BD54" si="67">AT54+1</f>
        <v>201703</v>
      </c>
      <c r="AV54" s="482">
        <f t="shared" si="67"/>
        <v>201704</v>
      </c>
      <c r="AW54" s="482">
        <f t="shared" si="67"/>
        <v>201705</v>
      </c>
      <c r="AX54" s="482">
        <f t="shared" si="67"/>
        <v>201706</v>
      </c>
      <c r="AY54" s="482">
        <f t="shared" si="67"/>
        <v>201707</v>
      </c>
      <c r="AZ54" s="482">
        <f t="shared" si="67"/>
        <v>201708</v>
      </c>
      <c r="BA54" s="482">
        <f t="shared" si="67"/>
        <v>201709</v>
      </c>
      <c r="BB54" s="482">
        <f t="shared" si="67"/>
        <v>201710</v>
      </c>
      <c r="BC54" s="482">
        <f t="shared" si="67"/>
        <v>201711</v>
      </c>
      <c r="BD54" s="482">
        <f t="shared" si="67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620">
        <f>Jun!$G23</f>
        <v>2542069</v>
      </c>
      <c r="AY55" s="620">
        <f>Jul!$G23</f>
        <v>2070483</v>
      </c>
      <c r="AZ55" s="620">
        <f>Aug!$G23</f>
        <v>2080707</v>
      </c>
      <c r="BA55" s="620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8">SUM(AG56:AR56)</f>
        <v>197284</v>
      </c>
      <c r="D56" s="489">
        <f t="shared" ref="D56:D63" si="69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620">
        <f>Jun!$G24</f>
        <v>3619</v>
      </c>
      <c r="AY56" s="620">
        <f>Jul!$G24</f>
        <v>2296</v>
      </c>
      <c r="AZ56" s="620">
        <f>Aug!$G24</f>
        <v>2393</v>
      </c>
      <c r="BA56" s="620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8"/>
        <v>51323965</v>
      </c>
      <c r="D57" s="489">
        <f t="shared" si="69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620">
        <f>Jun!$G25</f>
        <v>1878375</v>
      </c>
      <c r="AY57" s="620">
        <f>Jul!$G25</f>
        <v>1446879</v>
      </c>
      <c r="AZ57" s="620">
        <f>Aug!$G25</f>
        <v>1463939</v>
      </c>
      <c r="BA57" s="620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8"/>
        <v>0</v>
      </c>
      <c r="D58" s="489">
        <f t="shared" si="69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620">
        <f>Jun!$G26</f>
        <v>0</v>
      </c>
      <c r="AY58" s="620">
        <f>Jul!$G26</f>
        <v>0</v>
      </c>
      <c r="AZ58" s="620">
        <f>Aug!$G26</f>
        <v>0</v>
      </c>
      <c r="BA58" s="620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8"/>
        <v>3609942</v>
      </c>
      <c r="D59" s="489">
        <f t="shared" si="69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620">
        <f>Jun!$G27</f>
        <v>289055</v>
      </c>
      <c r="AY59" s="620">
        <f>Jul!$G27</f>
        <v>274504</v>
      </c>
      <c r="AZ59" s="620">
        <f>Aug!$G27</f>
        <v>291721</v>
      </c>
      <c r="BA59" s="620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8"/>
        <v>506146</v>
      </c>
      <c r="D60" s="489">
        <f t="shared" si="69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620">
        <f>Jun!$G28</f>
        <v>17666</v>
      </c>
      <c r="AY60" s="620">
        <f>Jul!$G28</f>
        <v>44343</v>
      </c>
      <c r="AZ60" s="620">
        <f>Aug!$G28</f>
        <v>24662</v>
      </c>
      <c r="BA60" s="620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8"/>
        <v>0</v>
      </c>
      <c r="D61" s="489">
        <f t="shared" si="69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620">
        <f>Jun!$G29</f>
        <v>0</v>
      </c>
      <c r="AY61" s="620">
        <f>Jul!$G29</f>
        <v>0</v>
      </c>
      <c r="AZ61" s="620">
        <f>Aug!$G29</f>
        <v>0</v>
      </c>
      <c r="BA61" s="620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8"/>
        <v>970005</v>
      </c>
      <c r="D62" s="489">
        <f t="shared" si="69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620">
        <f>Jun!$G30</f>
        <v>53882</v>
      </c>
      <c r="AY62" s="620">
        <f>Jul!$G30</f>
        <v>67673</v>
      </c>
      <c r="AZ62" s="620">
        <f>Aug!$G30</f>
        <v>23786</v>
      </c>
      <c r="BA62" s="620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8"/>
        <v>35395192</v>
      </c>
      <c r="D63" s="489">
        <f t="shared" si="69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620">
        <f>Jun!$G31</f>
        <v>2531843</v>
      </c>
      <c r="AY63" s="620">
        <f>Jul!$G31</f>
        <v>2144434</v>
      </c>
      <c r="AZ63" s="620">
        <f>Aug!$G31</f>
        <v>2338940</v>
      </c>
      <c r="BA63" s="620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70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1">SUM(G55:G63)</f>
        <v>24248041</v>
      </c>
      <c r="H64" s="540">
        <f t="shared" si="71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2">SUM(V55:V63)</f>
        <v>22001617</v>
      </c>
      <c r="W64" s="540">
        <f t="shared" si="72"/>
        <v>17611817</v>
      </c>
      <c r="X64" s="540">
        <f t="shared" si="72"/>
        <v>14163392</v>
      </c>
      <c r="Y64" s="540">
        <f t="shared" si="72"/>
        <v>7782410</v>
      </c>
      <c r="Z64" s="540">
        <f t="shared" si="72"/>
        <v>5881684</v>
      </c>
      <c r="AA64" s="540">
        <f t="shared" si="72"/>
        <v>5669948</v>
      </c>
      <c r="AB64" s="540">
        <f t="shared" si="72"/>
        <v>5554978</v>
      </c>
      <c r="AC64" s="540">
        <f t="shared" si="72"/>
        <v>7484702</v>
      </c>
      <c r="AD64" s="540">
        <f t="shared" si="72"/>
        <v>10158046</v>
      </c>
      <c r="AE64" s="540">
        <f t="shared" si="72"/>
        <v>24566038</v>
      </c>
      <c r="AF64" s="540">
        <f t="shared" si="72"/>
        <v>29412416</v>
      </c>
      <c r="AG64" s="540">
        <f t="shared" si="72"/>
        <v>40809304</v>
      </c>
      <c r="AH64" s="540">
        <f t="shared" si="72"/>
        <v>30544975</v>
      </c>
      <c r="AI64" s="540">
        <f t="shared" si="72"/>
        <v>23815117</v>
      </c>
      <c r="AJ64" s="540">
        <f t="shared" si="72"/>
        <v>16958956</v>
      </c>
      <c r="AK64" s="540">
        <f t="shared" si="72"/>
        <v>10280221</v>
      </c>
      <c r="AL64" s="540">
        <f t="shared" si="72"/>
        <v>7316509</v>
      </c>
      <c r="AM64" s="540">
        <f>SUM(AM55:AM63)</f>
        <v>6050612</v>
      </c>
      <c r="AN64" s="540">
        <f t="shared" si="72"/>
        <v>6226148</v>
      </c>
      <c r="AO64" s="540">
        <f t="shared" si="72"/>
        <v>7933229</v>
      </c>
      <c r="AP64" s="540">
        <f>SUM(AP55:AP63)</f>
        <v>15888438</v>
      </c>
      <c r="AQ64" s="540">
        <f t="shared" si="72"/>
        <v>18689959</v>
      </c>
      <c r="AR64" s="540">
        <f t="shared" si="72"/>
        <v>37042905</v>
      </c>
      <c r="AS64" s="540">
        <f t="shared" si="72"/>
        <v>40809304</v>
      </c>
      <c r="AT64" s="540">
        <f t="shared" si="72"/>
        <v>30544975</v>
      </c>
      <c r="AU64" s="540">
        <f t="shared" si="72"/>
        <v>23815117</v>
      </c>
      <c r="AV64" s="540">
        <f t="shared" si="72"/>
        <v>16958956</v>
      </c>
      <c r="AW64" s="540">
        <f t="shared" si="72"/>
        <v>10280221</v>
      </c>
      <c r="AX64" s="540">
        <f t="shared" si="72"/>
        <v>7316509</v>
      </c>
      <c r="AY64" s="540">
        <f>SUM(AY55:AY63)</f>
        <v>6050612</v>
      </c>
      <c r="AZ64" s="540">
        <f t="shared" ref="AZ64:BA64" si="73">SUM(AZ55:AZ63)</f>
        <v>6226148</v>
      </c>
      <c r="BA64" s="540">
        <f t="shared" si="73"/>
        <v>7933229</v>
      </c>
      <c r="BB64" s="540">
        <f>SUM(BB55:BB63)</f>
        <v>15888438</v>
      </c>
      <c r="BC64" s="540">
        <f t="shared" ref="BC64:BD64" si="74">SUM(BC55:BC63)</f>
        <v>18689959</v>
      </c>
      <c r="BD64" s="540">
        <f t="shared" si="74"/>
        <v>37042905</v>
      </c>
    </row>
    <row r="65" spans="1:65" ht="16.5" thickTop="1">
      <c r="A65" s="481"/>
      <c r="B65" s="479" t="s">
        <v>266</v>
      </c>
      <c r="C65" s="489">
        <f>SUM(AG65:AR65)</f>
        <v>189475264</v>
      </c>
      <c r="D65" s="489">
        <f t="shared" si="70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621">
        <v>7316509</v>
      </c>
      <c r="AY65" s="621">
        <v>6050612</v>
      </c>
      <c r="AZ65" s="621">
        <v>6226148</v>
      </c>
      <c r="BA65" s="621">
        <v>7933229</v>
      </c>
      <c r="BB65" s="489">
        <v>13741468</v>
      </c>
      <c r="BC65" s="489">
        <v>18689959</v>
      </c>
      <c r="BD65" s="489">
        <v>37042905</v>
      </c>
      <c r="BE65" s="579"/>
    </row>
    <row r="66" spans="1:65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5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5">U67+1</f>
        <v>201502</v>
      </c>
      <c r="W67" s="482">
        <f t="shared" si="75"/>
        <v>201503</v>
      </c>
      <c r="X67" s="482">
        <f t="shared" si="75"/>
        <v>201504</v>
      </c>
      <c r="Y67" s="482">
        <f t="shared" si="75"/>
        <v>201505</v>
      </c>
      <c r="Z67" s="482">
        <f t="shared" si="75"/>
        <v>201506</v>
      </c>
      <c r="AA67" s="482">
        <f t="shared" si="75"/>
        <v>201507</v>
      </c>
      <c r="AB67" s="482">
        <f t="shared" si="75"/>
        <v>201508</v>
      </c>
      <c r="AC67" s="482">
        <f t="shared" si="75"/>
        <v>201509</v>
      </c>
      <c r="AD67" s="482">
        <f t="shared" si="75"/>
        <v>201510</v>
      </c>
      <c r="AE67" s="482">
        <f>AD67+1</f>
        <v>201511</v>
      </c>
      <c r="AF67" s="482">
        <f t="shared" ref="AF67" si="76">AE67+1</f>
        <v>201512</v>
      </c>
      <c r="AG67" s="482">
        <v>201601</v>
      </c>
      <c r="AH67" s="482">
        <f>AG67+1</f>
        <v>201602</v>
      </c>
      <c r="AI67" s="482">
        <f t="shared" ref="AI67:AR67" si="77">AH67+1</f>
        <v>201603</v>
      </c>
      <c r="AJ67" s="482">
        <f t="shared" si="77"/>
        <v>201604</v>
      </c>
      <c r="AK67" s="482">
        <f t="shared" si="77"/>
        <v>201605</v>
      </c>
      <c r="AL67" s="482">
        <f t="shared" si="77"/>
        <v>201606</v>
      </c>
      <c r="AM67" s="482">
        <f t="shared" si="77"/>
        <v>201607</v>
      </c>
      <c r="AN67" s="482">
        <f t="shared" si="77"/>
        <v>201608</v>
      </c>
      <c r="AO67" s="482">
        <f t="shared" si="77"/>
        <v>201609</v>
      </c>
      <c r="AP67" s="482">
        <f t="shared" si="77"/>
        <v>201610</v>
      </c>
      <c r="AQ67" s="482">
        <f t="shared" si="77"/>
        <v>201611</v>
      </c>
      <c r="AR67" s="482">
        <f t="shared" si="77"/>
        <v>201612</v>
      </c>
      <c r="AS67" s="482">
        <f>AS3</f>
        <v>201701</v>
      </c>
      <c r="AT67" s="482">
        <f>AS67+1</f>
        <v>201702</v>
      </c>
      <c r="AU67" s="482">
        <f t="shared" ref="AU67:BD67" si="78">AT67+1</f>
        <v>201703</v>
      </c>
      <c r="AV67" s="482">
        <f t="shared" si="78"/>
        <v>201704</v>
      </c>
      <c r="AW67" s="482">
        <f t="shared" si="78"/>
        <v>201705</v>
      </c>
      <c r="AX67" s="482">
        <f t="shared" si="78"/>
        <v>201706</v>
      </c>
      <c r="AY67" s="482">
        <f t="shared" si="78"/>
        <v>201707</v>
      </c>
      <c r="AZ67" s="482">
        <f t="shared" si="78"/>
        <v>201708</v>
      </c>
      <c r="BA67" s="482">
        <f t="shared" si="78"/>
        <v>201709</v>
      </c>
      <c r="BB67" s="482">
        <f t="shared" si="78"/>
        <v>201710</v>
      </c>
      <c r="BC67" s="482">
        <f t="shared" si="78"/>
        <v>201711</v>
      </c>
      <c r="BD67" s="482">
        <f t="shared" si="78"/>
        <v>201712</v>
      </c>
    </row>
    <row r="68" spans="1:65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6">
        <v>1.0000000000000001E-5</v>
      </c>
      <c r="AY68" s="616">
        <v>1.0000000000000001E-5</v>
      </c>
      <c r="AZ68" s="616">
        <v>1.0000000000000001E-5</v>
      </c>
      <c r="BA68" s="616">
        <v>1.0000000000000001E-5</v>
      </c>
      <c r="BB68" s="612">
        <v>1.2999999999999999E-4</v>
      </c>
      <c r="BC68" s="494" t="s">
        <v>326</v>
      </c>
      <c r="BD68" s="494" t="s">
        <v>326</v>
      </c>
    </row>
    <row r="69" spans="1:65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6">
        <v>1.0000000000000001E-5</v>
      </c>
      <c r="AY69" s="616">
        <v>1.0000000000000001E-5</v>
      </c>
      <c r="AZ69" s="616">
        <v>1.0000000000000001E-5</v>
      </c>
      <c r="BA69" s="616">
        <v>1.0000000000000001E-5</v>
      </c>
      <c r="BB69" s="612">
        <v>1.2999999999999999E-4</v>
      </c>
      <c r="BC69" s="494" t="s">
        <v>326</v>
      </c>
      <c r="BD69" s="494" t="s">
        <v>326</v>
      </c>
    </row>
    <row r="70" spans="1:65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6">
        <v>1.0000000000000001E-5</v>
      </c>
      <c r="AY70" s="616">
        <v>1.0000000000000001E-5</v>
      </c>
      <c r="AZ70" s="616">
        <v>1.0000000000000001E-5</v>
      </c>
      <c r="BA70" s="616">
        <v>1.0000000000000001E-5</v>
      </c>
      <c r="BB70" s="612">
        <v>1.2999999999999999E-4</v>
      </c>
      <c r="BC70" s="494" t="s">
        <v>326</v>
      </c>
      <c r="BD70" s="494" t="s">
        <v>326</v>
      </c>
    </row>
    <row r="71" spans="1:65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6">
        <v>1.0000000000000001E-5</v>
      </c>
      <c r="AY71" s="616">
        <v>1.0000000000000001E-5</v>
      </c>
      <c r="AZ71" s="616">
        <v>1.0000000000000001E-5</v>
      </c>
      <c r="BA71" s="616">
        <v>1.0000000000000001E-5</v>
      </c>
      <c r="BB71" s="612">
        <v>1.2999999999999999E-4</v>
      </c>
      <c r="BC71" s="494" t="s">
        <v>326</v>
      </c>
      <c r="BD71" s="494" t="s">
        <v>326</v>
      </c>
    </row>
    <row r="72" spans="1:65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6">
        <v>1.0000000000000001E-5</v>
      </c>
      <c r="AY72" s="616">
        <v>1.0000000000000001E-5</v>
      </c>
      <c r="AZ72" s="616">
        <v>1.0000000000000001E-5</v>
      </c>
      <c r="BA72" s="616">
        <v>1.0000000000000001E-5</v>
      </c>
      <c r="BB72" s="612">
        <v>1.2999999999999999E-4</v>
      </c>
      <c r="BC72" s="494" t="s">
        <v>326</v>
      </c>
      <c r="BD72" s="494" t="s">
        <v>326</v>
      </c>
    </row>
    <row r="73" spans="1:65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6">
        <v>1.0000000000000001E-5</v>
      </c>
      <c r="AY73" s="616">
        <v>1.0000000000000001E-5</v>
      </c>
      <c r="AZ73" s="616">
        <v>1.0000000000000001E-5</v>
      </c>
      <c r="BA73" s="616">
        <v>1.0000000000000001E-5</v>
      </c>
      <c r="BB73" s="612">
        <v>1.2999999999999999E-4</v>
      </c>
      <c r="BC73" s="494" t="s">
        <v>326</v>
      </c>
      <c r="BD73" s="494" t="s">
        <v>326</v>
      </c>
    </row>
    <row r="74" spans="1:65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6">
        <v>1.0000000000000001E-5</v>
      </c>
      <c r="AY74" s="616">
        <v>1.0000000000000001E-5</v>
      </c>
      <c r="AZ74" s="616">
        <v>1.0000000000000001E-5</v>
      </c>
      <c r="BA74" s="616">
        <v>1.0000000000000001E-5</v>
      </c>
      <c r="BB74" s="612">
        <v>1.2999999999999999E-4</v>
      </c>
      <c r="BC74" s="494" t="s">
        <v>326</v>
      </c>
      <c r="BD74" s="494" t="s">
        <v>326</v>
      </c>
    </row>
    <row r="75" spans="1:65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6">
        <v>1.0000000000000001E-5</v>
      </c>
      <c r="AY75" s="616">
        <v>1.0000000000000001E-5</v>
      </c>
      <c r="AZ75" s="616">
        <v>1.0000000000000001E-5</v>
      </c>
      <c r="BA75" s="616">
        <v>1.0000000000000001E-5</v>
      </c>
      <c r="BB75" s="612">
        <v>1.2999999999999999E-4</v>
      </c>
      <c r="BC75" s="494" t="s">
        <v>326</v>
      </c>
      <c r="BD75" s="494" t="s">
        <v>326</v>
      </c>
      <c r="BF75" s="520">
        <f>BF4</f>
        <v>201709</v>
      </c>
      <c r="BG75" s="529"/>
      <c r="BH75" s="521"/>
      <c r="BI75" s="521"/>
      <c r="BJ75" s="521"/>
      <c r="BK75" s="522"/>
    </row>
    <row r="76" spans="1:65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6">
        <v>0</v>
      </c>
      <c r="AY76" s="616">
        <v>0</v>
      </c>
      <c r="AZ76" s="616">
        <v>0</v>
      </c>
      <c r="BA76" s="616">
        <v>0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57.23368</v>
      </c>
      <c r="BK76" s="498">
        <f>IF((SUMIF(AG78:BD78,BF75,AG80:BD80))&lt;0,-(SUMIF(AG78:BD78,BF75,AG80:BD80)),0)</f>
        <v>0</v>
      </c>
      <c r="BM76" s="480" t="str">
        <f>_xll.GLW_Segment_Description(BG76,2,2)</f>
        <v>WA GRC JACKSON PRAIRIE DEFERRAL</v>
      </c>
    </row>
    <row r="77" spans="1:65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57.23368</v>
      </c>
      <c r="BM77" s="480" t="str">
        <f>_xll.GLW_Segment_Description(BG77,2,2)</f>
        <v>AMORTIZE RECOVERABLE GAS COSTS</v>
      </c>
    </row>
    <row r="78" spans="1:65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9">U78+1</f>
        <v>201502</v>
      </c>
      <c r="W78" s="482">
        <f t="shared" si="79"/>
        <v>201503</v>
      </c>
      <c r="X78" s="482">
        <f t="shared" si="79"/>
        <v>201504</v>
      </c>
      <c r="Y78" s="482">
        <f t="shared" si="79"/>
        <v>201505</v>
      </c>
      <c r="Z78" s="482">
        <f t="shared" si="79"/>
        <v>201506</v>
      </c>
      <c r="AA78" s="482">
        <f t="shared" si="79"/>
        <v>201507</v>
      </c>
      <c r="AB78" s="482">
        <f t="shared" si="79"/>
        <v>201508</v>
      </c>
      <c r="AC78" s="482">
        <f t="shared" si="79"/>
        <v>201509</v>
      </c>
      <c r="AD78" s="482">
        <f t="shared" si="79"/>
        <v>201510</v>
      </c>
      <c r="AE78" s="482">
        <f>AD78+1</f>
        <v>201511</v>
      </c>
      <c r="AF78" s="482">
        <f t="shared" ref="AF78" si="80">AE78+1</f>
        <v>201512</v>
      </c>
      <c r="AG78" s="482">
        <v>201601</v>
      </c>
      <c r="AH78" s="482">
        <f>AG78+1</f>
        <v>201602</v>
      </c>
      <c r="AI78" s="482">
        <f t="shared" ref="AI78:AR78" si="81">AH78+1</f>
        <v>201603</v>
      </c>
      <c r="AJ78" s="482">
        <f t="shared" si="81"/>
        <v>201604</v>
      </c>
      <c r="AK78" s="482">
        <f t="shared" si="81"/>
        <v>201605</v>
      </c>
      <c r="AL78" s="482">
        <f t="shared" si="81"/>
        <v>201606</v>
      </c>
      <c r="AM78" s="482">
        <f t="shared" si="81"/>
        <v>201607</v>
      </c>
      <c r="AN78" s="482">
        <f t="shared" si="81"/>
        <v>201608</v>
      </c>
      <c r="AO78" s="482">
        <f t="shared" si="81"/>
        <v>201609</v>
      </c>
      <c r="AP78" s="482">
        <f t="shared" si="81"/>
        <v>201610</v>
      </c>
      <c r="AQ78" s="482">
        <f t="shared" si="81"/>
        <v>201611</v>
      </c>
      <c r="AR78" s="482">
        <f t="shared" si="81"/>
        <v>201612</v>
      </c>
      <c r="AS78" s="482">
        <f>AS3</f>
        <v>201701</v>
      </c>
      <c r="AT78" s="482">
        <f>AS78+1</f>
        <v>201702</v>
      </c>
      <c r="AU78" s="482">
        <f t="shared" ref="AU78:BD78" si="82">AT78+1</f>
        <v>201703</v>
      </c>
      <c r="AV78" s="482">
        <f t="shared" si="82"/>
        <v>201704</v>
      </c>
      <c r="AW78" s="482">
        <f t="shared" si="82"/>
        <v>201705</v>
      </c>
      <c r="AX78" s="482">
        <f t="shared" si="82"/>
        <v>201706</v>
      </c>
      <c r="AY78" s="482">
        <f t="shared" si="82"/>
        <v>201707</v>
      </c>
      <c r="AZ78" s="482">
        <f t="shared" si="82"/>
        <v>201708</v>
      </c>
      <c r="BA78" s="482">
        <f t="shared" si="82"/>
        <v>201709</v>
      </c>
      <c r="BB78" s="482">
        <f t="shared" si="82"/>
        <v>201710</v>
      </c>
      <c r="BC78" s="482">
        <f t="shared" si="82"/>
        <v>201711</v>
      </c>
      <c r="BD78" s="482">
        <f t="shared" si="82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  <c r="BM78" s="480" t="str">
        <f>_xll.GLW_Segment_Description(BG78,2,2)</f>
        <v>WA GRC JACKSON PRAIRIE DEFERRAL</v>
      </c>
    </row>
    <row r="79" spans="1:65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3">AF82</f>
        <v>-18146.93566000001</v>
      </c>
      <c r="AH79" s="480">
        <f t="shared" si="83"/>
        <v>-14523.147320000011</v>
      </c>
      <c r="AI79" s="480">
        <f t="shared" si="83"/>
        <v>-11852.264220000012</v>
      </c>
      <c r="AJ79" s="480">
        <f t="shared" si="83"/>
        <v>-9512.6003600000113</v>
      </c>
      <c r="AK79" s="480">
        <f t="shared" si="83"/>
        <v>-8373.7282900000118</v>
      </c>
      <c r="AL79" s="480">
        <f t="shared" si="83"/>
        <v>-7543.4780600000122</v>
      </c>
      <c r="AM79" s="480">
        <f t="shared" si="83"/>
        <v>-6882.1108900000127</v>
      </c>
      <c r="AN79" s="480">
        <f t="shared" si="83"/>
        <v>-6303.9779800000124</v>
      </c>
      <c r="AO79" s="480">
        <f t="shared" si="83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4">AT82</f>
        <v>-3265.0261600000117</v>
      </c>
      <c r="AV79" s="480">
        <f t="shared" si="84"/>
        <v>-3060.6942200000117</v>
      </c>
      <c r="AW79" s="480">
        <f t="shared" si="84"/>
        <v>-2919.7909600000116</v>
      </c>
      <c r="AX79" s="480">
        <f t="shared" si="84"/>
        <v>-2842.0077800000117</v>
      </c>
      <c r="AY79" s="480">
        <f t="shared" si="84"/>
        <v>-2794.1611200000116</v>
      </c>
      <c r="AZ79" s="628">
        <f t="shared" si="84"/>
        <v>-2755.0993400000116</v>
      </c>
      <c r="BA79" s="480">
        <f t="shared" si="84"/>
        <v>-2716.2272600000115</v>
      </c>
      <c r="BB79" s="480">
        <f>BA82</f>
        <v>-2658.9935800000117</v>
      </c>
      <c r="BC79" s="480">
        <f>BB82</f>
        <v>-932.94795000001182</v>
      </c>
      <c r="BD79" s="480">
        <f>BC82</f>
        <v>-1691.9479500000118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  <c r="BM79" s="480" t="str">
        <f>_xll.GLW_Segment_Description(BG79,2,2)</f>
        <v>AMORTIZE RECOVERABLE GAS COSTS</v>
      </c>
    </row>
    <row r="80" spans="1:65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5">SUMPRODUCT(AW55:AW63,AW68:AW76)</f>
        <v>77.783180000000016</v>
      </c>
      <c r="AX80" s="558">
        <f>SUMPRODUCT(AX55:AX63,AX68:AX76)</f>
        <v>47.84666</v>
      </c>
      <c r="AY80" s="558">
        <f>SUMPRODUCT(AY55:AY63,AY68:AY76)</f>
        <v>39.061780000000006</v>
      </c>
      <c r="AZ80" s="558">
        <f>SUMPRODUCT(AZ55:AZ63,AZ68:AZ76)</f>
        <v>38.872079999999997</v>
      </c>
      <c r="BA80" s="558">
        <f>SUMPRODUCT(BA55:BA63,BA68:BA76)</f>
        <v>57.23368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6">SUM(E79:E81)</f>
        <v>38932.729789999998</v>
      </c>
      <c r="F82" s="539">
        <f t="shared" si="86"/>
        <v>8140.2385399999985</v>
      </c>
      <c r="G82" s="539">
        <f t="shared" si="86"/>
        <v>-693.68146000000161</v>
      </c>
      <c r="H82" s="539">
        <f t="shared" si="86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7">SUM(V79:V81)</f>
        <v>-38138.117780000015</v>
      </c>
      <c r="W82" s="539">
        <f t="shared" si="87"/>
        <v>-34282.961340000016</v>
      </c>
      <c r="X82" s="539">
        <f t="shared" si="87"/>
        <v>-31253.873050000017</v>
      </c>
      <c r="Y82" s="539">
        <f t="shared" si="87"/>
        <v>-29770.929110000015</v>
      </c>
      <c r="Z82" s="539">
        <f t="shared" si="87"/>
        <v>-28708.282540000015</v>
      </c>
      <c r="AA82" s="539">
        <f t="shared" si="87"/>
        <v>-27692.487530000013</v>
      </c>
      <c r="AB82" s="539">
        <f t="shared" si="87"/>
        <v>-26711.886850000014</v>
      </c>
      <c r="AC82" s="539">
        <f t="shared" si="87"/>
        <v>-25249.174790000012</v>
      </c>
      <c r="AD82" s="539">
        <f t="shared" si="87"/>
        <v>-23171.93566000001</v>
      </c>
      <c r="AE82" s="539">
        <f t="shared" si="87"/>
        <v>-21380.93566000001</v>
      </c>
      <c r="AF82" s="539">
        <f t="shared" si="87"/>
        <v>-18146.93566000001</v>
      </c>
      <c r="AG82" s="539">
        <f t="shared" si="87"/>
        <v>-14523.147320000011</v>
      </c>
      <c r="AH82" s="539">
        <f t="shared" si="87"/>
        <v>-11852.264220000012</v>
      </c>
      <c r="AI82" s="539">
        <f t="shared" si="87"/>
        <v>-9512.6003600000113</v>
      </c>
      <c r="AJ82" s="539">
        <f t="shared" si="87"/>
        <v>-8373.7282900000118</v>
      </c>
      <c r="AK82" s="539">
        <f t="shared" si="87"/>
        <v>-7543.4780600000122</v>
      </c>
      <c r="AL82" s="539">
        <f t="shared" si="87"/>
        <v>-6882.1108900000127</v>
      </c>
      <c r="AM82" s="539">
        <f t="shared" si="87"/>
        <v>-6303.9779800000124</v>
      </c>
      <c r="AN82" s="539">
        <f t="shared" si="87"/>
        <v>-5710.3492900000119</v>
      </c>
      <c r="AO82" s="539">
        <f t="shared" si="87"/>
        <v>-4950.5876300000118</v>
      </c>
      <c r="AP82" s="539">
        <f t="shared" si="87"/>
        <v>-3439.8164200000119</v>
      </c>
      <c r="AQ82" s="539">
        <f t="shared" si="87"/>
        <v>-4198.8164200000119</v>
      </c>
      <c r="AR82" s="539">
        <f t="shared" si="87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8">SUM(AU79:AU81)</f>
        <v>-3060.6942200000117</v>
      </c>
      <c r="AV82" s="539">
        <f t="shared" si="88"/>
        <v>-2919.7909600000116</v>
      </c>
      <c r="AW82" s="539">
        <f t="shared" si="88"/>
        <v>-2842.0077800000117</v>
      </c>
      <c r="AX82" s="539">
        <f t="shared" si="88"/>
        <v>-2794.1611200000116</v>
      </c>
      <c r="AY82" s="539">
        <f t="shared" si="88"/>
        <v>-2755.0993400000116</v>
      </c>
      <c r="AZ82" s="539">
        <f t="shared" si="88"/>
        <v>-2716.2272600000115</v>
      </c>
      <c r="BA82" s="539">
        <f t="shared" si="88"/>
        <v>-2658.9935800000117</v>
      </c>
      <c r="BB82" s="539">
        <f t="shared" si="88"/>
        <v>-932.94795000001182</v>
      </c>
      <c r="BC82" s="539">
        <f t="shared" si="88"/>
        <v>-1691.9479500000118</v>
      </c>
      <c r="BD82" s="539">
        <f t="shared" si="88"/>
        <v>-1989.9479500000118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9">E82-E83</f>
        <v>-2.1000000560889021E-4</v>
      </c>
      <c r="F84" s="480">
        <f t="shared" si="89"/>
        <v>-1.4600000013160752E-3</v>
      </c>
      <c r="G84" s="480">
        <f t="shared" si="89"/>
        <v>-1.4600000016571357E-3</v>
      </c>
      <c r="H84" s="480">
        <f t="shared" si="89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0">V82-V83</f>
        <v>1.2219999982335139E-2</v>
      </c>
      <c r="W84" s="480">
        <f t="shared" si="90"/>
        <v>8.6599999849568121E-3</v>
      </c>
      <c r="X84" s="480">
        <f t="shared" si="90"/>
        <v>6.9499999844992999E-3</v>
      </c>
      <c r="Y84" s="480">
        <f t="shared" si="90"/>
        <v>1.0889999983191956E-2</v>
      </c>
      <c r="Z84" s="480">
        <f t="shared" si="90"/>
        <v>7.4599999861675315E-3</v>
      </c>
      <c r="AA84" s="480">
        <f t="shared" si="90"/>
        <v>2.469999988534255E-3</v>
      </c>
      <c r="AB84" s="480">
        <f t="shared" si="90"/>
        <v>3.1499999859079253E-3</v>
      </c>
      <c r="AC84" s="480">
        <f t="shared" si="90"/>
        <v>5.2099999884376302E-3</v>
      </c>
      <c r="AD84" s="480">
        <f t="shared" si="90"/>
        <v>4.339999988587806E-3</v>
      </c>
      <c r="AE84" s="480">
        <f t="shared" si="90"/>
        <v>4.339999988587806E-3</v>
      </c>
      <c r="AF84" s="480">
        <f t="shared" si="90"/>
        <v>4.339999988587806E-3</v>
      </c>
      <c r="AG84" s="480">
        <f t="shared" si="90"/>
        <v>2.6799999886861769E-3</v>
      </c>
      <c r="AH84" s="480">
        <f t="shared" si="90"/>
        <v>5.7799999885901343E-3</v>
      </c>
      <c r="AI84" s="480">
        <f t="shared" si="90"/>
        <v>9.6399999893037602E-3</v>
      </c>
      <c r="AJ84" s="480">
        <f t="shared" si="90"/>
        <v>1.1709999987942865E-2</v>
      </c>
      <c r="AK84" s="480">
        <f t="shared" si="90"/>
        <v>1.1939999987589545E-2</v>
      </c>
      <c r="AL84" s="480">
        <f t="shared" si="90"/>
        <v>9.1099999872312765E-3</v>
      </c>
      <c r="AM84" s="480">
        <f t="shared" si="90"/>
        <v>1.2019999987387564E-2</v>
      </c>
      <c r="AN84" s="480">
        <f t="shared" si="90"/>
        <v>1.0709999987739138E-2</v>
      </c>
      <c r="AO84" s="480">
        <f t="shared" si="90"/>
        <v>1.2369999988550262E-2</v>
      </c>
      <c r="AP84" s="480">
        <f t="shared" si="90"/>
        <v>1.3579999987996416E-2</v>
      </c>
      <c r="AQ84" s="480">
        <f t="shared" si="90"/>
        <v>1.3579999987996416E-2</v>
      </c>
      <c r="AR84" s="480">
        <f t="shared" si="90"/>
        <v>1.3579999987996416E-2</v>
      </c>
      <c r="AS84" s="480">
        <f>AS82-AS83</f>
        <v>1.0319999988041673E-2</v>
      </c>
      <c r="AT84" s="480">
        <f t="shared" ref="AT84:BD84" si="91">AT82-AT83</f>
        <v>1.3839999988249474E-2</v>
      </c>
      <c r="AU84" s="480">
        <f t="shared" si="91"/>
        <v>1.5779999988353666E-2</v>
      </c>
      <c r="AV84" s="480">
        <f t="shared" si="91"/>
        <v>1.9039999988308409E-2</v>
      </c>
      <c r="AW84" s="480">
        <f t="shared" si="91"/>
        <v>2.2219999988465133E-2</v>
      </c>
      <c r="AX84" s="480">
        <f t="shared" si="91"/>
        <v>1.8879999988257623E-2</v>
      </c>
      <c r="AY84" s="480">
        <f>AY82-AY83</f>
        <v>2.0659999988311029E-2</v>
      </c>
      <c r="AZ84" s="480">
        <f t="shared" si="91"/>
        <v>2.2739999988516502E-2</v>
      </c>
      <c r="BA84" s="480">
        <f t="shared" si="91"/>
        <v>2.6419999988320342E-2</v>
      </c>
      <c r="BB84" s="480">
        <f t="shared" si="91"/>
        <v>1726.0720499999882</v>
      </c>
      <c r="BC84" s="480">
        <f t="shared" si="91"/>
        <v>967.07204999998817</v>
      </c>
      <c r="BD84" s="480">
        <f t="shared" si="91"/>
        <v>-1989.9479500000118</v>
      </c>
    </row>
  </sheetData>
  <conditionalFormatting sqref="E29 L65:AR65 K29:AK29 AN29:AR29 BE29 BE65">
    <cfRule type="cellIs" dxfId="665" priority="30" operator="notEqual">
      <formula>E28</formula>
    </cfRule>
  </conditionalFormatting>
  <conditionalFormatting sqref="F29">
    <cfRule type="cellIs" dxfId="664" priority="29" operator="notEqual">
      <formula>F28</formula>
    </cfRule>
  </conditionalFormatting>
  <conditionalFormatting sqref="G29">
    <cfRule type="cellIs" dxfId="663" priority="28" operator="notEqual">
      <formula>G28</formula>
    </cfRule>
  </conditionalFormatting>
  <conditionalFormatting sqref="H29">
    <cfRule type="cellIs" dxfId="662" priority="27" operator="notEqual">
      <formula>H28</formula>
    </cfRule>
  </conditionalFormatting>
  <conditionalFormatting sqref="G65">
    <cfRule type="cellIs" dxfId="661" priority="24" operator="notEqual">
      <formula>G64</formula>
    </cfRule>
  </conditionalFormatting>
  <conditionalFormatting sqref="H65">
    <cfRule type="cellIs" dxfId="660" priority="23" operator="notEqual">
      <formula>H64</formula>
    </cfRule>
  </conditionalFormatting>
  <conditionalFormatting sqref="E65">
    <cfRule type="cellIs" dxfId="659" priority="26" operator="notEqual">
      <formula>E64</formula>
    </cfRule>
  </conditionalFormatting>
  <conditionalFormatting sqref="F65">
    <cfRule type="cellIs" dxfId="658" priority="25" operator="notEqual">
      <formula>F64</formula>
    </cfRule>
  </conditionalFormatting>
  <conditionalFormatting sqref="BK80 BK47 BK11">
    <cfRule type="cellIs" dxfId="657" priority="22" operator="notEqual">
      <formula>0</formula>
    </cfRule>
  </conditionalFormatting>
  <conditionalFormatting sqref="D65">
    <cfRule type="cellIs" dxfId="656" priority="21" operator="notEqual">
      <formula>D64</formula>
    </cfRule>
  </conditionalFormatting>
  <conditionalFormatting sqref="C65">
    <cfRule type="cellIs" dxfId="655" priority="20" operator="notEqual">
      <formula>C64</formula>
    </cfRule>
  </conditionalFormatting>
  <conditionalFormatting sqref="D29">
    <cfRule type="cellIs" dxfId="654" priority="19" operator="notEqual">
      <formula>D28</formula>
    </cfRule>
  </conditionalFormatting>
  <conditionalFormatting sqref="C29">
    <cfRule type="cellIs" dxfId="653" priority="18" operator="notEqual">
      <formula>C28</formula>
    </cfRule>
  </conditionalFormatting>
  <conditionalFormatting sqref="I29">
    <cfRule type="cellIs" dxfId="652" priority="17" operator="notEqual">
      <formula>I28</formula>
    </cfRule>
  </conditionalFormatting>
  <conditionalFormatting sqref="I65">
    <cfRule type="cellIs" dxfId="651" priority="16" operator="notEqual">
      <formula>I64</formula>
    </cfRule>
  </conditionalFormatting>
  <conditionalFormatting sqref="J29">
    <cfRule type="cellIs" dxfId="650" priority="15" operator="notEqual">
      <formula>J28</formula>
    </cfRule>
  </conditionalFormatting>
  <conditionalFormatting sqref="J65">
    <cfRule type="cellIs" dxfId="649" priority="14" operator="notEqual">
      <formula>J64</formula>
    </cfRule>
  </conditionalFormatting>
  <conditionalFormatting sqref="K65">
    <cfRule type="cellIs" dxfId="648" priority="13" operator="notEqual">
      <formula>K64</formula>
    </cfRule>
  </conditionalFormatting>
  <conditionalFormatting sqref="U29">
    <cfRule type="cellIs" dxfId="647" priority="12" operator="notEqual">
      <formula>U28</formula>
    </cfRule>
  </conditionalFormatting>
  <conditionalFormatting sqref="U65">
    <cfRule type="cellIs" dxfId="646" priority="11" operator="notEqual">
      <formula>U64</formula>
    </cfRule>
  </conditionalFormatting>
  <conditionalFormatting sqref="V29">
    <cfRule type="cellIs" dxfId="645" priority="10" operator="notEqual">
      <formula>V28</formula>
    </cfRule>
  </conditionalFormatting>
  <conditionalFormatting sqref="V65">
    <cfRule type="cellIs" dxfId="644" priority="9" operator="notEqual">
      <formula>V64</formula>
    </cfRule>
  </conditionalFormatting>
  <conditionalFormatting sqref="W65">
    <cfRule type="cellIs" dxfId="643" priority="8" operator="notEqual">
      <formula>W64</formula>
    </cfRule>
  </conditionalFormatting>
  <conditionalFormatting sqref="AL29">
    <cfRule type="cellIs" dxfId="642" priority="7" operator="notEqual">
      <formula>AL28</formula>
    </cfRule>
  </conditionalFormatting>
  <conditionalFormatting sqref="AM29">
    <cfRule type="cellIs" dxfId="641" priority="6" operator="notEqual">
      <formula>AM28</formula>
    </cfRule>
  </conditionalFormatting>
  <conditionalFormatting sqref="AS65:AW65 AS29:AW29 AZ29:BD29 AZ65:BD65">
    <cfRule type="cellIs" dxfId="640" priority="5" operator="notEqual">
      <formula>AS28</formula>
    </cfRule>
  </conditionalFormatting>
  <conditionalFormatting sqref="AX29">
    <cfRule type="cellIs" dxfId="639" priority="4" operator="notEqual">
      <formula>AX28</formula>
    </cfRule>
  </conditionalFormatting>
  <conditionalFormatting sqref="AX65">
    <cfRule type="cellIs" dxfId="638" priority="3" operator="notEqual">
      <formula>AX64</formula>
    </cfRule>
  </conditionalFormatting>
  <conditionalFormatting sqref="AY29">
    <cfRule type="cellIs" dxfId="637" priority="2" operator="notEqual">
      <formula>AY28</formula>
    </cfRule>
  </conditionalFormatting>
  <conditionalFormatting sqref="AY65">
    <cfRule type="cellIs" dxfId="636" priority="1" operator="notEqual">
      <formula>AY64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T24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3" width="16.28515625" style="480" hidden="1" customWidth="1"/>
    <col min="44" max="44" width="17.7109375" style="480" hidden="1" customWidth="1"/>
    <col min="45" max="45" width="18.7109375" style="480" hidden="1" customWidth="1"/>
    <col min="46" max="54" width="16.28515625" style="480" customWidth="1"/>
    <col min="55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6">
      <c r="A1" s="478" t="s">
        <v>262</v>
      </c>
      <c r="B1" s="478"/>
      <c r="BG1" s="478" t="s">
        <v>312</v>
      </c>
      <c r="BJ1" s="481" t="s">
        <v>333</v>
      </c>
      <c r="BK1" s="481"/>
    </row>
    <row r="2" spans="1:66">
      <c r="B2" s="575" t="s">
        <v>264</v>
      </c>
    </row>
    <row r="3" spans="1:66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6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201709</v>
      </c>
      <c r="BH4" s="524"/>
      <c r="BI4" s="512"/>
      <c r="BJ4" s="512"/>
      <c r="BK4" s="512"/>
      <c r="BL4" s="513"/>
    </row>
    <row r="5" spans="1:66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558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  <c r="BN5" s="480" t="str">
        <f>_xll.GLW_Segment_Description(BH5,2,2)</f>
        <v>INTEREST ON ENERGY DEFERRALS</v>
      </c>
    </row>
    <row r="6" spans="1:66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7651.01</v>
      </c>
      <c r="BL6" s="498">
        <v>0</v>
      </c>
      <c r="BN6" s="480" t="str">
        <f>_xll.GLW_Segment_Description(BH6,2,2)</f>
        <v>INTEREST EXPENSE ENERGY DEFERRALS</v>
      </c>
    </row>
    <row r="7" spans="1:66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846628.06144099962</v>
      </c>
      <c r="BN7" s="480" t="str">
        <f>_xll.GLW_Segment_Description(BH7,2,2)</f>
        <v>CURR UNRECOV PGA DEFERRED</v>
      </c>
    </row>
    <row r="8" spans="1:66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>ROUND(((AY5+AY9+AY10+AY11)*(AY4/12))+((SUM(AY6:AY7)/2)*(AY4/12)),2)</f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838977.05144099961</v>
      </c>
      <c r="BL8" s="460">
        <f>IF((SUMIF(AH3:BE3,BG4,AH6:BE6)+SUMIF(AH3:BE3,BG4,AH7:BE7))&gt;0,(SUMIF(AH3:BE3,BG4,AH6:BE6)+SUMIF(AH3:BE3,BG4,AH7:BE7)),0)</f>
        <v>0</v>
      </c>
      <c r="BN8" s="480" t="str">
        <f>_xll.GLW_Segment_Description(BH8,2,2)</f>
        <v>DEFER CURRENT UNRECOVERED GAS COSTS</v>
      </c>
    </row>
    <row r="9" spans="1:66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  <c r="BN9" s="480" t="str">
        <f>_xll.GLW_Segment_Description(BH9,2,2)</f>
        <v>CURR UNRECOV PGA DEFERRED</v>
      </c>
    </row>
    <row r="10" spans="1:66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  <c r="BN10" s="480" t="str">
        <f>_xll.GLW_Segment_Description(BH10,2,2)</f>
        <v>RECOVERABLE GAS COSTS AMORTIZED</v>
      </c>
    </row>
    <row r="11" spans="1:66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6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6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6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558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6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6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621">
        <f>Jun!$K36</f>
        <v>1233197</v>
      </c>
      <c r="AZ19" s="621">
        <f>Jul!$K36</f>
        <v>1087844</v>
      </c>
      <c r="BA19" s="621">
        <f>Aug!$K36</f>
        <v>986275</v>
      </c>
      <c r="BB19" s="621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621">
        <f>Jun!$K37</f>
        <v>1319570</v>
      </c>
      <c r="AZ20" s="621">
        <f>Jul!$K37</f>
        <v>931171</v>
      </c>
      <c r="BA20" s="621">
        <f>Aug!$K37</f>
        <v>1366641</v>
      </c>
      <c r="BB20" s="621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621"/>
      <c r="AZ21" s="621"/>
      <c r="BA21" s="621"/>
      <c r="BB21" s="621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621"/>
      <c r="AZ22" s="621"/>
      <c r="BA22" s="621"/>
      <c r="BB22" s="621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621"/>
      <c r="AZ23" s="621"/>
      <c r="BA23" s="621"/>
      <c r="BB23" s="621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621">
        <f>Jun!$K41</f>
        <v>0</v>
      </c>
      <c r="AZ24" s="621">
        <v>0</v>
      </c>
      <c r="BA24" s="621">
        <v>0</v>
      </c>
      <c r="BB24" s="621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2352916</v>
      </c>
      <c r="BB28" s="562">
        <v>2437391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8">
        <v>9.3079999999999996E-2</v>
      </c>
      <c r="AZ31" s="618">
        <v>9.3079999999999996E-2</v>
      </c>
      <c r="BA31" s="618">
        <v>9.3079999999999996E-2</v>
      </c>
      <c r="BB31" s="618">
        <v>9.3079999999999996E-2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8">
        <v>9.3079999999999996E-2</v>
      </c>
      <c r="AZ32" s="618">
        <v>9.3079999999999996E-2</v>
      </c>
      <c r="BA32" s="618">
        <v>9.3079999999999996E-2</v>
      </c>
      <c r="BB32" s="618">
        <v>9.3079999999999996E-2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6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8"/>
      <c r="AZ33" s="618"/>
      <c r="BA33" s="613"/>
      <c r="BB33" s="618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6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8"/>
      <c r="AZ34" s="618"/>
      <c r="BA34" s="613"/>
      <c r="BB34" s="618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6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8"/>
      <c r="AZ35" s="618"/>
      <c r="BA35" s="613"/>
      <c r="BB35" s="618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6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8">
        <v>9.665E-2</v>
      </c>
      <c r="AZ36" s="618">
        <v>9.665E-2</v>
      </c>
      <c r="BA36" s="618">
        <v>9.665E-2</v>
      </c>
      <c r="BB36" s="618">
        <v>9.665E-2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6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6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6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6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6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617">
        <v>0.01</v>
      </c>
      <c r="AZ41" s="617">
        <v>0.01</v>
      </c>
      <c r="BA41" s="617">
        <v>0.01</v>
      </c>
      <c r="BB41" s="617">
        <v>0.01</v>
      </c>
      <c r="BC41" s="486"/>
      <c r="BD41" s="486"/>
      <c r="BE41" s="486"/>
      <c r="BF41" s="577"/>
      <c r="BG41" s="511">
        <f>BG4</f>
        <v>201709</v>
      </c>
      <c r="BH41" s="524"/>
      <c r="BI41" s="512"/>
      <c r="BJ41" s="512"/>
      <c r="BK41" s="512"/>
      <c r="BL41" s="513"/>
    </row>
    <row r="42" spans="1:66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-239397.9359650402</v>
      </c>
      <c r="BA42" s="558">
        <f t="shared" si="38"/>
        <v>-51589.21391326109</v>
      </c>
      <c r="BB42" s="480">
        <f>BA47</f>
        <v>167468.4702806779</v>
      </c>
      <c r="BC42" s="480">
        <f>BB47</f>
        <v>394574.91176686174</v>
      </c>
      <c r="BD42" s="480">
        <f>BC47</f>
        <v>588707.68268686172</v>
      </c>
      <c r="BE42" s="480">
        <f t="shared" ref="BE42" si="39">BD47</f>
        <v>-5829722.9373131385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234.08720618389827</v>
      </c>
      <c r="BN42" s="480" t="str">
        <f>_xll.GLW_Segment_Description(BH42,2,2)</f>
        <v>INTEREST ON ENERGY DEFERRALS</v>
      </c>
    </row>
    <row r="43" spans="1:66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>SUMPRODUCT(AY19:AY24,AY31:AY36)</f>
        <v>237611.55235999997</v>
      </c>
      <c r="AZ43" s="558">
        <f t="shared" si="43"/>
        <v>187929.91619999998</v>
      </c>
      <c r="BA43" s="558">
        <f>SUMPRODUCT(BA19:BA24,BA31:BA36)</f>
        <v>219009.42128000001</v>
      </c>
      <c r="BB43" s="558">
        <f>SUMPRODUCT(BB19:BB24,BB31:BB36)</f>
        <v>226872.35427999997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0</v>
      </c>
      <c r="BL43" s="498">
        <v>0</v>
      </c>
      <c r="BN43" s="480" t="str">
        <f>_xll.GLW_Segment_Description(BH43,2,2)</f>
        <v>INTEREST EXPENSE ENERGY DEFERRALS</v>
      </c>
    </row>
    <row r="44" spans="1:66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BB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si="47"/>
        <v>-298.25454799753561</v>
      </c>
      <c r="AZ44" s="487">
        <f t="shared" si="47"/>
        <v>-121.19414822086686</v>
      </c>
      <c r="BA44" s="487">
        <f t="shared" si="47"/>
        <v>48.262913938949097</v>
      </c>
      <c r="BB44" s="487">
        <f t="shared" si="47"/>
        <v>234.08720618389827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227106.44148618387</v>
      </c>
      <c r="BL44" s="498">
        <f>IF((SUMIF(AH40:BE40,BG41,AH43:BE43)+SUMIF(AH40:BE40,BG41,AH44:BE44))&lt;0,-(SUMIF(AH40:BE40,BG41,AH43:BE43)+SUMIF(AH40:BE40,BG41,AH44:BE44)),0)</f>
        <v>0</v>
      </c>
      <c r="BN44" s="480" t="str">
        <f>_xll.GLW_Segment_Description(BH44,2,2)</f>
        <v>RECOVERABLE GAS COSTS AMORTIZED</v>
      </c>
    </row>
    <row r="45" spans="1:66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226872.35427999997</v>
      </c>
      <c r="BN45" s="480" t="str">
        <f>_xll.GLW_Segment_Description(BH45,2,2)</f>
        <v>AMORTIZE RECOVERABLE GAS COSTS</v>
      </c>
    </row>
    <row r="46" spans="1:66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  <c r="BN46" s="480" t="str">
        <f>_xll.GLW_Segment_Description(BH46,2,2)</f>
        <v>RECOVERABLE GAS COSTS AMORTIZED</v>
      </c>
    </row>
    <row r="47" spans="1:66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-476711.23377704265</v>
      </c>
      <c r="AY47" s="539">
        <f t="shared" si="51"/>
        <v>-239397.9359650402</v>
      </c>
      <c r="AZ47" s="539">
        <f>SUM(AZ42:AZ46)</f>
        <v>-51589.21391326109</v>
      </c>
      <c r="BA47" s="539">
        <f t="shared" si="51"/>
        <v>167468.4702806779</v>
      </c>
      <c r="BB47" s="539">
        <f t="shared" si="51"/>
        <v>394574.91176686174</v>
      </c>
      <c r="BC47" s="539">
        <f t="shared" si="51"/>
        <v>588707.68268686172</v>
      </c>
      <c r="BD47" s="539">
        <f t="shared" si="51"/>
        <v>-5829722.9373131385</v>
      </c>
      <c r="BE47" s="539">
        <f>SUM(BE42:BE46)</f>
        <v>-4398899.9373131385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  <c r="BN47" s="480" t="str">
        <f>_xll.GLW_Segment_Description(BH47,2,2)</f>
        <v>AMORTIZE RECOVERABLE GAS COSTS</v>
      </c>
    </row>
    <row r="48" spans="1:66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>AX47-AX48</f>
        <v>6.2229573377408087E-3</v>
      </c>
      <c r="AY49" s="480">
        <f t="shared" si="54"/>
        <v>4.0349597984459251E-3</v>
      </c>
      <c r="AZ49" s="480">
        <f>AZ47-AZ48</f>
        <v>6.0867389111081138E-3</v>
      </c>
      <c r="BA49" s="480">
        <f t="shared" si="54"/>
        <v>1.0280677903210744E-2</v>
      </c>
      <c r="BB49" s="480">
        <f t="shared" si="54"/>
        <v>1.1766861716751009E-2</v>
      </c>
      <c r="BC49" s="480">
        <f>BC47-BC48</f>
        <v>194132.7826868617</v>
      </c>
      <c r="BD49" s="480">
        <f t="shared" ref="BD49" si="55">BD47-BD48</f>
        <v>-6224297.8373131389</v>
      </c>
      <c r="BE49" s="480">
        <f>BE47-BE48</f>
        <v>-4398899.9373131385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621">
        <f>Jun!$K36</f>
        <v>1233197</v>
      </c>
      <c r="AZ52" s="621">
        <f>Jul!$K36</f>
        <v>1087844</v>
      </c>
      <c r="BA52" s="621">
        <f>Aug!$K36</f>
        <v>986275</v>
      </c>
      <c r="BB52" s="621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621">
        <f>Jun!$K37</f>
        <v>1319570</v>
      </c>
      <c r="AZ53" s="621">
        <f>Jul!$K37</f>
        <v>931171</v>
      </c>
      <c r="BA53" s="621">
        <f>Aug!$K37</f>
        <v>1366641</v>
      </c>
      <c r="BB53" s="621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621">
        <f>Jun!$K38</f>
        <v>55493</v>
      </c>
      <c r="AZ54" s="621">
        <f>Jul!$K38</f>
        <v>70834</v>
      </c>
      <c r="BA54" s="621">
        <f>Aug!$K38</f>
        <v>82239</v>
      </c>
      <c r="BB54" s="621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621">
        <f>Jun!$K39</f>
        <v>0</v>
      </c>
      <c r="AZ55" s="621">
        <f>Jul!$K39</f>
        <v>0</v>
      </c>
      <c r="BA55" s="621">
        <f>Aug!$K39</f>
        <v>0</v>
      </c>
      <c r="BB55" s="621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621"/>
      <c r="AZ56" s="621"/>
      <c r="BA56" s="621"/>
      <c r="BB56" s="621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621"/>
      <c r="AZ57" s="621"/>
      <c r="BA57" s="621"/>
      <c r="BB57" s="621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621">
        <f>Jun!$K42</f>
        <v>0</v>
      </c>
      <c r="AZ58" s="621">
        <f>Jul!$K42</f>
        <v>0</v>
      </c>
      <c r="BA58" s="621">
        <f>Aug!$K42</f>
        <v>0</v>
      </c>
      <c r="BB58" s="621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2435155</v>
      </c>
      <c r="BB61" s="562">
        <v>2509124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8">
        <v>0</v>
      </c>
      <c r="AZ64" s="618">
        <v>0</v>
      </c>
      <c r="BA64" s="618">
        <v>0</v>
      </c>
      <c r="BB64" s="618">
        <v>0</v>
      </c>
      <c r="BC64" s="613">
        <v>0</v>
      </c>
      <c r="BD64" s="613">
        <v>0</v>
      </c>
      <c r="BE64" s="613">
        <v>0</v>
      </c>
    </row>
    <row r="65" spans="1:66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8">
        <v>0</v>
      </c>
      <c r="AZ65" s="618">
        <v>0</v>
      </c>
      <c r="BA65" s="618">
        <v>0</v>
      </c>
      <c r="BB65" s="618">
        <v>0</v>
      </c>
      <c r="BC65" s="613">
        <v>0</v>
      </c>
      <c r="BD65" s="613">
        <v>0</v>
      </c>
      <c r="BE65" s="613">
        <v>0</v>
      </c>
    </row>
    <row r="66" spans="1:66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8">
        <v>0</v>
      </c>
      <c r="AZ66" s="618">
        <v>0</v>
      </c>
      <c r="BA66" s="618">
        <v>0</v>
      </c>
      <c r="BB66" s="618">
        <v>0</v>
      </c>
      <c r="BC66" s="613">
        <v>0</v>
      </c>
      <c r="BD66" s="613">
        <v>0</v>
      </c>
      <c r="BE66" s="613">
        <v>0</v>
      </c>
    </row>
    <row r="67" spans="1:66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8">
        <v>0</v>
      </c>
      <c r="AZ67" s="618">
        <v>0</v>
      </c>
      <c r="BA67" s="618">
        <v>0</v>
      </c>
      <c r="BB67" s="618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6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8"/>
      <c r="AZ68" s="618"/>
      <c r="BA68" s="618"/>
      <c r="BB68" s="618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6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8"/>
      <c r="AZ69" s="618"/>
      <c r="BA69" s="618"/>
      <c r="BB69" s="618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6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8">
        <v>0</v>
      </c>
      <c r="AZ70" s="618">
        <v>0</v>
      </c>
      <c r="BA70" s="618">
        <v>0</v>
      </c>
      <c r="BB70" s="618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6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6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6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6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617">
        <v>0.01</v>
      </c>
      <c r="AZ74" s="617">
        <v>0.01</v>
      </c>
      <c r="BA74" s="617">
        <v>0.01</v>
      </c>
      <c r="BB74" s="617">
        <v>0.01</v>
      </c>
      <c r="BC74" s="486"/>
      <c r="BD74" s="486"/>
      <c r="BE74" s="486"/>
      <c r="BF74" s="577"/>
      <c r="BG74" s="511">
        <f>BG4</f>
        <v>201709</v>
      </c>
      <c r="BH74" s="524"/>
      <c r="BI74" s="512"/>
      <c r="BJ74" s="512"/>
      <c r="BK74" s="521"/>
      <c r="BL74" s="513"/>
    </row>
    <row r="75" spans="1:66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558">
        <f t="shared" si="74"/>
        <v>-12162.103611547136</v>
      </c>
      <c r="AY75" s="480">
        <f t="shared" si="74"/>
        <v>-12172.238697890092</v>
      </c>
      <c r="AZ75" s="480">
        <f>AY79</f>
        <v>-12182.382230138333</v>
      </c>
      <c r="BA75" s="480">
        <f t="shared" ref="BA75:BB75" si="75">AZ79</f>
        <v>-12192.534215330115</v>
      </c>
      <c r="BB75" s="480">
        <f t="shared" si="75"/>
        <v>-12202.694660509556</v>
      </c>
      <c r="BC75" s="480">
        <f>BB79</f>
        <v>-12212.863572726648</v>
      </c>
      <c r="BD75" s="480">
        <f t="shared" ref="BD75:BE75" si="76">BC79</f>
        <v>-12212.863572726648</v>
      </c>
      <c r="BE75" s="480">
        <f t="shared" si="76"/>
        <v>-12212.863572726648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  <c r="BN75" s="480" t="str">
        <f>_xll.GLW_Segment_Description(BH75,2,2)</f>
        <v>INTEREST ON ENERGY DEFERRALS</v>
      </c>
    </row>
    <row r="76" spans="1:66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10.168912217091298</v>
      </c>
      <c r="BL76" s="498">
        <v>0</v>
      </c>
      <c r="BN76" s="480" t="str">
        <f>_xll.GLW_Segment_Description(BH76,2,2)</f>
        <v>INTEREST EXPENSE ENERGY DEFERRALS</v>
      </c>
    </row>
    <row r="77" spans="1:66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C77" si="81">((AY75*(AY74/12))+((AY76/2)*(AY74/12)))</f>
        <v>-10.143532248241744</v>
      </c>
      <c r="AZ77" s="487">
        <f t="shared" si="81"/>
        <v>-10.151985191781945</v>
      </c>
      <c r="BA77" s="487">
        <f t="shared" si="81"/>
        <v>-10.160445179441764</v>
      </c>
      <c r="BB77" s="487">
        <f t="shared" si="81"/>
        <v>-10.168912217091298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10.168912217091298</v>
      </c>
      <c r="BN77" s="480" t="str">
        <f>_xll.GLW_Segment_Description(BH77,2,2)</f>
        <v>ID HOLDBACK</v>
      </c>
    </row>
    <row r="78" spans="1:66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  <c r="BN78" s="480" t="str">
        <f>_xll.GLW_Segment_Description(BH78,2,2)</f>
        <v>AMORTIZE ID HOLDBACK</v>
      </c>
    </row>
    <row r="79" spans="1:66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-12172.238697890092</v>
      </c>
      <c r="AY79" s="539">
        <f t="shared" si="83"/>
        <v>-12182.382230138333</v>
      </c>
      <c r="AZ79" s="539">
        <f t="shared" si="83"/>
        <v>-12192.534215330115</v>
      </c>
      <c r="BA79" s="539">
        <f t="shared" si="83"/>
        <v>-12202.694660509556</v>
      </c>
      <c r="BB79" s="539">
        <f t="shared" si="83"/>
        <v>-12212.863572726648</v>
      </c>
      <c r="BC79" s="539">
        <f t="shared" si="83"/>
        <v>-12212.863572726648</v>
      </c>
      <c r="BD79" s="539">
        <f t="shared" si="83"/>
        <v>-12212.863572726648</v>
      </c>
      <c r="BE79" s="539">
        <f>SUM(BE75:BE78)</f>
        <v>-12212.863572726648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  <c r="BN79" s="480" t="str">
        <f>_xll.GLW_Segment_Description(BH79,2,2)</f>
        <v>ID HOLDBACK</v>
      </c>
    </row>
    <row r="80" spans="1:66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  <c r="BN80" s="480" t="str">
        <f>_xll.GLW_Segment_Description(BH80,2,2)</f>
        <v>INTEREST EXPENSE ENERGY DEFERRALS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2.1302109907992417E-2</v>
      </c>
      <c r="AY81" s="480">
        <f t="shared" si="84"/>
        <v>1.7769861666238285E-2</v>
      </c>
      <c r="AZ81" s="480">
        <f t="shared" si="84"/>
        <v>1.5784669883942115E-2</v>
      </c>
      <c r="BA81" s="480">
        <f t="shared" si="84"/>
        <v>1.5339490442784154E-2</v>
      </c>
      <c r="BB81" s="480">
        <f t="shared" si="84"/>
        <v>1.6427273350927862E-2</v>
      </c>
      <c r="BC81" s="480">
        <f t="shared" si="84"/>
        <v>1.6427273350927862E-2</v>
      </c>
      <c r="BD81" s="480">
        <f t="shared" si="84"/>
        <v>1.6427273350927862E-2</v>
      </c>
      <c r="BE81" s="480">
        <f t="shared" si="84"/>
        <v>-12212.863572726648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635" priority="26" operator="notEqual">
      <formula>F27</formula>
    </cfRule>
  </conditionalFormatting>
  <conditionalFormatting sqref="G28">
    <cfRule type="cellIs" dxfId="634" priority="25" operator="notEqual">
      <formula>G27</formula>
    </cfRule>
  </conditionalFormatting>
  <conditionalFormatting sqref="H28">
    <cfRule type="cellIs" dxfId="633" priority="24" operator="notEqual">
      <formula>H27</formula>
    </cfRule>
  </conditionalFormatting>
  <conditionalFormatting sqref="I28">
    <cfRule type="cellIs" dxfId="632" priority="23" operator="notEqual">
      <formula>I27</formula>
    </cfRule>
  </conditionalFormatting>
  <conditionalFormatting sqref="D28">
    <cfRule type="cellIs" dxfId="631" priority="22" operator="notEqual">
      <formula>D27</formula>
    </cfRule>
  </conditionalFormatting>
  <conditionalFormatting sqref="G61">
    <cfRule type="cellIs" dxfId="630" priority="21" operator="notEqual">
      <formula>G60</formula>
    </cfRule>
  </conditionalFormatting>
  <conditionalFormatting sqref="H61">
    <cfRule type="cellIs" dxfId="629" priority="20" operator="notEqual">
      <formula>H60</formula>
    </cfRule>
  </conditionalFormatting>
  <conditionalFormatting sqref="I61">
    <cfRule type="cellIs" dxfId="628" priority="19" operator="notEqual">
      <formula>I60</formula>
    </cfRule>
  </conditionalFormatting>
  <conditionalFormatting sqref="D61">
    <cfRule type="cellIs" dxfId="627" priority="18" operator="notEqual">
      <formula>D60</formula>
    </cfRule>
  </conditionalFormatting>
  <conditionalFormatting sqref="J61">
    <cfRule type="cellIs" dxfId="626" priority="17" operator="notEqual">
      <formula>J60</formula>
    </cfRule>
  </conditionalFormatting>
  <conditionalFormatting sqref="BL81 BL48 BL11">
    <cfRule type="cellIs" dxfId="625" priority="16" operator="notEqual">
      <formula>0</formula>
    </cfRule>
  </conditionalFormatting>
  <conditionalFormatting sqref="J28">
    <cfRule type="cellIs" dxfId="624" priority="15" operator="notEqual">
      <formula>J27</formula>
    </cfRule>
  </conditionalFormatting>
  <conditionalFormatting sqref="K28">
    <cfRule type="cellIs" dxfId="623" priority="14" operator="notEqual">
      <formula>K27</formula>
    </cfRule>
  </conditionalFormatting>
  <conditionalFormatting sqref="K61">
    <cfRule type="cellIs" dxfId="622" priority="13" operator="notEqual">
      <formula>K60</formula>
    </cfRule>
  </conditionalFormatting>
  <conditionalFormatting sqref="L28">
    <cfRule type="cellIs" dxfId="621" priority="12" operator="notEqual">
      <formula>L27</formula>
    </cfRule>
  </conditionalFormatting>
  <conditionalFormatting sqref="L61">
    <cfRule type="cellIs" dxfId="620" priority="11" operator="notEqual">
      <formula>L60</formula>
    </cfRule>
  </conditionalFormatting>
  <conditionalFormatting sqref="M28:N28">
    <cfRule type="cellIs" dxfId="619" priority="10" operator="notEqual">
      <formula>M27</formula>
    </cfRule>
  </conditionalFormatting>
  <conditionalFormatting sqref="O28">
    <cfRule type="cellIs" dxfId="618" priority="9" operator="notEqual">
      <formula>O27</formula>
    </cfRule>
  </conditionalFormatting>
  <conditionalFormatting sqref="V61">
    <cfRule type="cellIs" dxfId="617" priority="8" operator="notEqual">
      <formula>V60</formula>
    </cfRule>
  </conditionalFormatting>
  <conditionalFormatting sqref="V28:W28">
    <cfRule type="cellIs" dxfId="616" priority="7" operator="notEqual">
      <formula>V27</formula>
    </cfRule>
  </conditionalFormatting>
  <conditionalFormatting sqref="W28">
    <cfRule type="cellIs" dxfId="615" priority="6" operator="notEqual">
      <formula>W27</formula>
    </cfRule>
  </conditionalFormatting>
  <conditionalFormatting sqref="W61">
    <cfRule type="cellIs" dxfId="614" priority="5" operator="notEqual">
      <formula>W60</formula>
    </cfRule>
  </conditionalFormatting>
  <conditionalFormatting sqref="X28">
    <cfRule type="cellIs" dxfId="613" priority="4" operator="notEqual">
      <formula>X27</formula>
    </cfRule>
  </conditionalFormatting>
  <conditionalFormatting sqref="X61">
    <cfRule type="cellIs" dxfId="612" priority="3" operator="notEqual">
      <formula>X60</formula>
    </cfRule>
  </conditionalFormatting>
  <conditionalFormatting sqref="Y28:Z28">
    <cfRule type="cellIs" dxfId="611" priority="2" operator="notEqual">
      <formula>Y27</formula>
    </cfRule>
  </conditionalFormatting>
  <conditionalFormatting sqref="AA28">
    <cfRule type="cellIs" dxfId="610" priority="1" operator="notEqual">
      <formula>AA27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M84"/>
  <sheetViews>
    <sheetView showGridLines="0" zoomScale="70" zoomScaleNormal="70" zoomScaleSheetLayoutView="85" workbookViewId="0">
      <pane xSplit="2" ySplit="3" topLeftCell="C30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hidden="1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52" width="17.42578125" style="480" customWidth="1"/>
    <col min="53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5">
      <c r="A1" s="478" t="s">
        <v>262</v>
      </c>
      <c r="BF1" s="478" t="s">
        <v>312</v>
      </c>
      <c r="BI1" s="481" t="s">
        <v>333</v>
      </c>
      <c r="BJ1" s="481"/>
    </row>
    <row r="2" spans="1:65">
      <c r="A2" s="481" t="s">
        <v>263</v>
      </c>
    </row>
    <row r="3" spans="1:65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5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3.9600000000000003E-2</v>
      </c>
      <c r="AZ4" s="617">
        <v>3.9600000000000003E-2</v>
      </c>
      <c r="BA4" s="617">
        <v>3.7100000000000001E-2</v>
      </c>
      <c r="BB4" s="617">
        <v>3.7100000000000001E-2</v>
      </c>
      <c r="BC4" s="617">
        <v>3.7100000000000001E-2</v>
      </c>
      <c r="BD4" s="617">
        <v>3.7100000000000001E-2</v>
      </c>
      <c r="BE4" s="577"/>
      <c r="BF4" s="542">
        <v>201708</v>
      </c>
      <c r="BG4" s="524"/>
      <c r="BH4" s="512"/>
      <c r="BI4" s="512"/>
      <c r="BJ4" s="512"/>
      <c r="BK4" s="513"/>
    </row>
    <row r="5" spans="1:65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558">
        <f t="shared" si="5"/>
        <v>-15173451.409781789</v>
      </c>
      <c r="AX5" s="480">
        <f t="shared" si="5"/>
        <v>-15098116.96234579</v>
      </c>
      <c r="AY5" s="480">
        <f>AX13</f>
        <v>-14771177.38731979</v>
      </c>
      <c r="AZ5" s="628">
        <f t="shared" ref="AZ5" si="6">AY13</f>
        <v>-15909772.702550791</v>
      </c>
      <c r="BA5" s="480">
        <f>AZ13</f>
        <v>-16977268.897435792</v>
      </c>
      <c r="BB5" s="480">
        <f t="shared" ref="BB5" si="7">BA13</f>
        <v>-18958677.248894792</v>
      </c>
      <c r="BC5" s="480">
        <f>BB13</f>
        <v>-21942651.943472791</v>
      </c>
      <c r="BD5" s="480">
        <f t="shared" ref="BD5" si="8">BC13</f>
        <v>-7909438.4729997888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  <c r="BM5" s="480" t="str">
        <f>_xll.GLW_Segment_Description(BG5,2,2)</f>
        <v>INTEREST ON ENERGY DEFERRALS</v>
      </c>
    </row>
    <row r="6" spans="1:65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54174.23</v>
      </c>
      <c r="BK6" s="498">
        <v>0</v>
      </c>
      <c r="BM6" s="480" t="str">
        <f>_xll.GLW_Segment_Description(BG6,2,2)</f>
        <v>INTEREST EXPENSE ENERGY DEFERRALS</v>
      </c>
    </row>
    <row r="7" spans="1:65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1067496.1948849997</v>
      </c>
      <c r="BM7" s="480" t="str">
        <f>_xll.GLW_Segment_Description(BG7,2,2)</f>
        <v>CURR UNRECOV PGA DEFERRED</v>
      </c>
    </row>
    <row r="8" spans="1:65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11">ROUND(((AR5)*(AR4/12))+((SUM(AR6:AR7)/2)*(AR4/12)),2)</f>
        <v>-14406.68</v>
      </c>
      <c r="AS8" s="555">
        <f t="shared" si="11"/>
        <v>-24852.09</v>
      </c>
      <c r="AT8" s="555">
        <f t="shared" si="11"/>
        <v>-32890.959999999999</v>
      </c>
      <c r="AU8" s="555">
        <f t="shared" si="11"/>
        <v>-38340.61</v>
      </c>
      <c r="AV8" s="555">
        <f t="shared" si="11"/>
        <v>-45012.82</v>
      </c>
      <c r="AW8" s="555">
        <f t="shared" si="11"/>
        <v>-46722.57</v>
      </c>
      <c r="AX8" s="555">
        <f>ROUND(((AX5)*(AX4/12))+((SUM(AX6:AX7)/2)*(AX4/12)),2)</f>
        <v>-46101.69</v>
      </c>
      <c r="AY8" s="555">
        <f t="shared" ref="AY8:BA8" si="12">ROUND(((AY5)*(AY4/12))+((SUM(AY6:AY7)/2)*(AY4/12)),2)</f>
        <v>-50540.18</v>
      </c>
      <c r="AZ8" s="555">
        <f>ROUND(((AZ5)*(AZ4/12))+((SUM(AZ6:AZ7)/2)*(AZ4/12)),2)</f>
        <v>-54174.23</v>
      </c>
      <c r="BA8" s="555">
        <f t="shared" si="12"/>
        <v>-55465.24</v>
      </c>
      <c r="BB8" s="555">
        <f>ROUND(((BB5)*(BB4/12))+((SUM(BB6:BB7)/2)*(BB4/12)),2)</f>
        <v>-63129.05</v>
      </c>
      <c r="BC8" s="555">
        <f>ROUND(((BC5+BC9+BC10+BC11)*(BC4/12))+((SUM(BC6:BC7)/2)*(BC4/12)),2)</f>
        <v>-23276.6</v>
      </c>
      <c r="BD8" s="487">
        <f>ROUND(((BD5)*(BD4/12))+((SUM(BD6:BD7)/2)*(BD4/12)),2)</f>
        <v>-30217.54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1013321.9648849997</v>
      </c>
      <c r="BK8" s="498">
        <f>IF((SUMIF(AG3:BD3,BF4,AG6:BD6)+SUMIF(AG3:BD3,BF4,AG7:BD7))&gt;0,(SUMIF(AG3:BD3,BF4,AG6:BD6)+SUMIF(AG3:BD3,BF4,AG7:BD7)),0)</f>
        <v>0</v>
      </c>
      <c r="BM8" s="480" t="str">
        <f>_xll.GLW_Segment_Description(BG8,2,2)</f>
        <v>DEFER CURRENT UNRECOVERED GAS COSTS</v>
      </c>
    </row>
    <row r="9" spans="1:65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  <c r="BM9" s="480" t="str">
        <f>_xll.GLW_Segment_Description(BG9,2,2)</f>
        <v>CURR UNRECOV PGA DEFERRED</v>
      </c>
    </row>
    <row r="10" spans="1:65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  <c r="BM10" s="480" t="str">
        <f>_xll.GLW_Segment_Description(BG10,2,2)</f>
        <v>RECOVERABLE GAS COSTS AMORTIZED</v>
      </c>
    </row>
    <row r="11" spans="1:65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5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5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3">SUM(F5:F12)</f>
        <v>2255013.9900000002</v>
      </c>
      <c r="G13" s="539">
        <f>SUM(G5:G12)</f>
        <v>-33498.738666789999</v>
      </c>
      <c r="H13" s="539">
        <f t="shared" si="13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4">SUM(V5:V12)</f>
        <v>-1694440.0214187815</v>
      </c>
      <c r="W13" s="539">
        <f t="shared" si="14"/>
        <v>-683405.33395377884</v>
      </c>
      <c r="X13" s="539">
        <f t="shared" si="14"/>
        <v>-2769396.4708657796</v>
      </c>
      <c r="Y13" s="539">
        <f>SUM(Y5:Y12)</f>
        <v>-2940906.6891037785</v>
      </c>
      <c r="Z13" s="539">
        <f t="shared" ref="Z13:AE13" si="15">SUM(Z5:Z12)</f>
        <v>-3112721.2246137792</v>
      </c>
      <c r="AA13" s="539">
        <f t="shared" si="15"/>
        <v>-3464489.8670317773</v>
      </c>
      <c r="AB13" s="539">
        <f t="shared" si="15"/>
        <v>-3555298.2266717753</v>
      </c>
      <c r="AC13" s="539">
        <f t="shared" si="15"/>
        <v>-4755858.0107337767</v>
      </c>
      <c r="AD13" s="539">
        <f t="shared" si="15"/>
        <v>-5900360.3440987766</v>
      </c>
      <c r="AE13" s="539">
        <f t="shared" si="15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6">SUM(AI5:AI12)</f>
        <v>-10398819.535470769</v>
      </c>
      <c r="AJ13" s="539">
        <f t="shared" si="16"/>
        <v>-12153304.785960769</v>
      </c>
      <c r="AK13" s="539">
        <f t="shared" si="16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6"/>
        <v>-15660034.00335677</v>
      </c>
      <c r="AO13" s="539">
        <f>SUM(AO5:AO12)</f>
        <v>-16306032.832939774</v>
      </c>
      <c r="AP13" s="539">
        <f t="shared" si="16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7">SUM(AV5:AV12)</f>
        <v>-15173451.409781789</v>
      </c>
      <c r="AW13" s="539">
        <f t="shared" si="17"/>
        <v>-15098116.96234579</v>
      </c>
      <c r="AX13" s="539">
        <f>SUM(AX5:AX12)</f>
        <v>-14771177.38731979</v>
      </c>
      <c r="AY13" s="539">
        <f t="shared" ref="AY13:AZ13" si="18">SUM(AY5:AY12)</f>
        <v>-15909772.702550791</v>
      </c>
      <c r="AZ13" s="539">
        <f t="shared" si="18"/>
        <v>-16977268.897435792</v>
      </c>
      <c r="BA13" s="539">
        <f>SUM(BA5:BA12)</f>
        <v>-18958677.248894792</v>
      </c>
      <c r="BB13" s="539">
        <f t="shared" ref="BB13" si="19">SUM(BB5:BB12)</f>
        <v>-21942651.943472791</v>
      </c>
      <c r="BC13" s="602">
        <f>SUM(BC5:BC12)</f>
        <v>-7909438.4729997888</v>
      </c>
      <c r="BD13" s="539">
        <f>SUM(BD5:BD12)</f>
        <v>-11668513.799853787</v>
      </c>
    </row>
    <row r="14" spans="1:65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558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5">
      <c r="B15" s="479" t="s">
        <v>243</v>
      </c>
      <c r="E15" s="480">
        <f t="shared" ref="E15:H15" si="20">E13-E14</f>
        <v>1.0000000242143869E-2</v>
      </c>
      <c r="F15" s="480">
        <f t="shared" si="20"/>
        <v>1.0000000242143869E-2</v>
      </c>
      <c r="G15" s="480">
        <f t="shared" si="20"/>
        <v>1.1333210000884719E-2</v>
      </c>
      <c r="H15" s="480">
        <f t="shared" si="20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1">V13-V14</f>
        <v>-1.418781466782093E-3</v>
      </c>
      <c r="W15" s="480">
        <f t="shared" si="21"/>
        <v>-3.9537788834422827E-3</v>
      </c>
      <c r="X15" s="480">
        <f t="shared" si="21"/>
        <v>-8.6577935144305229E-4</v>
      </c>
      <c r="Y15" s="480">
        <f t="shared" si="21"/>
        <v>8.9622149243950844E-4</v>
      </c>
      <c r="Z15" s="480">
        <f t="shared" si="21"/>
        <v>5.3862207569181919E-3</v>
      </c>
      <c r="AA15" s="480">
        <f t="shared" si="21"/>
        <v>2.9682228341698647E-3</v>
      </c>
      <c r="AB15" s="480">
        <f t="shared" si="21"/>
        <v>3.3282246440649033E-3</v>
      </c>
      <c r="AC15" s="480">
        <f t="shared" si="21"/>
        <v>-7.3377694934606552E-4</v>
      </c>
      <c r="AD15" s="480">
        <f t="shared" si="21"/>
        <v>-4.0987767279148102E-3</v>
      </c>
      <c r="AE15" s="480">
        <f t="shared" si="21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2">AH13-AH14</f>
        <v>5.9522874653339386E-4</v>
      </c>
      <c r="AI15" s="480">
        <f t="shared" si="22"/>
        <v>4.5292302966117859E-3</v>
      </c>
      <c r="AJ15" s="480">
        <f t="shared" si="22"/>
        <v>4.0392298251390457E-3</v>
      </c>
      <c r="AK15" s="480">
        <f t="shared" si="22"/>
        <v>7.895229384303093E-3</v>
      </c>
      <c r="AL15" s="480">
        <f t="shared" si="22"/>
        <v>5.0072316080331802E-3</v>
      </c>
      <c r="AM15" s="480">
        <f>AM13-AM14</f>
        <v>2.2832304239273071E-3</v>
      </c>
      <c r="AN15" s="480">
        <f t="shared" si="22"/>
        <v>6.6432300955057144E-3</v>
      </c>
      <c r="AO15" s="480">
        <f t="shared" si="22"/>
        <v>7.0602260529994965E-3</v>
      </c>
      <c r="AP15" s="480">
        <f t="shared" si="22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3">AT13-AT14</f>
        <v>1.8762214109301567E-2</v>
      </c>
      <c r="AU15" s="480">
        <f t="shared" si="23"/>
        <v>1.8333211541175842E-2</v>
      </c>
      <c r="AV15" s="480">
        <f t="shared" si="23"/>
        <v>2.021821029484272E-2</v>
      </c>
      <c r="AW15" s="480">
        <f t="shared" si="23"/>
        <v>1.7654210329055786E-2</v>
      </c>
      <c r="AX15" s="480">
        <f t="shared" si="23"/>
        <v>1.2680210173130035E-2</v>
      </c>
      <c r="AY15" s="480">
        <f t="shared" si="23"/>
        <v>1.7449209466576576E-2</v>
      </c>
      <c r="AZ15" s="480">
        <f t="shared" si="23"/>
        <v>1.256420835852623E-2</v>
      </c>
      <c r="BA15" s="480">
        <f t="shared" si="23"/>
        <v>3737.5611052066088</v>
      </c>
      <c r="BB15" s="480">
        <f t="shared" si="23"/>
        <v>-2980237.1334727928</v>
      </c>
      <c r="BC15" s="480">
        <f>BC13-BC14</f>
        <v>11052976.33700021</v>
      </c>
      <c r="BD15" s="480">
        <f>BD13-BD14</f>
        <v>-11668513.799853787</v>
      </c>
    </row>
    <row r="16" spans="1:65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4">U18+1</f>
        <v>201502</v>
      </c>
      <c r="W18" s="482">
        <f t="shared" si="24"/>
        <v>201503</v>
      </c>
      <c r="X18" s="482">
        <f t="shared" si="24"/>
        <v>201504</v>
      </c>
      <c r="Y18" s="482">
        <f t="shared" si="24"/>
        <v>201505</v>
      </c>
      <c r="Z18" s="482">
        <f t="shared" si="24"/>
        <v>201506</v>
      </c>
      <c r="AA18" s="482">
        <f t="shared" si="24"/>
        <v>201507</v>
      </c>
      <c r="AB18" s="482">
        <f t="shared" si="24"/>
        <v>201508</v>
      </c>
      <c r="AC18" s="482">
        <f t="shared" si="24"/>
        <v>201509</v>
      </c>
      <c r="AD18" s="482">
        <f t="shared" si="24"/>
        <v>201510</v>
      </c>
      <c r="AE18" s="482">
        <f>AD18+1</f>
        <v>201511</v>
      </c>
      <c r="AF18" s="482">
        <f t="shared" ref="AF18" si="25">AE18+1</f>
        <v>201512</v>
      </c>
      <c r="AG18" s="482">
        <v>201601</v>
      </c>
      <c r="AH18" s="482">
        <f>AG18+1</f>
        <v>201602</v>
      </c>
      <c r="AI18" s="482">
        <f t="shared" ref="AI18:AR18" si="26">AH18+1</f>
        <v>201603</v>
      </c>
      <c r="AJ18" s="482">
        <f t="shared" si="26"/>
        <v>201604</v>
      </c>
      <c r="AK18" s="482">
        <f t="shared" si="26"/>
        <v>201605</v>
      </c>
      <c r="AL18" s="482">
        <f t="shared" si="26"/>
        <v>201606</v>
      </c>
      <c r="AM18" s="482">
        <f t="shared" si="26"/>
        <v>201607</v>
      </c>
      <c r="AN18" s="482">
        <f t="shared" si="26"/>
        <v>201608</v>
      </c>
      <c r="AO18" s="482">
        <f t="shared" si="26"/>
        <v>201609</v>
      </c>
      <c r="AP18" s="482">
        <f t="shared" si="26"/>
        <v>201610</v>
      </c>
      <c r="AQ18" s="482">
        <f t="shared" si="26"/>
        <v>201611</v>
      </c>
      <c r="AR18" s="482">
        <f t="shared" si="26"/>
        <v>201612</v>
      </c>
      <c r="AS18" s="482">
        <f>AS3</f>
        <v>201701</v>
      </c>
      <c r="AT18" s="482">
        <f>AS18+1</f>
        <v>201702</v>
      </c>
      <c r="AU18" s="482">
        <f t="shared" ref="AU18:BD18" si="27">AT18+1</f>
        <v>201703</v>
      </c>
      <c r="AV18" s="482">
        <f t="shared" si="27"/>
        <v>201704</v>
      </c>
      <c r="AW18" s="482">
        <f t="shared" si="27"/>
        <v>201705</v>
      </c>
      <c r="AX18" s="482">
        <f t="shared" si="27"/>
        <v>201706</v>
      </c>
      <c r="AY18" s="482">
        <f t="shared" si="27"/>
        <v>201707</v>
      </c>
      <c r="AZ18" s="482">
        <f t="shared" si="27"/>
        <v>201708</v>
      </c>
      <c r="BA18" s="482">
        <f t="shared" si="27"/>
        <v>201709</v>
      </c>
      <c r="BB18" s="482">
        <f t="shared" si="27"/>
        <v>201710</v>
      </c>
      <c r="BC18" s="482">
        <f t="shared" si="27"/>
        <v>201711</v>
      </c>
      <c r="BD18" s="482">
        <f t="shared" si="27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620">
        <f>Jun!$G23</f>
        <v>2542069</v>
      </c>
      <c r="AY19" s="620">
        <f>Jul!$G23</f>
        <v>2070483</v>
      </c>
      <c r="AZ19" s="620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8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620">
        <f>Jun!$G24</f>
        <v>3619</v>
      </c>
      <c r="AY20" s="620">
        <f>Jul!$G24</f>
        <v>2296</v>
      </c>
      <c r="AZ20" s="620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8"/>
        <v>51323965</v>
      </c>
      <c r="D21" s="489">
        <f t="shared" ref="D21:D27" si="29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620">
        <f>Jun!$G25</f>
        <v>1878375</v>
      </c>
      <c r="AY21" s="620">
        <f>Jul!$G25</f>
        <v>1446879</v>
      </c>
      <c r="AZ21" s="620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620"/>
      <c r="AY22" s="620"/>
      <c r="AZ22" s="620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8"/>
        <v>3609942</v>
      </c>
      <c r="D23" s="489">
        <f t="shared" si="29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620">
        <f>Jun!$G27</f>
        <v>289055</v>
      </c>
      <c r="AY23" s="620">
        <f>Jul!$G27</f>
        <v>274504</v>
      </c>
      <c r="AZ23" s="620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8"/>
        <v>0</v>
      </c>
      <c r="D24" s="489">
        <f t="shared" si="29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620"/>
      <c r="AY24" s="620"/>
      <c r="AZ24" s="620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8"/>
        <v>0</v>
      </c>
      <c r="D25" s="489">
        <f t="shared" si="29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620">
        <f>Jun!$G29</f>
        <v>0</v>
      </c>
      <c r="AY25" s="620">
        <f>Jul!$G29</f>
        <v>0</v>
      </c>
      <c r="AZ25" s="620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8"/>
        <v>0</v>
      </c>
      <c r="D26" s="489">
        <f t="shared" si="29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620"/>
      <c r="AY26" s="620"/>
      <c r="AZ26" s="620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8"/>
        <v>35395192</v>
      </c>
      <c r="D27" s="489">
        <f t="shared" si="29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620">
        <f>Jun!$G31</f>
        <v>2531843</v>
      </c>
      <c r="AY27" s="620">
        <f>Jul!$G31</f>
        <v>2144434</v>
      </c>
      <c r="AZ27" s="620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30">SUM(G19:G27)</f>
        <v>24054373</v>
      </c>
      <c r="H28" s="540">
        <f t="shared" si="30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1">SUM(V19:V27)</f>
        <v>21809394</v>
      </c>
      <c r="W28" s="540">
        <f t="shared" si="31"/>
        <v>17454090</v>
      </c>
      <c r="X28" s="540">
        <f t="shared" si="31"/>
        <v>14032685</v>
      </c>
      <c r="Y28" s="540">
        <f t="shared" si="31"/>
        <v>7651890</v>
      </c>
      <c r="Z28" s="540">
        <f t="shared" si="31"/>
        <v>5795038</v>
      </c>
      <c r="AA28" s="540">
        <f t="shared" si="31"/>
        <v>5628267</v>
      </c>
      <c r="AB28" s="540">
        <f t="shared" si="31"/>
        <v>5459507</v>
      </c>
      <c r="AC28" s="540">
        <f t="shared" si="31"/>
        <v>7409442</v>
      </c>
      <c r="AD28" s="540">
        <f t="shared" si="31"/>
        <v>10025335</v>
      </c>
      <c r="AE28" s="540">
        <f t="shared" si="31"/>
        <v>24443601</v>
      </c>
      <c r="AF28" s="540">
        <f t="shared" si="31"/>
        <v>29286544</v>
      </c>
      <c r="AG28" s="540">
        <f>SUM(AG19:AG27)</f>
        <v>40584714</v>
      </c>
      <c r="AH28" s="540">
        <f t="shared" si="31"/>
        <v>30357660</v>
      </c>
      <c r="AI28" s="540">
        <f t="shared" si="31"/>
        <v>23658883</v>
      </c>
      <c r="AJ28" s="540">
        <f t="shared" si="31"/>
        <v>16834972</v>
      </c>
      <c r="AK28" s="540">
        <f t="shared" si="31"/>
        <v>10179280</v>
      </c>
      <c r="AL28" s="540">
        <f>SUM(AL19:AL27)</f>
        <v>7244961</v>
      </c>
      <c r="AM28" s="540">
        <f>SUM(AM19:AM27)</f>
        <v>5938596</v>
      </c>
      <c r="AN28" s="540">
        <f t="shared" si="31"/>
        <v>6177700</v>
      </c>
      <c r="AO28" s="540">
        <f>SUM(AO19:AO27)</f>
        <v>7874888</v>
      </c>
      <c r="AP28" s="540">
        <f t="shared" si="31"/>
        <v>15813981</v>
      </c>
      <c r="AQ28" s="540">
        <f t="shared" si="31"/>
        <v>18553428</v>
      </c>
      <c r="AR28" s="540">
        <f t="shared" si="31"/>
        <v>36861159</v>
      </c>
      <c r="AS28" s="540">
        <f>SUM(AS19:AS27)</f>
        <v>40584714</v>
      </c>
      <c r="AT28" s="540">
        <f t="shared" ref="AT28:AW28" si="32">SUM(AT19:AT27)</f>
        <v>30357660</v>
      </c>
      <c r="AU28" s="540">
        <f t="shared" si="32"/>
        <v>23658883</v>
      </c>
      <c r="AV28" s="540">
        <f t="shared" si="32"/>
        <v>16834972</v>
      </c>
      <c r="AW28" s="540">
        <f t="shared" si="32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3">SUM(AZ19:AZ27)</f>
        <v>6177700</v>
      </c>
      <c r="BA28" s="540">
        <f>SUM(BA19:BA27)</f>
        <v>4727652</v>
      </c>
      <c r="BB28" s="540">
        <f t="shared" ref="BB28:BD28" si="34">SUM(BB19:BB27)</f>
        <v>6978145</v>
      </c>
      <c r="BC28" s="540">
        <f t="shared" si="34"/>
        <v>7201032</v>
      </c>
      <c r="BD28" s="540">
        <f t="shared" si="34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7244961</v>
      </c>
      <c r="AY29" s="489">
        <v>5938596</v>
      </c>
      <c r="AZ29" s="563">
        <v>6177700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5">U31+1</f>
        <v>201502</v>
      </c>
      <c r="W31" s="482">
        <f t="shared" si="35"/>
        <v>201503</v>
      </c>
      <c r="X31" s="482">
        <f t="shared" si="35"/>
        <v>201504</v>
      </c>
      <c r="Y31" s="482">
        <f t="shared" si="35"/>
        <v>201505</v>
      </c>
      <c r="Z31" s="482">
        <f t="shared" si="35"/>
        <v>201506</v>
      </c>
      <c r="AA31" s="482">
        <f t="shared" si="35"/>
        <v>201507</v>
      </c>
      <c r="AB31" s="482">
        <f t="shared" si="35"/>
        <v>201508</v>
      </c>
      <c r="AC31" s="482">
        <f t="shared" si="35"/>
        <v>201509</v>
      </c>
      <c r="AD31" s="482">
        <f t="shared" si="35"/>
        <v>201510</v>
      </c>
      <c r="AE31" s="482">
        <f>AD31+1</f>
        <v>201511</v>
      </c>
      <c r="AF31" s="482">
        <f t="shared" ref="AF31" si="36">AE31+1</f>
        <v>201512</v>
      </c>
      <c r="AG31" s="482">
        <v>201601</v>
      </c>
      <c r="AH31" s="482">
        <f>AG31+1</f>
        <v>201602</v>
      </c>
      <c r="AI31" s="482">
        <f t="shared" ref="AI31:AR31" si="37">AH31+1</f>
        <v>201603</v>
      </c>
      <c r="AJ31" s="482">
        <f t="shared" si="37"/>
        <v>201604</v>
      </c>
      <c r="AK31" s="482">
        <f t="shared" si="37"/>
        <v>201605</v>
      </c>
      <c r="AL31" s="482">
        <f t="shared" si="37"/>
        <v>201606</v>
      </c>
      <c r="AM31" s="482">
        <f t="shared" si="37"/>
        <v>201607</v>
      </c>
      <c r="AN31" s="482">
        <f t="shared" si="37"/>
        <v>201608</v>
      </c>
      <c r="AO31" s="482">
        <f t="shared" si="37"/>
        <v>201609</v>
      </c>
      <c r="AP31" s="482">
        <f t="shared" si="37"/>
        <v>201610</v>
      </c>
      <c r="AQ31" s="482">
        <f t="shared" si="37"/>
        <v>201611</v>
      </c>
      <c r="AR31" s="482">
        <f t="shared" si="37"/>
        <v>201612</v>
      </c>
      <c r="AS31" s="482">
        <f>AS3</f>
        <v>201701</v>
      </c>
      <c r="AT31" s="482">
        <f>AS31+1</f>
        <v>201702</v>
      </c>
      <c r="AU31" s="482">
        <f t="shared" ref="AU31:BD31" si="38">AT31+1</f>
        <v>201703</v>
      </c>
      <c r="AV31" s="482">
        <f t="shared" si="38"/>
        <v>201704</v>
      </c>
      <c r="AW31" s="482">
        <f t="shared" si="38"/>
        <v>201705</v>
      </c>
      <c r="AX31" s="482">
        <f t="shared" si="38"/>
        <v>201706</v>
      </c>
      <c r="AY31" s="482">
        <f t="shared" si="38"/>
        <v>201707</v>
      </c>
      <c r="AZ31" s="482">
        <f t="shared" si="38"/>
        <v>201708</v>
      </c>
      <c r="BA31" s="482">
        <f t="shared" si="38"/>
        <v>201709</v>
      </c>
      <c r="BB31" s="482">
        <f t="shared" si="38"/>
        <v>201710</v>
      </c>
      <c r="BC31" s="482">
        <f t="shared" si="38"/>
        <v>201711</v>
      </c>
      <c r="BD31" s="482">
        <f t="shared" si="38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6">
        <v>9.1740000000000002E-2</v>
      </c>
      <c r="AY32" s="616">
        <v>9.1740000000000002E-2</v>
      </c>
      <c r="AZ32" s="616">
        <v>9.1740000000000002E-2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5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6">
        <v>9.1740000000000002E-2</v>
      </c>
      <c r="AY33" s="616">
        <v>9.1740000000000002E-2</v>
      </c>
      <c r="AZ33" s="616">
        <v>9.1740000000000002E-2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5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6">
        <v>7.2489999999999999E-2</v>
      </c>
      <c r="AY34" s="616">
        <v>7.2489999999999999E-2</v>
      </c>
      <c r="AZ34" s="616">
        <v>7.2489999999999999E-2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5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6"/>
      <c r="AY35" s="616"/>
      <c r="AZ35" s="616"/>
      <c r="BA35" s="612"/>
      <c r="BB35" s="612"/>
      <c r="BC35" s="494"/>
      <c r="BD35" s="494"/>
    </row>
    <row r="36" spans="1:65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6">
        <v>4.4479999999999999E-2</v>
      </c>
      <c r="AY36" s="616">
        <v>4.4479999999999999E-2</v>
      </c>
      <c r="AZ36" s="616">
        <v>4.4479999999999999E-2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5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6"/>
      <c r="AY37" s="616"/>
      <c r="AZ37" s="616"/>
      <c r="BA37" s="612"/>
      <c r="BB37" s="612"/>
      <c r="BC37" s="494"/>
      <c r="BD37" s="494"/>
    </row>
    <row r="38" spans="1:65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6">
        <v>8.8340000000000002E-2</v>
      </c>
      <c r="AY38" s="616">
        <v>8.8340000000000002E-2</v>
      </c>
      <c r="AZ38" s="616">
        <v>8.8340000000000002E-2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5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6"/>
      <c r="AY39" s="616"/>
      <c r="AZ39" s="616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5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Y40" s="616">
        <v>0</v>
      </c>
      <c r="AZ40" s="616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201708</v>
      </c>
      <c r="BG40" s="524"/>
      <c r="BH40" s="512"/>
      <c r="BI40" s="512"/>
      <c r="BJ40" s="512"/>
      <c r="BK40" s="513"/>
    </row>
    <row r="41" spans="1:65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  <c r="BM41" s="480" t="str">
        <f>_xll.GLW_Segment_Description(BG41,2,2)</f>
        <v>INTEREST ON ENERGY DEFERRALS</v>
      </c>
    </row>
    <row r="42" spans="1:65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9">U42+1</f>
        <v>201502</v>
      </c>
      <c r="W42" s="482">
        <f t="shared" si="39"/>
        <v>201503</v>
      </c>
      <c r="X42" s="482">
        <f t="shared" si="39"/>
        <v>201504</v>
      </c>
      <c r="Y42" s="482">
        <f t="shared" si="39"/>
        <v>201505</v>
      </c>
      <c r="Z42" s="482">
        <f t="shared" si="39"/>
        <v>201506</v>
      </c>
      <c r="AA42" s="482">
        <f t="shared" si="39"/>
        <v>201507</v>
      </c>
      <c r="AB42" s="482">
        <f t="shared" si="39"/>
        <v>201508</v>
      </c>
      <c r="AC42" s="482">
        <f t="shared" si="39"/>
        <v>201509</v>
      </c>
      <c r="AD42" s="482">
        <f t="shared" si="39"/>
        <v>201510</v>
      </c>
      <c r="AE42" s="482">
        <f>AD42+1</f>
        <v>201511</v>
      </c>
      <c r="AF42" s="482">
        <f t="shared" ref="AF42" si="40">AE42+1</f>
        <v>201512</v>
      </c>
      <c r="AG42" s="482">
        <v>201601</v>
      </c>
      <c r="AH42" s="482">
        <f>AG42+1</f>
        <v>201602</v>
      </c>
      <c r="AI42" s="482">
        <f t="shared" ref="AI42:AR42" si="41">AH42+1</f>
        <v>201603</v>
      </c>
      <c r="AJ42" s="482">
        <f t="shared" si="41"/>
        <v>201604</v>
      </c>
      <c r="AK42" s="482">
        <f t="shared" si="41"/>
        <v>201605</v>
      </c>
      <c r="AL42" s="482">
        <f t="shared" si="41"/>
        <v>201606</v>
      </c>
      <c r="AM42" s="482">
        <f t="shared" si="41"/>
        <v>201607</v>
      </c>
      <c r="AN42" s="482">
        <f t="shared" si="41"/>
        <v>201608</v>
      </c>
      <c r="AO42" s="482">
        <f t="shared" si="41"/>
        <v>201609</v>
      </c>
      <c r="AP42" s="482">
        <f t="shared" si="41"/>
        <v>201610</v>
      </c>
      <c r="AQ42" s="482">
        <f t="shared" si="41"/>
        <v>201611</v>
      </c>
      <c r="AR42" s="482">
        <f t="shared" si="41"/>
        <v>201612</v>
      </c>
      <c r="AS42" s="482">
        <f>AS3</f>
        <v>201701</v>
      </c>
      <c r="AT42" s="482">
        <f>AS42+1</f>
        <v>201702</v>
      </c>
      <c r="AU42" s="482">
        <f t="shared" ref="AU42:BD42" si="42">AT42+1</f>
        <v>201703</v>
      </c>
      <c r="AV42" s="482">
        <f t="shared" si="42"/>
        <v>201704</v>
      </c>
      <c r="AW42" s="482">
        <f t="shared" si="42"/>
        <v>201705</v>
      </c>
      <c r="AX42" s="482">
        <f t="shared" si="42"/>
        <v>201706</v>
      </c>
      <c r="AY42" s="482">
        <f t="shared" si="42"/>
        <v>201707</v>
      </c>
      <c r="AZ42" s="482">
        <f t="shared" si="42"/>
        <v>201708</v>
      </c>
      <c r="BA42" s="482">
        <f t="shared" si="42"/>
        <v>201709</v>
      </c>
      <c r="BB42" s="482">
        <f t="shared" si="42"/>
        <v>201710</v>
      </c>
      <c r="BC42" s="482">
        <f t="shared" si="42"/>
        <v>201711</v>
      </c>
      <c r="BD42" s="482">
        <f t="shared" si="42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619.17965711123838</v>
      </c>
      <c r="BK42" s="498">
        <v>0</v>
      </c>
      <c r="BM42" s="480" t="str">
        <f>_xll.GLW_Segment_Description(BG42,2,2)</f>
        <v>INTEREST EXPENSE ENERGY DEFERRALS</v>
      </c>
    </row>
    <row r="43" spans="1:65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617">
        <v>3.7100000000000001E-2</v>
      </c>
      <c r="AY43" s="617">
        <v>3.9600000000000003E-2</v>
      </c>
      <c r="AZ43" s="617">
        <v>3.9600000000000003E-2</v>
      </c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309581.10253288882</v>
      </c>
      <c r="BK43" s="498">
        <f>IF((SUMIF(Q42:BD42,BF40,Q45:BD45)+SUMIF(Q42:BD42,BF40,Q46:BD46))&lt;0,-(SUMIF(Q42:BD42,BF40,Q45:BD45)+SUMIF(Q42:BD42,BF40,Q46:BD46)),0)</f>
        <v>0</v>
      </c>
      <c r="BM43" s="480" t="str">
        <f>_xll.GLW_Segment_Description(BG43,2,2)</f>
        <v>RECOVERABLE GAS COSTS AMORTIZED</v>
      </c>
    </row>
    <row r="44" spans="1:65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3">AE49</f>
        <v>-2966848.8846008489</v>
      </c>
      <c r="AG44" s="480">
        <f t="shared" si="43"/>
        <v>-2400830.7877258095</v>
      </c>
      <c r="AH44" s="480">
        <f t="shared" si="43"/>
        <v>-1799942.4443073752</v>
      </c>
      <c r="AI44" s="480">
        <f t="shared" si="43"/>
        <v>-1367080.388300563</v>
      </c>
      <c r="AJ44" s="480">
        <f t="shared" si="43"/>
        <v>-991269.16134300514</v>
      </c>
      <c r="AK44" s="480">
        <f t="shared" si="43"/>
        <v>-820633.96798459429</v>
      </c>
      <c r="AL44" s="480">
        <f>AK49</f>
        <v>-706831.28344430251</v>
      </c>
      <c r="AM44" s="480">
        <f t="shared" ref="AM44:AT44" si="44">AL49</f>
        <v>-615740.82707996247</v>
      </c>
      <c r="AN44" s="480">
        <f t="shared" si="44"/>
        <v>-539081.43298013532</v>
      </c>
      <c r="AO44" s="480">
        <f t="shared" si="44"/>
        <v>-459570.5002163836</v>
      </c>
      <c r="AP44" s="480">
        <f t="shared" si="44"/>
        <v>-353667.8760235564</v>
      </c>
      <c r="AQ44" s="558">
        <f t="shared" si="44"/>
        <v>-123445.19123732927</v>
      </c>
      <c r="AR44" s="480">
        <f t="shared" si="44"/>
        <v>-12794629.54065969</v>
      </c>
      <c r="AS44" s="480">
        <f t="shared" si="44"/>
        <v>-9990002.7430699486</v>
      </c>
      <c r="AT44" s="480">
        <f t="shared" si="44"/>
        <v>-6863930.3518781429</v>
      </c>
      <c r="AU44" s="480">
        <f>AT49</f>
        <v>-4576506.6383892084</v>
      </c>
      <c r="AV44" s="480">
        <f t="shared" ref="AV44:AW44" si="45">AU49</f>
        <v>-2850780.7220049934</v>
      </c>
      <c r="AW44" s="558">
        <f t="shared" si="45"/>
        <v>-1667508.1164393995</v>
      </c>
      <c r="AX44" s="480">
        <f>AW49</f>
        <v>-1028322.8285985981</v>
      </c>
      <c r="AY44" s="480">
        <f t="shared" ref="AY44" si="46">AX49</f>
        <v>-648348.69566836057</v>
      </c>
      <c r="AZ44" s="628">
        <f>AY49</f>
        <v>-342730.3402196177</v>
      </c>
      <c r="BA44" s="480">
        <f>AZ49</f>
        <v>-33149.237686728884</v>
      </c>
      <c r="BB44" s="480">
        <f>BA49</f>
        <v>-5184.2319467288835</v>
      </c>
      <c r="BC44" s="558">
        <f>BB49</f>
        <v>43662.015673271118</v>
      </c>
      <c r="BD44" s="480">
        <f>BC49</f>
        <v>-12588058.674326731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310200.28219000006</v>
      </c>
      <c r="BM44" s="480" t="str">
        <f>_xll.GLW_Segment_Description(BG44,2,2)</f>
        <v>AMORTIZE RECOVERABLE GAS COSTS</v>
      </c>
    </row>
    <row r="45" spans="1:65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W45" si="47">SUMPRODUCT(AS19:AS27,AS32:AS40)</f>
        <v>3150615.2519499999</v>
      </c>
      <c r="AT45" s="480">
        <f t="shared" si="47"/>
        <v>2304083.3887400003</v>
      </c>
      <c r="AU45" s="480">
        <f t="shared" si="47"/>
        <v>1736541.60424</v>
      </c>
      <c r="AV45" s="480">
        <f t="shared" si="47"/>
        <v>1190246.3468200001</v>
      </c>
      <c r="AW45" s="480">
        <f t="shared" si="47"/>
        <v>643346.16116000002</v>
      </c>
      <c r="AX45" s="480">
        <f>SUMPRODUCT(AX19:AX27,AX32:AX40)</f>
        <v>382561.98726999998</v>
      </c>
      <c r="AY45" s="480">
        <f t="shared" ref="AY45" si="48">SUMPRODUCT(AY19:AY27,AY32:AY40)</f>
        <v>307250.94208999997</v>
      </c>
      <c r="AZ45" s="480">
        <f>SUMPRODUCT(AZ19:AZ27,AZ32:AZ40)</f>
        <v>310200.28219000006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9">BH43</f>
        <v>GD</v>
      </c>
      <c r="BI45" s="208" t="str">
        <f t="shared" si="49"/>
        <v>WA</v>
      </c>
      <c r="BJ45" s="470">
        <v>0</v>
      </c>
      <c r="BK45" s="460">
        <v>0</v>
      </c>
      <c r="BM45" s="480" t="str">
        <f>_xll.GLW_Segment_Description(BG45,2,2)</f>
        <v>RECOVERABLE GAS COSTS AMORTIZED</v>
      </c>
    </row>
    <row r="46" spans="1:65" ht="16.5" thickBot="1">
      <c r="B46" s="479" t="s">
        <v>4</v>
      </c>
      <c r="C46" s="480">
        <f t="shared" ref="C46:C48" si="50">SUM(AG46:AR46)</f>
        <v>-97522.093694136056</v>
      </c>
      <c r="D46" s="492">
        <f t="shared" ref="D46" si="51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52">((AQ44+AQ47)*(AQ43/12))+(((AQ45+AQ48)/2)*(AQ43/12))</f>
        <v>-39463.659422358884</v>
      </c>
      <c r="AR46" s="487">
        <f t="shared" si="52"/>
        <v>-33179.202410257429</v>
      </c>
      <c r="AS46" s="487">
        <f t="shared" si="52"/>
        <v>-24542.860758193601</v>
      </c>
      <c r="AT46" s="487">
        <f t="shared" si="52"/>
        <v>-16659.675251065419</v>
      </c>
      <c r="AU46" s="487">
        <f t="shared" si="52"/>
        <v>-10815.687855785192</v>
      </c>
      <c r="AV46" s="487">
        <f t="shared" si="52"/>
        <v>-6973.7412544061872</v>
      </c>
      <c r="AW46" s="487">
        <f>((AW44+AW47)*(AW43/12))+(((AW45+AW48)/2)*(AW43/12))</f>
        <v>-4160.873319198643</v>
      </c>
      <c r="AX46" s="487">
        <f>((AX44+AX47)*(AX43/12))+(((AX45+AX48)/2)*(AX43/12))</f>
        <v>-2587.8543397624576</v>
      </c>
      <c r="AY46" s="487">
        <f t="shared" ref="AY46" si="53">((AY44+AY47)*(AY43/12))+(((AY45+AY48)/2)*(AY43/12))</f>
        <v>-1632.5866412570899</v>
      </c>
      <c r="AZ46" s="487">
        <f>((AZ44+AZ47)*(AZ43/12))+(((AZ45+AZ48)/2)*(AZ43/12))</f>
        <v>-619.17965711123838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9"/>
        <v>GD</v>
      </c>
      <c r="BI46" s="556" t="str">
        <f t="shared" si="49"/>
        <v>WA</v>
      </c>
      <c r="BJ46" s="462">
        <f>BK45</f>
        <v>0</v>
      </c>
      <c r="BK46" s="471">
        <f>BJ45</f>
        <v>0</v>
      </c>
      <c r="BM46" s="480" t="str">
        <f>_xll.GLW_Segment_Description(BG46,2,2)</f>
        <v>AMORTIZE RECOVERABLE GAS COSTS</v>
      </c>
    </row>
    <row r="47" spans="1:65" ht="16.5" thickBot="1">
      <c r="B47" s="479" t="s">
        <v>256</v>
      </c>
      <c r="C47" s="480">
        <f t="shared" si="50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5">
      <c r="B48" s="479" t="s">
        <v>148</v>
      </c>
      <c r="C48" s="480">
        <f t="shared" si="50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4">SUM(F44:F48)</f>
        <v>404885.58467682183</v>
      </c>
      <c r="G49" s="539">
        <f t="shared" si="54"/>
        <v>1486369.5928734979</v>
      </c>
      <c r="H49" s="539">
        <f t="shared" si="54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5">SUM(V44:V48)</f>
        <v>-978605.01769356499</v>
      </c>
      <c r="W49" s="539">
        <f t="shared" si="55"/>
        <v>-801445.32791263924</v>
      </c>
      <c r="X49" s="539">
        <f t="shared" si="55"/>
        <v>-669275.24177190254</v>
      </c>
      <c r="Y49" s="539">
        <f t="shared" si="55"/>
        <v>-610882.24266902648</v>
      </c>
      <c r="Z49" s="539">
        <f t="shared" si="55"/>
        <v>-574943.04011245095</v>
      </c>
      <c r="AA49" s="539">
        <f t="shared" si="55"/>
        <v>-537511.27700320142</v>
      </c>
      <c r="AB49" s="539">
        <f t="shared" si="55"/>
        <v>-503286.03358886426</v>
      </c>
      <c r="AC49" s="539">
        <f t="shared" si="55"/>
        <v>-446057.56644618412</v>
      </c>
      <c r="AD49" s="539">
        <f t="shared" si="55"/>
        <v>-360318.05653003836</v>
      </c>
      <c r="AE49" s="539">
        <f t="shared" si="55"/>
        <v>-2966848.8846008489</v>
      </c>
      <c r="AF49" s="539">
        <f t="shared" si="55"/>
        <v>-2400830.7877258095</v>
      </c>
      <c r="AG49" s="539">
        <f t="shared" si="55"/>
        <v>-1799942.4443073752</v>
      </c>
      <c r="AH49" s="539">
        <f t="shared" si="55"/>
        <v>-1367080.388300563</v>
      </c>
      <c r="AI49" s="539">
        <f t="shared" si="55"/>
        <v>-991269.16134300514</v>
      </c>
      <c r="AJ49" s="539">
        <f t="shared" si="55"/>
        <v>-820633.96798459429</v>
      </c>
      <c r="AK49" s="539">
        <f t="shared" si="55"/>
        <v>-706831.28344430251</v>
      </c>
      <c r="AL49" s="539">
        <f t="shared" si="55"/>
        <v>-615740.82707996247</v>
      </c>
      <c r="AM49" s="539">
        <f>SUM(AM44:AM48)</f>
        <v>-539081.43298013532</v>
      </c>
      <c r="AN49" s="539">
        <f t="shared" si="55"/>
        <v>-459570.5002163836</v>
      </c>
      <c r="AO49" s="539">
        <f t="shared" si="55"/>
        <v>-353667.8760235564</v>
      </c>
      <c r="AP49" s="539">
        <f t="shared" si="55"/>
        <v>-123445.19123732927</v>
      </c>
      <c r="AQ49" s="539">
        <f>SUM(AQ44:AQ48)</f>
        <v>-12794629.54065969</v>
      </c>
      <c r="AR49" s="539">
        <f t="shared" si="55"/>
        <v>-9990002.7430699486</v>
      </c>
      <c r="AS49" s="539">
        <f>SUM(AS44:AS48)</f>
        <v>-6863930.3518781429</v>
      </c>
      <c r="AT49" s="539">
        <f t="shared" ref="AT49:AX49" si="56">SUM(AT44:AT48)</f>
        <v>-4576506.6383892084</v>
      </c>
      <c r="AU49" s="539">
        <f>SUM(AU44:AU48)</f>
        <v>-2850780.7220049934</v>
      </c>
      <c r="AV49" s="539">
        <f t="shared" si="56"/>
        <v>-1667508.1164393995</v>
      </c>
      <c r="AW49" s="539">
        <f t="shared" si="56"/>
        <v>-1028322.8285985981</v>
      </c>
      <c r="AX49" s="539">
        <f t="shared" si="56"/>
        <v>-648348.69566836057</v>
      </c>
      <c r="AY49" s="539">
        <f>SUM(AY44:AY48)</f>
        <v>-342730.3402196177</v>
      </c>
      <c r="AZ49" s="539">
        <f t="shared" ref="AZ49:BB49" si="57">SUM(AZ44:AZ48)</f>
        <v>-33149.237686728884</v>
      </c>
      <c r="BA49" s="539">
        <f t="shared" si="57"/>
        <v>-5184.2319467288835</v>
      </c>
      <c r="BB49" s="539">
        <f t="shared" si="57"/>
        <v>43662.015673271118</v>
      </c>
      <c r="BC49" s="539">
        <f>SUM(BC44:BC48)</f>
        <v>-12588058.674326731</v>
      </c>
      <c r="BD49" s="539">
        <f t="shared" ref="BD49" si="58">SUM(BD44:BD48)</f>
        <v>-9750252.6743267309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9">E49-E50</f>
        <v>-0.22028744451381499</v>
      </c>
      <c r="F51" s="480">
        <f t="shared" si="59"/>
        <v>-0.22532317816512659</v>
      </c>
      <c r="G51" s="480">
        <f t="shared" si="59"/>
        <v>-0.22712650219909847</v>
      </c>
      <c r="H51" s="480">
        <f t="shared" si="59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60">V49-V50</f>
        <v>-0.21769356494769454</v>
      </c>
      <c r="W51" s="480">
        <f t="shared" si="60"/>
        <v>-0.21791263925842941</v>
      </c>
      <c r="X51" s="480">
        <f t="shared" si="60"/>
        <v>-0.22177190252114087</v>
      </c>
      <c r="Y51" s="480">
        <f t="shared" si="60"/>
        <v>-0.22266902646515518</v>
      </c>
      <c r="Z51" s="480">
        <f t="shared" si="60"/>
        <v>-0.22011245100293308</v>
      </c>
      <c r="AA51" s="480">
        <f t="shared" si="60"/>
        <v>-0.21700320136733353</v>
      </c>
      <c r="AB51" s="480">
        <f t="shared" si="60"/>
        <v>-0.21358886425150558</v>
      </c>
      <c r="AC51" s="480">
        <f t="shared" si="60"/>
        <v>-0.21644618414575234</v>
      </c>
      <c r="AD51" s="480">
        <f t="shared" si="60"/>
        <v>-0.21653003833489493</v>
      </c>
      <c r="AE51" s="480">
        <f t="shared" si="60"/>
        <v>-0.21460084896534681</v>
      </c>
      <c r="AF51" s="480">
        <f t="shared" si="60"/>
        <v>-0.21772580966353416</v>
      </c>
      <c r="AG51" s="480">
        <f t="shared" si="60"/>
        <v>-0.22430737526156008</v>
      </c>
      <c r="AH51" s="480">
        <f t="shared" si="60"/>
        <v>-0.21830056305043399</v>
      </c>
      <c r="AI51" s="480">
        <f t="shared" si="60"/>
        <v>-0.22134300519246608</v>
      </c>
      <c r="AJ51" s="480">
        <f t="shared" si="60"/>
        <v>-0.2179845942882821</v>
      </c>
      <c r="AK51" s="480">
        <f>AK49-AK50</f>
        <v>-0.21344430255703628</v>
      </c>
      <c r="AL51" s="480">
        <f t="shared" si="60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60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1">AT49-AT50</f>
        <v>-0.20838920865207911</v>
      </c>
      <c r="AU51" s="480">
        <f>AU49-AU50</f>
        <v>-0.21200499357655644</v>
      </c>
      <c r="AV51" s="480">
        <f t="shared" si="61"/>
        <v>-0.21643939963541925</v>
      </c>
      <c r="AW51" s="480">
        <f>AW49-AW50</f>
        <v>-0.21859859814867377</v>
      </c>
      <c r="AX51" s="480">
        <f t="shared" ref="AX51" si="62">AX49-AX50</f>
        <v>-0.21566836058627814</v>
      </c>
      <c r="AY51" s="480">
        <f>AY49-AY50</f>
        <v>-0.22021961770951748</v>
      </c>
      <c r="AZ51" s="480">
        <f>AZ49-AZ50</f>
        <v>-0.21768672888720175</v>
      </c>
      <c r="BA51" s="480">
        <f t="shared" ref="BA51" si="63">BA49-BA50</f>
        <v>-434241.83194672887</v>
      </c>
      <c r="BB51" s="480">
        <f>BB49-BB50</f>
        <v>-385395.58432672883</v>
      </c>
      <c r="BC51" s="480">
        <f>BC49-BC50</f>
        <v>-13017116.274326731</v>
      </c>
      <c r="BD51" s="480">
        <f>BD49-BD50</f>
        <v>-9750252.6743267309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4">U54+1</f>
        <v>201502</v>
      </c>
      <c r="W54" s="482">
        <f t="shared" si="64"/>
        <v>201503</v>
      </c>
      <c r="X54" s="482">
        <f t="shared" si="64"/>
        <v>201504</v>
      </c>
      <c r="Y54" s="482">
        <f t="shared" si="64"/>
        <v>201505</v>
      </c>
      <c r="Z54" s="482">
        <f t="shared" si="64"/>
        <v>201506</v>
      </c>
      <c r="AA54" s="482">
        <f t="shared" si="64"/>
        <v>201507</v>
      </c>
      <c r="AB54" s="482">
        <f t="shared" si="64"/>
        <v>201508</v>
      </c>
      <c r="AC54" s="482">
        <f t="shared" si="64"/>
        <v>201509</v>
      </c>
      <c r="AD54" s="482">
        <f t="shared" si="64"/>
        <v>201510</v>
      </c>
      <c r="AE54" s="482">
        <f>AD54+1</f>
        <v>201511</v>
      </c>
      <c r="AF54" s="482">
        <f t="shared" ref="AF54" si="65">AE54+1</f>
        <v>201512</v>
      </c>
      <c r="AG54" s="482">
        <v>201601</v>
      </c>
      <c r="AH54" s="482">
        <f>AG54+1</f>
        <v>201602</v>
      </c>
      <c r="AI54" s="482">
        <f t="shared" ref="AI54:AR54" si="66">AH54+1</f>
        <v>201603</v>
      </c>
      <c r="AJ54" s="482">
        <f t="shared" si="66"/>
        <v>201604</v>
      </c>
      <c r="AK54" s="482">
        <f t="shared" si="66"/>
        <v>201605</v>
      </c>
      <c r="AL54" s="482">
        <f t="shared" si="66"/>
        <v>201606</v>
      </c>
      <c r="AM54" s="482">
        <f t="shared" si="66"/>
        <v>201607</v>
      </c>
      <c r="AN54" s="482">
        <f t="shared" si="66"/>
        <v>201608</v>
      </c>
      <c r="AO54" s="482">
        <f t="shared" si="66"/>
        <v>201609</v>
      </c>
      <c r="AP54" s="482">
        <f t="shared" si="66"/>
        <v>201610</v>
      </c>
      <c r="AQ54" s="482">
        <f t="shared" si="66"/>
        <v>201611</v>
      </c>
      <c r="AR54" s="482">
        <f t="shared" si="66"/>
        <v>201612</v>
      </c>
      <c r="AS54" s="482">
        <f>AS3</f>
        <v>201701</v>
      </c>
      <c r="AT54" s="482">
        <f>AS54+1</f>
        <v>201702</v>
      </c>
      <c r="AU54" s="482">
        <f t="shared" ref="AU54:BD54" si="67">AT54+1</f>
        <v>201703</v>
      </c>
      <c r="AV54" s="482">
        <f t="shared" si="67"/>
        <v>201704</v>
      </c>
      <c r="AW54" s="482">
        <f t="shared" si="67"/>
        <v>201705</v>
      </c>
      <c r="AX54" s="482">
        <f t="shared" si="67"/>
        <v>201706</v>
      </c>
      <c r="AY54" s="482">
        <f t="shared" si="67"/>
        <v>201707</v>
      </c>
      <c r="AZ54" s="482">
        <f t="shared" si="67"/>
        <v>201708</v>
      </c>
      <c r="BA54" s="482">
        <f t="shared" si="67"/>
        <v>201709</v>
      </c>
      <c r="BB54" s="482">
        <f t="shared" si="67"/>
        <v>201710</v>
      </c>
      <c r="BC54" s="482">
        <f t="shared" si="67"/>
        <v>201711</v>
      </c>
      <c r="BD54" s="482">
        <f t="shared" si="67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620">
        <f>Jun!$G23</f>
        <v>2542069</v>
      </c>
      <c r="AY55" s="620">
        <f>Jul!$G23</f>
        <v>2070483</v>
      </c>
      <c r="AZ55" s="620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8">SUM(AG56:AR56)</f>
        <v>197284</v>
      </c>
      <c r="D56" s="489">
        <f t="shared" ref="D56:D63" si="69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620">
        <f>Jun!$G24</f>
        <v>3619</v>
      </c>
      <c r="AY56" s="620">
        <f>Jul!$G24</f>
        <v>2296</v>
      </c>
      <c r="AZ56" s="620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8"/>
        <v>51323965</v>
      </c>
      <c r="D57" s="489">
        <f t="shared" si="69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620">
        <f>Jun!$G25</f>
        <v>1878375</v>
      </c>
      <c r="AY57" s="620">
        <f>Jul!$G25</f>
        <v>1446879</v>
      </c>
      <c r="AZ57" s="620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8"/>
        <v>0</v>
      </c>
      <c r="D58" s="489">
        <f t="shared" si="69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620">
        <f>Jun!$G26</f>
        <v>0</v>
      </c>
      <c r="AY58" s="620">
        <f>Jul!$G26</f>
        <v>0</v>
      </c>
      <c r="AZ58" s="620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8"/>
        <v>3609942</v>
      </c>
      <c r="D59" s="489">
        <f t="shared" si="69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620">
        <f>Jun!$G27</f>
        <v>289055</v>
      </c>
      <c r="AY59" s="620">
        <f>Jul!$G27</f>
        <v>274504</v>
      </c>
      <c r="AZ59" s="620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8"/>
        <v>506146</v>
      </c>
      <c r="D60" s="489">
        <f t="shared" si="69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620">
        <f>Jun!$G28</f>
        <v>17666</v>
      </c>
      <c r="AY60" s="620">
        <f>Jul!$G28</f>
        <v>44343</v>
      </c>
      <c r="AZ60" s="620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8"/>
        <v>0</v>
      </c>
      <c r="D61" s="489">
        <f t="shared" si="69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620">
        <f>Jun!$G29</f>
        <v>0</v>
      </c>
      <c r="AY61" s="620">
        <f>Jul!$G29</f>
        <v>0</v>
      </c>
      <c r="AZ61" s="620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8"/>
        <v>970005</v>
      </c>
      <c r="D62" s="489">
        <f t="shared" si="69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620">
        <f>Jun!$G30</f>
        <v>53882</v>
      </c>
      <c r="AY62" s="620">
        <f>Jul!$G30</f>
        <v>67673</v>
      </c>
      <c r="AZ62" s="620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8"/>
        <v>35395192</v>
      </c>
      <c r="D63" s="489">
        <f t="shared" si="69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620">
        <f>Jun!$G31</f>
        <v>2531843</v>
      </c>
      <c r="AY63" s="620">
        <f>Jul!$G31</f>
        <v>2144434</v>
      </c>
      <c r="AZ63" s="620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70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1">SUM(G55:G63)</f>
        <v>24248041</v>
      </c>
      <c r="H64" s="540">
        <f t="shared" si="71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2">SUM(V55:V63)</f>
        <v>22001617</v>
      </c>
      <c r="W64" s="540">
        <f t="shared" si="72"/>
        <v>17611817</v>
      </c>
      <c r="X64" s="540">
        <f t="shared" si="72"/>
        <v>14163392</v>
      </c>
      <c r="Y64" s="540">
        <f t="shared" si="72"/>
        <v>7782410</v>
      </c>
      <c r="Z64" s="540">
        <f t="shared" si="72"/>
        <v>5881684</v>
      </c>
      <c r="AA64" s="540">
        <f t="shared" si="72"/>
        <v>5669948</v>
      </c>
      <c r="AB64" s="540">
        <f t="shared" si="72"/>
        <v>5554978</v>
      </c>
      <c r="AC64" s="540">
        <f t="shared" si="72"/>
        <v>7484702</v>
      </c>
      <c r="AD64" s="540">
        <f t="shared" si="72"/>
        <v>10158046</v>
      </c>
      <c r="AE64" s="540">
        <f t="shared" si="72"/>
        <v>24566038</v>
      </c>
      <c r="AF64" s="540">
        <f t="shared" si="72"/>
        <v>29412416</v>
      </c>
      <c r="AG64" s="540">
        <f t="shared" si="72"/>
        <v>40809304</v>
      </c>
      <c r="AH64" s="540">
        <f t="shared" si="72"/>
        <v>30544975</v>
      </c>
      <c r="AI64" s="540">
        <f t="shared" si="72"/>
        <v>23815117</v>
      </c>
      <c r="AJ64" s="540">
        <f t="shared" si="72"/>
        <v>16958956</v>
      </c>
      <c r="AK64" s="540">
        <f t="shared" si="72"/>
        <v>10280221</v>
      </c>
      <c r="AL64" s="540">
        <f t="shared" si="72"/>
        <v>7316509</v>
      </c>
      <c r="AM64" s="540">
        <f>SUM(AM55:AM63)</f>
        <v>6050612</v>
      </c>
      <c r="AN64" s="540">
        <f t="shared" si="72"/>
        <v>6226148</v>
      </c>
      <c r="AO64" s="540">
        <f t="shared" si="72"/>
        <v>7933229</v>
      </c>
      <c r="AP64" s="540">
        <f>SUM(AP55:AP63)</f>
        <v>15888438</v>
      </c>
      <c r="AQ64" s="540">
        <f t="shared" si="72"/>
        <v>18689959</v>
      </c>
      <c r="AR64" s="540">
        <f t="shared" si="72"/>
        <v>37042905</v>
      </c>
      <c r="AS64" s="540">
        <f t="shared" si="72"/>
        <v>40809304</v>
      </c>
      <c r="AT64" s="540">
        <f t="shared" si="72"/>
        <v>30544975</v>
      </c>
      <c r="AU64" s="540">
        <f t="shared" si="72"/>
        <v>23815117</v>
      </c>
      <c r="AV64" s="540">
        <f t="shared" si="72"/>
        <v>16958956</v>
      </c>
      <c r="AW64" s="540">
        <f t="shared" si="72"/>
        <v>10280221</v>
      </c>
      <c r="AX64" s="540">
        <f t="shared" si="72"/>
        <v>7316509</v>
      </c>
      <c r="AY64" s="540">
        <f>SUM(AY55:AY63)</f>
        <v>6050612</v>
      </c>
      <c r="AZ64" s="540">
        <f t="shared" ref="AZ64:BA64" si="73">SUM(AZ55:AZ63)</f>
        <v>6226148</v>
      </c>
      <c r="BA64" s="540">
        <f t="shared" si="73"/>
        <v>7933229</v>
      </c>
      <c r="BB64" s="540">
        <f>SUM(BB55:BB63)</f>
        <v>15888438</v>
      </c>
      <c r="BC64" s="540">
        <f t="shared" ref="BC64:BD64" si="74">SUM(BC55:BC63)</f>
        <v>18689959</v>
      </c>
      <c r="BD64" s="540">
        <f t="shared" si="74"/>
        <v>37042905</v>
      </c>
    </row>
    <row r="65" spans="1:65" ht="16.5" thickTop="1">
      <c r="A65" s="481"/>
      <c r="B65" s="479" t="s">
        <v>266</v>
      </c>
      <c r="C65" s="489">
        <f>SUM(AG65:AR65)</f>
        <v>189475264</v>
      </c>
      <c r="D65" s="489">
        <f t="shared" si="70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621">
        <v>7316509</v>
      </c>
      <c r="AY65" s="621">
        <v>6050612</v>
      </c>
      <c r="AZ65" s="621">
        <v>6226148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5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5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5">U67+1</f>
        <v>201502</v>
      </c>
      <c r="W67" s="482">
        <f t="shared" si="75"/>
        <v>201503</v>
      </c>
      <c r="X67" s="482">
        <f t="shared" si="75"/>
        <v>201504</v>
      </c>
      <c r="Y67" s="482">
        <f t="shared" si="75"/>
        <v>201505</v>
      </c>
      <c r="Z67" s="482">
        <f t="shared" si="75"/>
        <v>201506</v>
      </c>
      <c r="AA67" s="482">
        <f t="shared" si="75"/>
        <v>201507</v>
      </c>
      <c r="AB67" s="482">
        <f t="shared" si="75"/>
        <v>201508</v>
      </c>
      <c r="AC67" s="482">
        <f t="shared" si="75"/>
        <v>201509</v>
      </c>
      <c r="AD67" s="482">
        <f t="shared" si="75"/>
        <v>201510</v>
      </c>
      <c r="AE67" s="482">
        <f>AD67+1</f>
        <v>201511</v>
      </c>
      <c r="AF67" s="482">
        <f t="shared" ref="AF67" si="76">AE67+1</f>
        <v>201512</v>
      </c>
      <c r="AG67" s="482">
        <v>201601</v>
      </c>
      <c r="AH67" s="482">
        <f>AG67+1</f>
        <v>201602</v>
      </c>
      <c r="AI67" s="482">
        <f t="shared" ref="AI67:AR67" si="77">AH67+1</f>
        <v>201603</v>
      </c>
      <c r="AJ67" s="482">
        <f t="shared" si="77"/>
        <v>201604</v>
      </c>
      <c r="AK67" s="482">
        <f t="shared" si="77"/>
        <v>201605</v>
      </c>
      <c r="AL67" s="482">
        <f t="shared" si="77"/>
        <v>201606</v>
      </c>
      <c r="AM67" s="482">
        <f t="shared" si="77"/>
        <v>201607</v>
      </c>
      <c r="AN67" s="482">
        <f t="shared" si="77"/>
        <v>201608</v>
      </c>
      <c r="AO67" s="482">
        <f t="shared" si="77"/>
        <v>201609</v>
      </c>
      <c r="AP67" s="482">
        <f t="shared" si="77"/>
        <v>201610</v>
      </c>
      <c r="AQ67" s="482">
        <f t="shared" si="77"/>
        <v>201611</v>
      </c>
      <c r="AR67" s="482">
        <f t="shared" si="77"/>
        <v>201612</v>
      </c>
      <c r="AS67" s="482">
        <f>AS3</f>
        <v>201701</v>
      </c>
      <c r="AT67" s="482">
        <f>AS67+1</f>
        <v>201702</v>
      </c>
      <c r="AU67" s="482">
        <f t="shared" ref="AU67:BD67" si="78">AT67+1</f>
        <v>201703</v>
      </c>
      <c r="AV67" s="482">
        <f t="shared" si="78"/>
        <v>201704</v>
      </c>
      <c r="AW67" s="482">
        <f t="shared" si="78"/>
        <v>201705</v>
      </c>
      <c r="AX67" s="482">
        <f t="shared" si="78"/>
        <v>201706</v>
      </c>
      <c r="AY67" s="482">
        <f t="shared" si="78"/>
        <v>201707</v>
      </c>
      <c r="AZ67" s="482">
        <f t="shared" si="78"/>
        <v>201708</v>
      </c>
      <c r="BA67" s="482">
        <f t="shared" si="78"/>
        <v>201709</v>
      </c>
      <c r="BB67" s="482">
        <f t="shared" si="78"/>
        <v>201710</v>
      </c>
      <c r="BC67" s="482">
        <f t="shared" si="78"/>
        <v>201711</v>
      </c>
      <c r="BD67" s="482">
        <f t="shared" si="78"/>
        <v>201712</v>
      </c>
    </row>
    <row r="68" spans="1:65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6">
        <v>1.0000000000000001E-5</v>
      </c>
      <c r="AY68" s="616">
        <v>1.0000000000000001E-5</v>
      </c>
      <c r="AZ68" s="616">
        <v>1.0000000000000001E-5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5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6">
        <v>1.0000000000000001E-5</v>
      </c>
      <c r="AY69" s="616">
        <v>1.0000000000000001E-5</v>
      </c>
      <c r="AZ69" s="616">
        <v>1.0000000000000001E-5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5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6">
        <v>1.0000000000000001E-5</v>
      </c>
      <c r="AY70" s="616">
        <v>1.0000000000000001E-5</v>
      </c>
      <c r="AZ70" s="616">
        <v>1.0000000000000001E-5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5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6">
        <v>1.0000000000000001E-5</v>
      </c>
      <c r="AY71" s="616">
        <v>1.0000000000000001E-5</v>
      </c>
      <c r="AZ71" s="616">
        <v>1.0000000000000001E-5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5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6">
        <v>1.0000000000000001E-5</v>
      </c>
      <c r="AY72" s="616">
        <v>1.0000000000000001E-5</v>
      </c>
      <c r="AZ72" s="616">
        <v>1.0000000000000001E-5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5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6">
        <v>1.0000000000000001E-5</v>
      </c>
      <c r="AY73" s="616">
        <v>1.0000000000000001E-5</v>
      </c>
      <c r="AZ73" s="616">
        <v>1.0000000000000001E-5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5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6">
        <v>1.0000000000000001E-5</v>
      </c>
      <c r="AY74" s="616">
        <v>1.0000000000000001E-5</v>
      </c>
      <c r="AZ74" s="616">
        <v>1.0000000000000001E-5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5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6">
        <v>1.0000000000000001E-5</v>
      </c>
      <c r="AY75" s="616">
        <v>1.0000000000000001E-5</v>
      </c>
      <c r="AZ75" s="616">
        <v>1.0000000000000001E-5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201708</v>
      </c>
      <c r="BG75" s="529"/>
      <c r="BH75" s="521"/>
      <c r="BI75" s="521"/>
      <c r="BJ75" s="521"/>
      <c r="BK75" s="522"/>
    </row>
    <row r="76" spans="1:65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6">
        <v>0</v>
      </c>
      <c r="AY76" s="616">
        <v>0</v>
      </c>
      <c r="AZ76" s="616">
        <v>0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38.872079999999997</v>
      </c>
      <c r="BK76" s="498">
        <f>IF((SUMIF(AG78:BD78,BF75,AG80:BD80))&lt;0,-(SUMIF(AG78:BD78,BF75,AG80:BD80)),0)</f>
        <v>0</v>
      </c>
      <c r="BM76" s="480" t="str">
        <f>_xll.GLW_Segment_Description(BG76,2,2)</f>
        <v>WA GRC JACKSON PRAIRIE DEFERRAL</v>
      </c>
    </row>
    <row r="77" spans="1:65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38.872079999999997</v>
      </c>
      <c r="BM77" s="480" t="str">
        <f>_xll.GLW_Segment_Description(BG77,2,2)</f>
        <v>AMORTIZE RECOVERABLE GAS COSTS</v>
      </c>
    </row>
    <row r="78" spans="1:65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9">U78+1</f>
        <v>201502</v>
      </c>
      <c r="W78" s="482">
        <f t="shared" si="79"/>
        <v>201503</v>
      </c>
      <c r="X78" s="482">
        <f t="shared" si="79"/>
        <v>201504</v>
      </c>
      <c r="Y78" s="482">
        <f t="shared" si="79"/>
        <v>201505</v>
      </c>
      <c r="Z78" s="482">
        <f t="shared" si="79"/>
        <v>201506</v>
      </c>
      <c r="AA78" s="482">
        <f t="shared" si="79"/>
        <v>201507</v>
      </c>
      <c r="AB78" s="482">
        <f t="shared" si="79"/>
        <v>201508</v>
      </c>
      <c r="AC78" s="482">
        <f t="shared" si="79"/>
        <v>201509</v>
      </c>
      <c r="AD78" s="482">
        <f t="shared" si="79"/>
        <v>201510</v>
      </c>
      <c r="AE78" s="482">
        <f>AD78+1</f>
        <v>201511</v>
      </c>
      <c r="AF78" s="482">
        <f t="shared" ref="AF78" si="80">AE78+1</f>
        <v>201512</v>
      </c>
      <c r="AG78" s="482">
        <v>201601</v>
      </c>
      <c r="AH78" s="482">
        <f>AG78+1</f>
        <v>201602</v>
      </c>
      <c r="AI78" s="482">
        <f t="shared" ref="AI78:AR78" si="81">AH78+1</f>
        <v>201603</v>
      </c>
      <c r="AJ78" s="482">
        <f t="shared" si="81"/>
        <v>201604</v>
      </c>
      <c r="AK78" s="482">
        <f t="shared" si="81"/>
        <v>201605</v>
      </c>
      <c r="AL78" s="482">
        <f t="shared" si="81"/>
        <v>201606</v>
      </c>
      <c r="AM78" s="482">
        <f t="shared" si="81"/>
        <v>201607</v>
      </c>
      <c r="AN78" s="482">
        <f t="shared" si="81"/>
        <v>201608</v>
      </c>
      <c r="AO78" s="482">
        <f t="shared" si="81"/>
        <v>201609</v>
      </c>
      <c r="AP78" s="482">
        <f t="shared" si="81"/>
        <v>201610</v>
      </c>
      <c r="AQ78" s="482">
        <f t="shared" si="81"/>
        <v>201611</v>
      </c>
      <c r="AR78" s="482">
        <f t="shared" si="81"/>
        <v>201612</v>
      </c>
      <c r="AS78" s="482">
        <f>AS3</f>
        <v>201701</v>
      </c>
      <c r="AT78" s="482">
        <f>AS78+1</f>
        <v>201702</v>
      </c>
      <c r="AU78" s="482">
        <f t="shared" ref="AU78:BD78" si="82">AT78+1</f>
        <v>201703</v>
      </c>
      <c r="AV78" s="482">
        <f t="shared" si="82"/>
        <v>201704</v>
      </c>
      <c r="AW78" s="482">
        <f t="shared" si="82"/>
        <v>201705</v>
      </c>
      <c r="AX78" s="482">
        <f t="shared" si="82"/>
        <v>201706</v>
      </c>
      <c r="AY78" s="482">
        <f t="shared" si="82"/>
        <v>201707</v>
      </c>
      <c r="AZ78" s="482">
        <f t="shared" si="82"/>
        <v>201708</v>
      </c>
      <c r="BA78" s="482">
        <f t="shared" si="82"/>
        <v>201709</v>
      </c>
      <c r="BB78" s="482">
        <f t="shared" si="82"/>
        <v>201710</v>
      </c>
      <c r="BC78" s="482">
        <f t="shared" si="82"/>
        <v>201711</v>
      </c>
      <c r="BD78" s="482">
        <f t="shared" si="82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  <c r="BM78" s="480" t="str">
        <f>_xll.GLW_Segment_Description(BG78,2,2)</f>
        <v>WA GRC JACKSON PRAIRIE DEFERRAL</v>
      </c>
    </row>
    <row r="79" spans="1:65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3">AF82</f>
        <v>-18146.93566000001</v>
      </c>
      <c r="AH79" s="480">
        <f t="shared" si="83"/>
        <v>-14523.147320000011</v>
      </c>
      <c r="AI79" s="480">
        <f t="shared" si="83"/>
        <v>-11852.264220000012</v>
      </c>
      <c r="AJ79" s="480">
        <f t="shared" si="83"/>
        <v>-9512.6003600000113</v>
      </c>
      <c r="AK79" s="480">
        <f t="shared" si="83"/>
        <v>-8373.7282900000118</v>
      </c>
      <c r="AL79" s="480">
        <f t="shared" si="83"/>
        <v>-7543.4780600000122</v>
      </c>
      <c r="AM79" s="480">
        <f t="shared" si="83"/>
        <v>-6882.1108900000127</v>
      </c>
      <c r="AN79" s="480">
        <f t="shared" si="83"/>
        <v>-6303.9779800000124</v>
      </c>
      <c r="AO79" s="480">
        <f t="shared" si="83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4">AT82</f>
        <v>-3265.0261600000117</v>
      </c>
      <c r="AV79" s="480">
        <f t="shared" si="84"/>
        <v>-3060.6942200000117</v>
      </c>
      <c r="AW79" s="480">
        <f t="shared" si="84"/>
        <v>-2919.7909600000116</v>
      </c>
      <c r="AX79" s="480">
        <f t="shared" si="84"/>
        <v>-2842.0077800000117</v>
      </c>
      <c r="AY79" s="480">
        <f t="shared" si="84"/>
        <v>-2794.1611200000116</v>
      </c>
      <c r="AZ79" s="628">
        <f t="shared" si="84"/>
        <v>-2755.0993400000116</v>
      </c>
      <c r="BA79" s="480">
        <f t="shared" si="84"/>
        <v>-2716.2272600000115</v>
      </c>
      <c r="BB79" s="480">
        <f>BA82</f>
        <v>-1927.9922000000115</v>
      </c>
      <c r="BC79" s="480">
        <f>BB82</f>
        <v>-201.94657000001166</v>
      </c>
      <c r="BD79" s="480">
        <f>BC82</f>
        <v>-960.94657000001166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  <c r="BM79" s="480" t="str">
        <f>_xll.GLW_Segment_Description(BG79,2,2)</f>
        <v>AMORTIZE RECOVERABLE GAS COSTS</v>
      </c>
    </row>
    <row r="80" spans="1:65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5">SUMPRODUCT(AW55:AW63,AW68:AW76)</f>
        <v>77.783180000000016</v>
      </c>
      <c r="AX80" s="558">
        <f>SUMPRODUCT(AX55:AX63,AX68:AX76)</f>
        <v>47.84666</v>
      </c>
      <c r="AY80" s="558">
        <f>SUMPRODUCT(AY55:AY63,AY68:AY76)</f>
        <v>39.061780000000006</v>
      </c>
      <c r="AZ80" s="558">
        <f>SUMPRODUCT(AZ55:AZ63,AZ68:AZ76)</f>
        <v>38.872079999999997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6">SUM(E79:E81)</f>
        <v>38932.729789999998</v>
      </c>
      <c r="F82" s="539">
        <f t="shared" si="86"/>
        <v>8140.2385399999985</v>
      </c>
      <c r="G82" s="539">
        <f t="shared" si="86"/>
        <v>-693.68146000000161</v>
      </c>
      <c r="H82" s="539">
        <f t="shared" si="86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7">SUM(V79:V81)</f>
        <v>-38138.117780000015</v>
      </c>
      <c r="W82" s="539">
        <f t="shared" si="87"/>
        <v>-34282.961340000016</v>
      </c>
      <c r="X82" s="539">
        <f t="shared" si="87"/>
        <v>-31253.873050000017</v>
      </c>
      <c r="Y82" s="539">
        <f t="shared" si="87"/>
        <v>-29770.929110000015</v>
      </c>
      <c r="Z82" s="539">
        <f t="shared" si="87"/>
        <v>-28708.282540000015</v>
      </c>
      <c r="AA82" s="539">
        <f t="shared" si="87"/>
        <v>-27692.487530000013</v>
      </c>
      <c r="AB82" s="539">
        <f t="shared" si="87"/>
        <v>-26711.886850000014</v>
      </c>
      <c r="AC82" s="539">
        <f t="shared" si="87"/>
        <v>-25249.174790000012</v>
      </c>
      <c r="AD82" s="539">
        <f t="shared" si="87"/>
        <v>-23171.93566000001</v>
      </c>
      <c r="AE82" s="539">
        <f t="shared" si="87"/>
        <v>-21380.93566000001</v>
      </c>
      <c r="AF82" s="539">
        <f t="shared" si="87"/>
        <v>-18146.93566000001</v>
      </c>
      <c r="AG82" s="539">
        <f t="shared" si="87"/>
        <v>-14523.147320000011</v>
      </c>
      <c r="AH82" s="539">
        <f t="shared" si="87"/>
        <v>-11852.264220000012</v>
      </c>
      <c r="AI82" s="539">
        <f t="shared" si="87"/>
        <v>-9512.6003600000113</v>
      </c>
      <c r="AJ82" s="539">
        <f t="shared" si="87"/>
        <v>-8373.7282900000118</v>
      </c>
      <c r="AK82" s="539">
        <f t="shared" si="87"/>
        <v>-7543.4780600000122</v>
      </c>
      <c r="AL82" s="539">
        <f t="shared" si="87"/>
        <v>-6882.1108900000127</v>
      </c>
      <c r="AM82" s="539">
        <f t="shared" si="87"/>
        <v>-6303.9779800000124</v>
      </c>
      <c r="AN82" s="539">
        <f t="shared" si="87"/>
        <v>-5710.3492900000119</v>
      </c>
      <c r="AO82" s="539">
        <f t="shared" si="87"/>
        <v>-4950.5876300000118</v>
      </c>
      <c r="AP82" s="539">
        <f t="shared" si="87"/>
        <v>-3439.8164200000119</v>
      </c>
      <c r="AQ82" s="539">
        <f t="shared" si="87"/>
        <v>-4198.8164200000119</v>
      </c>
      <c r="AR82" s="539">
        <f t="shared" si="87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8">SUM(AU79:AU81)</f>
        <v>-3060.6942200000117</v>
      </c>
      <c r="AV82" s="539">
        <f t="shared" si="88"/>
        <v>-2919.7909600000116</v>
      </c>
      <c r="AW82" s="539">
        <f t="shared" si="88"/>
        <v>-2842.0077800000117</v>
      </c>
      <c r="AX82" s="539">
        <f t="shared" si="88"/>
        <v>-2794.1611200000116</v>
      </c>
      <c r="AY82" s="539">
        <f t="shared" si="88"/>
        <v>-2755.0993400000116</v>
      </c>
      <c r="AZ82" s="539">
        <f t="shared" si="88"/>
        <v>-2716.2272600000115</v>
      </c>
      <c r="BA82" s="539">
        <f t="shared" si="88"/>
        <v>-1927.9922000000115</v>
      </c>
      <c r="BB82" s="539">
        <f t="shared" si="88"/>
        <v>-201.94657000001166</v>
      </c>
      <c r="BC82" s="539">
        <f t="shared" si="88"/>
        <v>-960.94657000001166</v>
      </c>
      <c r="BD82" s="539">
        <f t="shared" si="88"/>
        <v>-1258.9465700000117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9">E82-E83</f>
        <v>-2.1000000560889021E-4</v>
      </c>
      <c r="F84" s="480">
        <f t="shared" si="89"/>
        <v>-1.4600000013160752E-3</v>
      </c>
      <c r="G84" s="480">
        <f t="shared" si="89"/>
        <v>-1.4600000016571357E-3</v>
      </c>
      <c r="H84" s="480">
        <f t="shared" si="89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0">V82-V83</f>
        <v>1.2219999982335139E-2</v>
      </c>
      <c r="W84" s="480">
        <f t="shared" si="90"/>
        <v>8.6599999849568121E-3</v>
      </c>
      <c r="X84" s="480">
        <f t="shared" si="90"/>
        <v>6.9499999844992999E-3</v>
      </c>
      <c r="Y84" s="480">
        <f t="shared" si="90"/>
        <v>1.0889999983191956E-2</v>
      </c>
      <c r="Z84" s="480">
        <f t="shared" si="90"/>
        <v>7.4599999861675315E-3</v>
      </c>
      <c r="AA84" s="480">
        <f t="shared" si="90"/>
        <v>2.469999988534255E-3</v>
      </c>
      <c r="AB84" s="480">
        <f t="shared" si="90"/>
        <v>3.1499999859079253E-3</v>
      </c>
      <c r="AC84" s="480">
        <f t="shared" si="90"/>
        <v>5.2099999884376302E-3</v>
      </c>
      <c r="AD84" s="480">
        <f t="shared" si="90"/>
        <v>4.339999988587806E-3</v>
      </c>
      <c r="AE84" s="480">
        <f t="shared" si="90"/>
        <v>4.339999988587806E-3</v>
      </c>
      <c r="AF84" s="480">
        <f t="shared" si="90"/>
        <v>4.339999988587806E-3</v>
      </c>
      <c r="AG84" s="480">
        <f t="shared" si="90"/>
        <v>2.6799999886861769E-3</v>
      </c>
      <c r="AH84" s="480">
        <f t="shared" si="90"/>
        <v>5.7799999885901343E-3</v>
      </c>
      <c r="AI84" s="480">
        <f t="shared" si="90"/>
        <v>9.6399999893037602E-3</v>
      </c>
      <c r="AJ84" s="480">
        <f t="shared" si="90"/>
        <v>1.1709999987942865E-2</v>
      </c>
      <c r="AK84" s="480">
        <f t="shared" si="90"/>
        <v>1.1939999987589545E-2</v>
      </c>
      <c r="AL84" s="480">
        <f t="shared" si="90"/>
        <v>9.1099999872312765E-3</v>
      </c>
      <c r="AM84" s="480">
        <f t="shared" si="90"/>
        <v>1.2019999987387564E-2</v>
      </c>
      <c r="AN84" s="480">
        <f t="shared" si="90"/>
        <v>1.0709999987739138E-2</v>
      </c>
      <c r="AO84" s="480">
        <f t="shared" si="90"/>
        <v>1.2369999988550262E-2</v>
      </c>
      <c r="AP84" s="480">
        <f t="shared" si="90"/>
        <v>1.3579999987996416E-2</v>
      </c>
      <c r="AQ84" s="480">
        <f t="shared" si="90"/>
        <v>1.3579999987996416E-2</v>
      </c>
      <c r="AR84" s="480">
        <f t="shared" si="90"/>
        <v>1.3579999987996416E-2</v>
      </c>
      <c r="AS84" s="480">
        <f>AS82-AS83</f>
        <v>1.0319999988041673E-2</v>
      </c>
      <c r="AT84" s="480">
        <f t="shared" ref="AT84:BD84" si="91">AT82-AT83</f>
        <v>1.3839999988249474E-2</v>
      </c>
      <c r="AU84" s="480">
        <f t="shared" si="91"/>
        <v>1.5779999988353666E-2</v>
      </c>
      <c r="AV84" s="480">
        <f t="shared" si="91"/>
        <v>1.9039999988308409E-2</v>
      </c>
      <c r="AW84" s="480">
        <f t="shared" si="91"/>
        <v>2.2219999988465133E-2</v>
      </c>
      <c r="AX84" s="480">
        <f t="shared" si="91"/>
        <v>1.8879999988257623E-2</v>
      </c>
      <c r="AY84" s="480">
        <f>AY82-AY83</f>
        <v>2.0659999988311029E-2</v>
      </c>
      <c r="AZ84" s="480">
        <f t="shared" si="91"/>
        <v>2.2739999988516502E-2</v>
      </c>
      <c r="BA84" s="480">
        <f t="shared" si="91"/>
        <v>731.02779999998847</v>
      </c>
      <c r="BB84" s="480">
        <f t="shared" si="91"/>
        <v>2457.0734299999885</v>
      </c>
      <c r="BC84" s="480">
        <f t="shared" si="91"/>
        <v>1698.0734299999883</v>
      </c>
      <c r="BD84" s="480">
        <f t="shared" si="91"/>
        <v>-1258.9465700000117</v>
      </c>
    </row>
  </sheetData>
  <conditionalFormatting sqref="E29 L65:AR65 K29:AK29 AN29:AR29 BE29 BE65">
    <cfRule type="cellIs" dxfId="609" priority="30" operator="notEqual">
      <formula>E28</formula>
    </cfRule>
  </conditionalFormatting>
  <conditionalFormatting sqref="F29">
    <cfRule type="cellIs" dxfId="608" priority="29" operator="notEqual">
      <formula>F28</formula>
    </cfRule>
  </conditionalFormatting>
  <conditionalFormatting sqref="G29">
    <cfRule type="cellIs" dxfId="607" priority="28" operator="notEqual">
      <formula>G28</formula>
    </cfRule>
  </conditionalFormatting>
  <conditionalFormatting sqref="H29">
    <cfRule type="cellIs" dxfId="606" priority="27" operator="notEqual">
      <formula>H28</formula>
    </cfRule>
  </conditionalFormatting>
  <conditionalFormatting sqref="G65">
    <cfRule type="cellIs" dxfId="605" priority="24" operator="notEqual">
      <formula>G64</formula>
    </cfRule>
  </conditionalFormatting>
  <conditionalFormatting sqref="H65">
    <cfRule type="cellIs" dxfId="604" priority="23" operator="notEqual">
      <formula>H64</formula>
    </cfRule>
  </conditionalFormatting>
  <conditionalFormatting sqref="E65">
    <cfRule type="cellIs" dxfId="603" priority="26" operator="notEqual">
      <formula>E64</formula>
    </cfRule>
  </conditionalFormatting>
  <conditionalFormatting sqref="F65">
    <cfRule type="cellIs" dxfId="602" priority="25" operator="notEqual">
      <formula>F64</formula>
    </cfRule>
  </conditionalFormatting>
  <conditionalFormatting sqref="BK80 BK47 BK11">
    <cfRule type="cellIs" dxfId="601" priority="22" operator="notEqual">
      <formula>0</formula>
    </cfRule>
  </conditionalFormatting>
  <conditionalFormatting sqref="D65">
    <cfRule type="cellIs" dxfId="600" priority="21" operator="notEqual">
      <formula>D64</formula>
    </cfRule>
  </conditionalFormatting>
  <conditionalFormatting sqref="C65">
    <cfRule type="cellIs" dxfId="599" priority="20" operator="notEqual">
      <formula>C64</formula>
    </cfRule>
  </conditionalFormatting>
  <conditionalFormatting sqref="D29">
    <cfRule type="cellIs" dxfId="598" priority="19" operator="notEqual">
      <formula>D28</formula>
    </cfRule>
  </conditionalFormatting>
  <conditionalFormatting sqref="C29">
    <cfRule type="cellIs" dxfId="597" priority="18" operator="notEqual">
      <formula>C28</formula>
    </cfRule>
  </conditionalFormatting>
  <conditionalFormatting sqref="I29">
    <cfRule type="cellIs" dxfId="596" priority="17" operator="notEqual">
      <formula>I28</formula>
    </cfRule>
  </conditionalFormatting>
  <conditionalFormatting sqref="I65">
    <cfRule type="cellIs" dxfId="595" priority="16" operator="notEqual">
      <formula>I64</formula>
    </cfRule>
  </conditionalFormatting>
  <conditionalFormatting sqref="J29">
    <cfRule type="cellIs" dxfId="594" priority="15" operator="notEqual">
      <formula>J28</formula>
    </cfRule>
  </conditionalFormatting>
  <conditionalFormatting sqref="J65">
    <cfRule type="cellIs" dxfId="593" priority="14" operator="notEqual">
      <formula>J64</formula>
    </cfRule>
  </conditionalFormatting>
  <conditionalFormatting sqref="K65">
    <cfRule type="cellIs" dxfId="592" priority="13" operator="notEqual">
      <formula>K64</formula>
    </cfRule>
  </conditionalFormatting>
  <conditionalFormatting sqref="U29">
    <cfRule type="cellIs" dxfId="591" priority="12" operator="notEqual">
      <formula>U28</formula>
    </cfRule>
  </conditionalFormatting>
  <conditionalFormatting sqref="U65">
    <cfRule type="cellIs" dxfId="590" priority="11" operator="notEqual">
      <formula>U64</formula>
    </cfRule>
  </conditionalFormatting>
  <conditionalFormatting sqref="V29">
    <cfRule type="cellIs" dxfId="589" priority="10" operator="notEqual">
      <formula>V28</formula>
    </cfRule>
  </conditionalFormatting>
  <conditionalFormatting sqref="V65">
    <cfRule type="cellIs" dxfId="588" priority="9" operator="notEqual">
      <formula>V64</formula>
    </cfRule>
  </conditionalFormatting>
  <conditionalFormatting sqref="W65">
    <cfRule type="cellIs" dxfId="587" priority="8" operator="notEqual">
      <formula>W64</formula>
    </cfRule>
  </conditionalFormatting>
  <conditionalFormatting sqref="AL29">
    <cfRule type="cellIs" dxfId="586" priority="7" operator="notEqual">
      <formula>AL28</formula>
    </cfRule>
  </conditionalFormatting>
  <conditionalFormatting sqref="AM29">
    <cfRule type="cellIs" dxfId="585" priority="6" operator="notEqual">
      <formula>AM28</formula>
    </cfRule>
  </conditionalFormatting>
  <conditionalFormatting sqref="AS65:AW65 AS29:AW29 AZ29:BD29 AZ65:BD65">
    <cfRule type="cellIs" dxfId="584" priority="5" operator="notEqual">
      <formula>AS28</formula>
    </cfRule>
  </conditionalFormatting>
  <conditionalFormatting sqref="AX29">
    <cfRule type="cellIs" dxfId="583" priority="4" operator="notEqual">
      <formula>AX28</formula>
    </cfRule>
  </conditionalFormatting>
  <conditionalFormatting sqref="AX65">
    <cfRule type="cellIs" dxfId="582" priority="3" operator="notEqual">
      <formula>AX64</formula>
    </cfRule>
  </conditionalFormatting>
  <conditionalFormatting sqref="AY29">
    <cfRule type="cellIs" dxfId="581" priority="2" operator="notEqual">
      <formula>AY28</formula>
    </cfRule>
  </conditionalFormatting>
  <conditionalFormatting sqref="AY65">
    <cfRule type="cellIs" dxfId="580" priority="1" operator="notEqual">
      <formula>AY64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R51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3" width="16.28515625" style="480" hidden="1" customWidth="1"/>
    <col min="44" max="44" width="17.7109375" style="480" customWidth="1"/>
    <col min="45" max="45" width="18.7109375" style="480" customWidth="1"/>
    <col min="46" max="53" width="16.28515625" style="480" customWidth="1"/>
    <col min="54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  <c r="BJ1" s="481" t="s">
        <v>333</v>
      </c>
      <c r="BK1" s="481"/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201708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628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6903.21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948837.73185499967</v>
      </c>
    </row>
    <row r="8" spans="1:64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>ROUND(((AY5+AY9+AY10+AY11)*(AY4/12))+((SUM(AY6:AY7)/2)*(AY4/12)),2)</f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941934.52185499971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558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621">
        <f>Jun!$K36</f>
        <v>1233197</v>
      </c>
      <c r="AZ19" s="621">
        <f>Jul!$K36</f>
        <v>1087844</v>
      </c>
      <c r="BA19" s="621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621">
        <f>Jun!$K37</f>
        <v>1319570</v>
      </c>
      <c r="AZ20" s="621">
        <f>Jul!$K37</f>
        <v>931171</v>
      </c>
      <c r="BA20" s="621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621"/>
      <c r="AZ21" s="621"/>
      <c r="BA21" s="621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621"/>
      <c r="AZ22" s="621"/>
      <c r="BA22" s="621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621"/>
      <c r="AZ23" s="621"/>
      <c r="BA23" s="621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621">
        <f>Jun!$K41</f>
        <v>0</v>
      </c>
      <c r="AZ24" s="621">
        <v>0</v>
      </c>
      <c r="BA24" s="621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2352916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8">
        <v>9.3079999999999996E-2</v>
      </c>
      <c r="AZ31" s="618">
        <v>9.3079999999999996E-2</v>
      </c>
      <c r="BA31" s="618">
        <v>9.3079999999999996E-2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8">
        <v>9.3079999999999996E-2</v>
      </c>
      <c r="AZ32" s="618">
        <v>9.3079999999999996E-2</v>
      </c>
      <c r="BA32" s="618">
        <v>9.3079999999999996E-2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8"/>
      <c r="AZ33" s="618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8"/>
      <c r="AZ34" s="618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8"/>
      <c r="AZ35" s="618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8">
        <v>9.665E-2</v>
      </c>
      <c r="AZ36" s="618">
        <v>9.665E-2</v>
      </c>
      <c r="BA36" s="618">
        <v>9.665E-2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617">
        <v>0.01</v>
      </c>
      <c r="AZ41" s="617">
        <v>0.01</v>
      </c>
      <c r="BA41" s="617">
        <v>0.01</v>
      </c>
      <c r="BB41" s="486"/>
      <c r="BC41" s="486"/>
      <c r="BD41" s="486"/>
      <c r="BE41" s="486"/>
      <c r="BF41" s="577"/>
      <c r="BG41" s="511">
        <f>BG4</f>
        <v>201708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-239397.9359650402</v>
      </c>
      <c r="BA42" s="628">
        <f t="shared" si="38"/>
        <v>-51589.21391326109</v>
      </c>
      <c r="BB42" s="480">
        <f>BA47</f>
        <v>167468.4702806779</v>
      </c>
      <c r="BC42" s="480">
        <f>BB47</f>
        <v>237445.96589067788</v>
      </c>
      <c r="BD42" s="480">
        <f>BC47</f>
        <v>431578.73681067792</v>
      </c>
      <c r="BE42" s="480">
        <f t="shared" ref="BE42" si="39">BD47</f>
        <v>-5986851.8831893224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48.262913938949097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>SUMPRODUCT(AY19:AY24,AY31:AY36)</f>
        <v>237611.55235999997</v>
      </c>
      <c r="AZ43" s="558">
        <f t="shared" si="43"/>
        <v>187929.91619999998</v>
      </c>
      <c r="BA43" s="558">
        <f>SUMPRODUCT(BA19:BA24,BA31:BA36)</f>
        <v>219009.42128000001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0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BB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si="47"/>
        <v>-298.25454799753561</v>
      </c>
      <c r="AZ44" s="487">
        <f t="shared" si="47"/>
        <v>-121.19414822086686</v>
      </c>
      <c r="BA44" s="487">
        <f t="shared" si="47"/>
        <v>48.262913938949097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219057.68419393897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219009.42128000001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-476711.23377704265</v>
      </c>
      <c r="AY47" s="539">
        <f t="shared" si="51"/>
        <v>-239397.9359650402</v>
      </c>
      <c r="AZ47" s="539">
        <f>SUM(AZ42:AZ46)</f>
        <v>-51589.21391326109</v>
      </c>
      <c r="BA47" s="539">
        <f t="shared" si="51"/>
        <v>167468.4702806779</v>
      </c>
      <c r="BB47" s="539">
        <f t="shared" si="51"/>
        <v>237445.96589067788</v>
      </c>
      <c r="BC47" s="539">
        <f t="shared" si="51"/>
        <v>431578.73681067792</v>
      </c>
      <c r="BD47" s="539">
        <f t="shared" si="51"/>
        <v>-5986851.8831893224</v>
      </c>
      <c r="BE47" s="539">
        <f>SUM(BE42:BE46)</f>
        <v>-4556028.8831893224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>AX47-AX48</f>
        <v>6.2229573377408087E-3</v>
      </c>
      <c r="AY49" s="480">
        <f t="shared" si="54"/>
        <v>4.0349597984459251E-3</v>
      </c>
      <c r="AZ49" s="480">
        <f>AZ47-AZ48</f>
        <v>6.0867389111081138E-3</v>
      </c>
      <c r="BA49" s="480">
        <f t="shared" si="54"/>
        <v>1.0280677903210744E-2</v>
      </c>
      <c r="BB49" s="480">
        <f t="shared" si="54"/>
        <v>-157128.93410932214</v>
      </c>
      <c r="BC49" s="480">
        <f>BC47-BC48</f>
        <v>37003.836810677894</v>
      </c>
      <c r="BD49" s="480">
        <f t="shared" ref="BD49" si="55">BD47-BD48</f>
        <v>-6381426.7831893228</v>
      </c>
      <c r="BE49" s="480">
        <f>BE47-BE48</f>
        <v>-4556028.8831893224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621">
        <f>Jun!$K36</f>
        <v>1233197</v>
      </c>
      <c r="AZ52" s="621">
        <f>Jul!$K36</f>
        <v>1087844</v>
      </c>
      <c r="BA52" s="621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621">
        <f>Jun!$K37</f>
        <v>1319570</v>
      </c>
      <c r="AZ53" s="621">
        <f>Jul!$K37</f>
        <v>931171</v>
      </c>
      <c r="BA53" s="621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621">
        <f>Jun!$K38</f>
        <v>55493</v>
      </c>
      <c r="AZ54" s="621">
        <f>Jul!$K38</f>
        <v>70834</v>
      </c>
      <c r="BA54" s="621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621">
        <f>Jun!$K39</f>
        <v>0</v>
      </c>
      <c r="AZ55" s="621">
        <f>Jul!$K39</f>
        <v>0</v>
      </c>
      <c r="BA55" s="621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621"/>
      <c r="AZ56" s="621"/>
      <c r="BA56" s="621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621"/>
      <c r="AZ57" s="621"/>
      <c r="BA57" s="621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621">
        <f>Jun!$K42</f>
        <v>0</v>
      </c>
      <c r="AZ58" s="621">
        <f>Jul!$K42</f>
        <v>0</v>
      </c>
      <c r="BA58" s="621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2435155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8">
        <v>0</v>
      </c>
      <c r="AZ64" s="618">
        <v>0</v>
      </c>
      <c r="BA64" s="618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8">
        <v>0</v>
      </c>
      <c r="AZ65" s="618">
        <v>0</v>
      </c>
      <c r="BA65" s="618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8">
        <v>0</v>
      </c>
      <c r="AZ66" s="618">
        <v>0</v>
      </c>
      <c r="BA66" s="618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8">
        <v>0</v>
      </c>
      <c r="AZ67" s="618">
        <v>0</v>
      </c>
      <c r="BA67" s="618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8"/>
      <c r="AZ68" s="618"/>
      <c r="BA68" s="618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8"/>
      <c r="AZ69" s="618"/>
      <c r="BA69" s="618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8">
        <v>0</v>
      </c>
      <c r="AZ70" s="618">
        <v>0</v>
      </c>
      <c r="BA70" s="618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617">
        <v>0.01</v>
      </c>
      <c r="AZ74" s="617">
        <v>0.01</v>
      </c>
      <c r="BA74" s="617">
        <v>0.01</v>
      </c>
      <c r="BB74" s="486"/>
      <c r="BC74" s="486"/>
      <c r="BD74" s="486"/>
      <c r="BE74" s="486"/>
      <c r="BF74" s="577"/>
      <c r="BG74" s="511">
        <f>BG4</f>
        <v>201708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558">
        <f t="shared" si="74"/>
        <v>-12162.103611547136</v>
      </c>
      <c r="AY75" s="480">
        <f t="shared" si="74"/>
        <v>-12172.238697890092</v>
      </c>
      <c r="AZ75" s="480">
        <f>AY79</f>
        <v>-12182.382230138333</v>
      </c>
      <c r="BA75" s="480">
        <f t="shared" ref="BA75:BB75" si="75">AZ79</f>
        <v>-12192.534215330115</v>
      </c>
      <c r="BB75" s="480">
        <f t="shared" si="75"/>
        <v>-12202.694660509556</v>
      </c>
      <c r="BC75" s="480">
        <f>BB79</f>
        <v>-12202.694660509556</v>
      </c>
      <c r="BD75" s="480">
        <f t="shared" ref="BD75:BE75" si="76">BC79</f>
        <v>-12202.694660509556</v>
      </c>
      <c r="BE75" s="480">
        <f t="shared" si="76"/>
        <v>-12202.694660509556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10.160445179441764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C77" si="81">((AY75*(AY74/12))+((AY76/2)*(AY74/12)))</f>
        <v>-10.143532248241744</v>
      </c>
      <c r="AZ77" s="487">
        <f t="shared" si="81"/>
        <v>-10.151985191781945</v>
      </c>
      <c r="BA77" s="487">
        <f t="shared" si="81"/>
        <v>-10.160445179441764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10.160445179441764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-12172.238697890092</v>
      </c>
      <c r="AY79" s="539">
        <f t="shared" si="83"/>
        <v>-12182.382230138333</v>
      </c>
      <c r="AZ79" s="539">
        <f t="shared" si="83"/>
        <v>-12192.534215330115</v>
      </c>
      <c r="BA79" s="539">
        <f t="shared" si="83"/>
        <v>-12202.694660509556</v>
      </c>
      <c r="BB79" s="539">
        <f t="shared" si="83"/>
        <v>-12202.694660509556</v>
      </c>
      <c r="BC79" s="539">
        <f t="shared" si="83"/>
        <v>-12202.694660509556</v>
      </c>
      <c r="BD79" s="539">
        <f t="shared" si="83"/>
        <v>-12202.694660509556</v>
      </c>
      <c r="BE79" s="539">
        <f>SUM(BE75:BE78)</f>
        <v>-12202.694660509556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2.1302109907992417E-2</v>
      </c>
      <c r="AY81" s="480">
        <f t="shared" si="84"/>
        <v>1.7769861666238285E-2</v>
      </c>
      <c r="AZ81" s="480">
        <f t="shared" si="84"/>
        <v>1.5784669883942115E-2</v>
      </c>
      <c r="BA81" s="480">
        <f t="shared" si="84"/>
        <v>1.5339490442784154E-2</v>
      </c>
      <c r="BB81" s="480">
        <f t="shared" si="84"/>
        <v>10.185339490442857</v>
      </c>
      <c r="BC81" s="480">
        <f t="shared" si="84"/>
        <v>10.185339490442857</v>
      </c>
      <c r="BD81" s="480">
        <f t="shared" si="84"/>
        <v>10.185339490442857</v>
      </c>
      <c r="BE81" s="480">
        <f t="shared" si="84"/>
        <v>-12202.694660509556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579" priority="26" operator="notEqual">
      <formula>F27</formula>
    </cfRule>
  </conditionalFormatting>
  <conditionalFormatting sqref="G28">
    <cfRule type="cellIs" dxfId="578" priority="25" operator="notEqual">
      <formula>G27</formula>
    </cfRule>
  </conditionalFormatting>
  <conditionalFormatting sqref="H28">
    <cfRule type="cellIs" dxfId="577" priority="24" operator="notEqual">
      <formula>H27</formula>
    </cfRule>
  </conditionalFormatting>
  <conditionalFormatting sqref="I28">
    <cfRule type="cellIs" dxfId="576" priority="23" operator="notEqual">
      <formula>I27</formula>
    </cfRule>
  </conditionalFormatting>
  <conditionalFormatting sqref="D28">
    <cfRule type="cellIs" dxfId="575" priority="22" operator="notEqual">
      <formula>D27</formula>
    </cfRule>
  </conditionalFormatting>
  <conditionalFormatting sqref="G61">
    <cfRule type="cellIs" dxfId="574" priority="21" operator="notEqual">
      <formula>G60</formula>
    </cfRule>
  </conditionalFormatting>
  <conditionalFormatting sqref="H61">
    <cfRule type="cellIs" dxfId="573" priority="20" operator="notEqual">
      <formula>H60</formula>
    </cfRule>
  </conditionalFormatting>
  <conditionalFormatting sqref="I61">
    <cfRule type="cellIs" dxfId="572" priority="19" operator="notEqual">
      <formula>I60</formula>
    </cfRule>
  </conditionalFormatting>
  <conditionalFormatting sqref="D61">
    <cfRule type="cellIs" dxfId="571" priority="18" operator="notEqual">
      <formula>D60</formula>
    </cfRule>
  </conditionalFormatting>
  <conditionalFormatting sqref="J61">
    <cfRule type="cellIs" dxfId="570" priority="17" operator="notEqual">
      <formula>J60</formula>
    </cfRule>
  </conditionalFormatting>
  <conditionalFormatting sqref="BL81 BL48 BL11">
    <cfRule type="cellIs" dxfId="569" priority="16" operator="notEqual">
      <formula>0</formula>
    </cfRule>
  </conditionalFormatting>
  <conditionalFormatting sqref="J28">
    <cfRule type="cellIs" dxfId="568" priority="15" operator="notEqual">
      <formula>J27</formula>
    </cfRule>
  </conditionalFormatting>
  <conditionalFormatting sqref="K28">
    <cfRule type="cellIs" dxfId="567" priority="14" operator="notEqual">
      <formula>K27</formula>
    </cfRule>
  </conditionalFormatting>
  <conditionalFormatting sqref="K61">
    <cfRule type="cellIs" dxfId="566" priority="13" operator="notEqual">
      <formula>K60</formula>
    </cfRule>
  </conditionalFormatting>
  <conditionalFormatting sqref="L28">
    <cfRule type="cellIs" dxfId="565" priority="12" operator="notEqual">
      <formula>L27</formula>
    </cfRule>
  </conditionalFormatting>
  <conditionalFormatting sqref="L61">
    <cfRule type="cellIs" dxfId="564" priority="11" operator="notEqual">
      <formula>L60</formula>
    </cfRule>
  </conditionalFormatting>
  <conditionalFormatting sqref="M28:N28">
    <cfRule type="cellIs" dxfId="563" priority="10" operator="notEqual">
      <formula>M27</formula>
    </cfRule>
  </conditionalFormatting>
  <conditionalFormatting sqref="O28">
    <cfRule type="cellIs" dxfId="562" priority="9" operator="notEqual">
      <formula>O27</formula>
    </cfRule>
  </conditionalFormatting>
  <conditionalFormatting sqref="V61">
    <cfRule type="cellIs" dxfId="561" priority="8" operator="notEqual">
      <formula>V60</formula>
    </cfRule>
  </conditionalFormatting>
  <conditionalFormatting sqref="V28:W28">
    <cfRule type="cellIs" dxfId="560" priority="7" operator="notEqual">
      <formula>V27</formula>
    </cfRule>
  </conditionalFormatting>
  <conditionalFormatting sqref="W28">
    <cfRule type="cellIs" dxfId="559" priority="6" operator="notEqual">
      <formula>W27</formula>
    </cfRule>
  </conditionalFormatting>
  <conditionalFormatting sqref="W61">
    <cfRule type="cellIs" dxfId="558" priority="5" operator="notEqual">
      <formula>W60</formula>
    </cfRule>
  </conditionalFormatting>
  <conditionalFormatting sqref="X28">
    <cfRule type="cellIs" dxfId="557" priority="4" operator="notEqual">
      <formula>X27</formula>
    </cfRule>
  </conditionalFormatting>
  <conditionalFormatting sqref="X61">
    <cfRule type="cellIs" dxfId="556" priority="3" operator="notEqual">
      <formula>X60</formula>
    </cfRule>
  </conditionalFormatting>
  <conditionalFormatting sqref="Y28:Z28">
    <cfRule type="cellIs" dxfId="555" priority="2" operator="notEqual">
      <formula>Y27</formula>
    </cfRule>
  </conditionalFormatting>
  <conditionalFormatting sqref="AA28">
    <cfRule type="cellIs" dxfId="554" priority="1" operator="notEqual">
      <formula>AA27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V54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hidden="1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51" width="17.42578125" style="480" customWidth="1"/>
    <col min="52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  <c r="BI1" s="481" t="s">
        <v>333</v>
      </c>
      <c r="BJ1" s="481"/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3.9600000000000003E-2</v>
      </c>
      <c r="AZ4" s="617">
        <v>3.7100000000000001E-2</v>
      </c>
      <c r="BA4" s="617">
        <v>3.7100000000000001E-2</v>
      </c>
      <c r="BB4" s="617">
        <v>3.7100000000000001E-2</v>
      </c>
      <c r="BC4" s="617">
        <v>3.7100000000000001E-2</v>
      </c>
      <c r="BD4" s="617">
        <v>3.7100000000000001E-2</v>
      </c>
      <c r="BE4" s="577"/>
      <c r="BF4" s="542">
        <v>201707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558">
        <f t="shared" si="5"/>
        <v>-15173451.409781789</v>
      </c>
      <c r="AX5" s="480">
        <f t="shared" si="5"/>
        <v>-15098116.96234579</v>
      </c>
      <c r="AY5" s="480">
        <f>AX13</f>
        <v>-14771177.38731979</v>
      </c>
      <c r="AZ5" s="480">
        <f t="shared" ref="AZ5" si="6">AY13</f>
        <v>-15909772.702550791</v>
      </c>
      <c r="BA5" s="480">
        <f>AZ13</f>
        <v>-16973848.807435792</v>
      </c>
      <c r="BB5" s="480">
        <f t="shared" ref="BB5" si="7">BA13</f>
        <v>-18955246.588894796</v>
      </c>
      <c r="BC5" s="480">
        <f>BB13</f>
        <v>-21939210.673472796</v>
      </c>
      <c r="BD5" s="480">
        <f t="shared" ref="BD5" si="8">BC13</f>
        <v>-7905986.5629997924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50540.18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1138595.3152310003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11">ROUND(((AR5)*(AR4/12))+((SUM(AR6:AR7)/2)*(AR4/12)),2)</f>
        <v>-14406.68</v>
      </c>
      <c r="AS8" s="555">
        <f t="shared" si="11"/>
        <v>-24852.09</v>
      </c>
      <c r="AT8" s="555">
        <f t="shared" si="11"/>
        <v>-32890.959999999999</v>
      </c>
      <c r="AU8" s="555">
        <f t="shared" si="11"/>
        <v>-38340.61</v>
      </c>
      <c r="AV8" s="555">
        <f t="shared" si="11"/>
        <v>-45012.82</v>
      </c>
      <c r="AW8" s="555">
        <f t="shared" si="11"/>
        <v>-46722.57</v>
      </c>
      <c r="AX8" s="555">
        <f>ROUND(((AX5)*(AX4/12))+((SUM(AX6:AX7)/2)*(AX4/12)),2)</f>
        <v>-46101.69</v>
      </c>
      <c r="AY8" s="555">
        <f t="shared" ref="AY8:BA8" si="12">ROUND(((AY5)*(AY4/12))+((SUM(AY6:AY7)/2)*(AY4/12)),2)</f>
        <v>-50540.18</v>
      </c>
      <c r="AZ8" s="555">
        <f t="shared" si="12"/>
        <v>-50754.14</v>
      </c>
      <c r="BA8" s="555">
        <f t="shared" si="12"/>
        <v>-55454.67</v>
      </c>
      <c r="BB8" s="555">
        <f>ROUND(((BB5)*(BB4/12))+((SUM(BB6:BB7)/2)*(BB4/12)),2)</f>
        <v>-63118.44</v>
      </c>
      <c r="BC8" s="555">
        <f>ROUND(((BC5+BC9+BC10+BC11)*(BC4/12))+((SUM(BC6:BC7)/2)*(BC4/12)),2)</f>
        <v>-23265.96</v>
      </c>
      <c r="BD8" s="487">
        <f>ROUND(((BD5)*(BD4/12))+((SUM(BD6:BD7)/2)*(BD4/12)),2)</f>
        <v>-30206.87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1088055.1352310004</v>
      </c>
      <c r="BK8" s="498">
        <f>IF((SUMIF(AG3:BD3,BF4,AG6:BD6)+SUMIF(AG3:BD3,BF4,AG7:BD7))&gt;0,(SUMIF(AG3:BD3,BF4,AG6:BD6)+SUMIF(AG3:BD3,BF4,AG7:BD7)),0)</f>
        <v>0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3">SUM(F5:F12)</f>
        <v>2255013.9900000002</v>
      </c>
      <c r="G13" s="539">
        <f>SUM(G5:G12)</f>
        <v>-33498.738666789999</v>
      </c>
      <c r="H13" s="539">
        <f t="shared" si="13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4">SUM(V5:V12)</f>
        <v>-1694440.0214187815</v>
      </c>
      <c r="W13" s="539">
        <f t="shared" si="14"/>
        <v>-683405.33395377884</v>
      </c>
      <c r="X13" s="539">
        <f t="shared" si="14"/>
        <v>-2769396.4708657796</v>
      </c>
      <c r="Y13" s="539">
        <f>SUM(Y5:Y12)</f>
        <v>-2940906.6891037785</v>
      </c>
      <c r="Z13" s="539">
        <f t="shared" ref="Z13:AE13" si="15">SUM(Z5:Z12)</f>
        <v>-3112721.2246137792</v>
      </c>
      <c r="AA13" s="539">
        <f t="shared" si="15"/>
        <v>-3464489.8670317773</v>
      </c>
      <c r="AB13" s="539">
        <f t="shared" si="15"/>
        <v>-3555298.2266717753</v>
      </c>
      <c r="AC13" s="539">
        <f t="shared" si="15"/>
        <v>-4755858.0107337767</v>
      </c>
      <c r="AD13" s="539">
        <f t="shared" si="15"/>
        <v>-5900360.3440987766</v>
      </c>
      <c r="AE13" s="539">
        <f t="shared" si="15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6">SUM(AI5:AI12)</f>
        <v>-10398819.535470769</v>
      </c>
      <c r="AJ13" s="539">
        <f t="shared" si="16"/>
        <v>-12153304.785960769</v>
      </c>
      <c r="AK13" s="539">
        <f t="shared" si="16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6"/>
        <v>-15660034.00335677</v>
      </c>
      <c r="AO13" s="539">
        <f>SUM(AO5:AO12)</f>
        <v>-16306032.832939774</v>
      </c>
      <c r="AP13" s="539">
        <f t="shared" si="16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7">SUM(AV5:AV12)</f>
        <v>-15173451.409781789</v>
      </c>
      <c r="AW13" s="539">
        <f t="shared" si="17"/>
        <v>-15098116.96234579</v>
      </c>
      <c r="AX13" s="539">
        <f>SUM(AX5:AX12)</f>
        <v>-14771177.38731979</v>
      </c>
      <c r="AY13" s="539">
        <f t="shared" ref="AY13:AZ13" si="18">SUM(AY5:AY12)</f>
        <v>-15909772.702550791</v>
      </c>
      <c r="AZ13" s="539">
        <f t="shared" si="18"/>
        <v>-16973848.807435792</v>
      </c>
      <c r="BA13" s="539">
        <f>SUM(BA5:BA12)</f>
        <v>-18955246.588894796</v>
      </c>
      <c r="BB13" s="539">
        <f t="shared" ref="BB13" si="19">SUM(BB5:BB12)</f>
        <v>-21939210.673472796</v>
      </c>
      <c r="BC13" s="602">
        <f>SUM(BC5:BC12)</f>
        <v>-7905986.5629997924</v>
      </c>
      <c r="BD13" s="539">
        <f>SUM(BD5:BD12)</f>
        <v>-11665051.21985379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558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20">E13-E14</f>
        <v>1.0000000242143869E-2</v>
      </c>
      <c r="F15" s="480">
        <f t="shared" si="20"/>
        <v>1.0000000242143869E-2</v>
      </c>
      <c r="G15" s="480">
        <f t="shared" si="20"/>
        <v>1.1333210000884719E-2</v>
      </c>
      <c r="H15" s="480">
        <f t="shared" si="20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1">V13-V14</f>
        <v>-1.418781466782093E-3</v>
      </c>
      <c r="W15" s="480">
        <f t="shared" si="21"/>
        <v>-3.9537788834422827E-3</v>
      </c>
      <c r="X15" s="480">
        <f t="shared" si="21"/>
        <v>-8.6577935144305229E-4</v>
      </c>
      <c r="Y15" s="480">
        <f t="shared" si="21"/>
        <v>8.9622149243950844E-4</v>
      </c>
      <c r="Z15" s="480">
        <f t="shared" si="21"/>
        <v>5.3862207569181919E-3</v>
      </c>
      <c r="AA15" s="480">
        <f t="shared" si="21"/>
        <v>2.9682228341698647E-3</v>
      </c>
      <c r="AB15" s="480">
        <f t="shared" si="21"/>
        <v>3.3282246440649033E-3</v>
      </c>
      <c r="AC15" s="480">
        <f t="shared" si="21"/>
        <v>-7.3377694934606552E-4</v>
      </c>
      <c r="AD15" s="480">
        <f t="shared" si="21"/>
        <v>-4.0987767279148102E-3</v>
      </c>
      <c r="AE15" s="480">
        <f t="shared" si="21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2">AH13-AH14</f>
        <v>5.9522874653339386E-4</v>
      </c>
      <c r="AI15" s="480">
        <f t="shared" si="22"/>
        <v>4.5292302966117859E-3</v>
      </c>
      <c r="AJ15" s="480">
        <f t="shared" si="22"/>
        <v>4.0392298251390457E-3</v>
      </c>
      <c r="AK15" s="480">
        <f t="shared" si="22"/>
        <v>7.895229384303093E-3</v>
      </c>
      <c r="AL15" s="480">
        <f t="shared" si="22"/>
        <v>5.0072316080331802E-3</v>
      </c>
      <c r="AM15" s="480">
        <f>AM13-AM14</f>
        <v>2.2832304239273071E-3</v>
      </c>
      <c r="AN15" s="480">
        <f t="shared" si="22"/>
        <v>6.6432300955057144E-3</v>
      </c>
      <c r="AO15" s="480">
        <f t="shared" si="22"/>
        <v>7.0602260529994965E-3</v>
      </c>
      <c r="AP15" s="480">
        <f t="shared" si="22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3">AT13-AT14</f>
        <v>1.8762214109301567E-2</v>
      </c>
      <c r="AU15" s="480">
        <f t="shared" si="23"/>
        <v>1.8333211541175842E-2</v>
      </c>
      <c r="AV15" s="480">
        <f t="shared" si="23"/>
        <v>2.021821029484272E-2</v>
      </c>
      <c r="AW15" s="480">
        <f t="shared" si="23"/>
        <v>1.7654210329055786E-2</v>
      </c>
      <c r="AX15" s="480">
        <f t="shared" si="23"/>
        <v>1.2680210173130035E-2</v>
      </c>
      <c r="AY15" s="480">
        <f t="shared" si="23"/>
        <v>1.7449209466576576E-2</v>
      </c>
      <c r="AZ15" s="480">
        <f t="shared" si="23"/>
        <v>3420.1025642082095</v>
      </c>
      <c r="BA15" s="480">
        <f t="shared" si="23"/>
        <v>7168.2211052030325</v>
      </c>
      <c r="BB15" s="480">
        <f t="shared" si="23"/>
        <v>-2976795.863472797</v>
      </c>
      <c r="BC15" s="480">
        <f>BC13-BC14</f>
        <v>11056428.247000206</v>
      </c>
      <c r="BD15" s="480">
        <f>BD13-BD14</f>
        <v>-11665051.21985379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4">U18+1</f>
        <v>201502</v>
      </c>
      <c r="W18" s="482">
        <f t="shared" si="24"/>
        <v>201503</v>
      </c>
      <c r="X18" s="482">
        <f t="shared" si="24"/>
        <v>201504</v>
      </c>
      <c r="Y18" s="482">
        <f t="shared" si="24"/>
        <v>201505</v>
      </c>
      <c r="Z18" s="482">
        <f t="shared" si="24"/>
        <v>201506</v>
      </c>
      <c r="AA18" s="482">
        <f t="shared" si="24"/>
        <v>201507</v>
      </c>
      <c r="AB18" s="482">
        <f t="shared" si="24"/>
        <v>201508</v>
      </c>
      <c r="AC18" s="482">
        <f t="shared" si="24"/>
        <v>201509</v>
      </c>
      <c r="AD18" s="482">
        <f t="shared" si="24"/>
        <v>201510</v>
      </c>
      <c r="AE18" s="482">
        <f>AD18+1</f>
        <v>201511</v>
      </c>
      <c r="AF18" s="482">
        <f t="shared" ref="AF18" si="25">AE18+1</f>
        <v>201512</v>
      </c>
      <c r="AG18" s="482">
        <v>201601</v>
      </c>
      <c r="AH18" s="482">
        <f>AG18+1</f>
        <v>201602</v>
      </c>
      <c r="AI18" s="482">
        <f t="shared" ref="AI18:AR18" si="26">AH18+1</f>
        <v>201603</v>
      </c>
      <c r="AJ18" s="482">
        <f t="shared" si="26"/>
        <v>201604</v>
      </c>
      <c r="AK18" s="482">
        <f t="shared" si="26"/>
        <v>201605</v>
      </c>
      <c r="AL18" s="482">
        <f t="shared" si="26"/>
        <v>201606</v>
      </c>
      <c r="AM18" s="482">
        <f t="shared" si="26"/>
        <v>201607</v>
      </c>
      <c r="AN18" s="482">
        <f t="shared" si="26"/>
        <v>201608</v>
      </c>
      <c r="AO18" s="482">
        <f t="shared" si="26"/>
        <v>201609</v>
      </c>
      <c r="AP18" s="482">
        <f t="shared" si="26"/>
        <v>201610</v>
      </c>
      <c r="AQ18" s="482">
        <f t="shared" si="26"/>
        <v>201611</v>
      </c>
      <c r="AR18" s="482">
        <f t="shared" si="26"/>
        <v>201612</v>
      </c>
      <c r="AS18" s="482">
        <f>AS3</f>
        <v>201701</v>
      </c>
      <c r="AT18" s="482">
        <f>AS18+1</f>
        <v>201702</v>
      </c>
      <c r="AU18" s="482">
        <f t="shared" ref="AU18:BD18" si="27">AT18+1</f>
        <v>201703</v>
      </c>
      <c r="AV18" s="482">
        <f t="shared" si="27"/>
        <v>201704</v>
      </c>
      <c r="AW18" s="482">
        <f t="shared" si="27"/>
        <v>201705</v>
      </c>
      <c r="AX18" s="482">
        <f t="shared" si="27"/>
        <v>201706</v>
      </c>
      <c r="AY18" s="482">
        <f t="shared" si="27"/>
        <v>201707</v>
      </c>
      <c r="AZ18" s="482">
        <f t="shared" si="27"/>
        <v>201708</v>
      </c>
      <c r="BA18" s="482">
        <f t="shared" si="27"/>
        <v>201709</v>
      </c>
      <c r="BB18" s="482">
        <f t="shared" si="27"/>
        <v>201710</v>
      </c>
      <c r="BC18" s="482">
        <f t="shared" si="27"/>
        <v>201711</v>
      </c>
      <c r="BD18" s="482">
        <f t="shared" si="27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620">
        <f>Jun!$G23</f>
        <v>2542069</v>
      </c>
      <c r="AY19" s="620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8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620">
        <f>Jun!$G24</f>
        <v>3619</v>
      </c>
      <c r="AY20" s="620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8"/>
        <v>51323965</v>
      </c>
      <c r="D21" s="489">
        <f t="shared" ref="D21:D27" si="29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620">
        <f>Jun!$G25</f>
        <v>1878375</v>
      </c>
      <c r="AY21" s="620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620"/>
      <c r="AY22" s="620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8"/>
        <v>3609942</v>
      </c>
      <c r="D23" s="489">
        <f t="shared" si="29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620">
        <f>Jun!$G27</f>
        <v>289055</v>
      </c>
      <c r="AY23" s="620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8"/>
        <v>0</v>
      </c>
      <c r="D24" s="489">
        <f t="shared" si="29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620"/>
      <c r="AY24" s="620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8"/>
        <v>0</v>
      </c>
      <c r="D25" s="489">
        <f t="shared" si="29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620">
        <f>Jun!$G29</f>
        <v>0</v>
      </c>
      <c r="AY25" s="620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8"/>
        <v>0</v>
      </c>
      <c r="D26" s="489">
        <f t="shared" si="29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620"/>
      <c r="AY26" s="620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8"/>
        <v>35395192</v>
      </c>
      <c r="D27" s="489">
        <f t="shared" si="29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620">
        <f>Jun!$G31</f>
        <v>2531843</v>
      </c>
      <c r="AY27" s="620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30">SUM(G19:G27)</f>
        <v>24054373</v>
      </c>
      <c r="H28" s="540">
        <f t="shared" si="30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1">SUM(V19:V27)</f>
        <v>21809394</v>
      </c>
      <c r="W28" s="540">
        <f t="shared" si="31"/>
        <v>17454090</v>
      </c>
      <c r="X28" s="540">
        <f t="shared" si="31"/>
        <v>14032685</v>
      </c>
      <c r="Y28" s="540">
        <f t="shared" si="31"/>
        <v>7651890</v>
      </c>
      <c r="Z28" s="540">
        <f t="shared" si="31"/>
        <v>5795038</v>
      </c>
      <c r="AA28" s="540">
        <f t="shared" si="31"/>
        <v>5628267</v>
      </c>
      <c r="AB28" s="540">
        <f t="shared" si="31"/>
        <v>5459507</v>
      </c>
      <c r="AC28" s="540">
        <f t="shared" si="31"/>
        <v>7409442</v>
      </c>
      <c r="AD28" s="540">
        <f t="shared" si="31"/>
        <v>10025335</v>
      </c>
      <c r="AE28" s="540">
        <f t="shared" si="31"/>
        <v>24443601</v>
      </c>
      <c r="AF28" s="540">
        <f t="shared" si="31"/>
        <v>29286544</v>
      </c>
      <c r="AG28" s="540">
        <f>SUM(AG19:AG27)</f>
        <v>40584714</v>
      </c>
      <c r="AH28" s="540">
        <f t="shared" si="31"/>
        <v>30357660</v>
      </c>
      <c r="AI28" s="540">
        <f t="shared" si="31"/>
        <v>23658883</v>
      </c>
      <c r="AJ28" s="540">
        <f t="shared" si="31"/>
        <v>16834972</v>
      </c>
      <c r="AK28" s="540">
        <f t="shared" si="31"/>
        <v>10179280</v>
      </c>
      <c r="AL28" s="540">
        <f>SUM(AL19:AL27)</f>
        <v>7244961</v>
      </c>
      <c r="AM28" s="540">
        <f>SUM(AM19:AM27)</f>
        <v>5938596</v>
      </c>
      <c r="AN28" s="540">
        <f t="shared" si="31"/>
        <v>6177700</v>
      </c>
      <c r="AO28" s="540">
        <f>SUM(AO19:AO27)</f>
        <v>7874888</v>
      </c>
      <c r="AP28" s="540">
        <f t="shared" si="31"/>
        <v>15813981</v>
      </c>
      <c r="AQ28" s="540">
        <f t="shared" si="31"/>
        <v>18553428</v>
      </c>
      <c r="AR28" s="540">
        <f t="shared" si="31"/>
        <v>36861159</v>
      </c>
      <c r="AS28" s="540">
        <f>SUM(AS19:AS27)</f>
        <v>40584714</v>
      </c>
      <c r="AT28" s="540">
        <f t="shared" ref="AT28:AW28" si="32">SUM(AT19:AT27)</f>
        <v>30357660</v>
      </c>
      <c r="AU28" s="540">
        <f t="shared" si="32"/>
        <v>23658883</v>
      </c>
      <c r="AV28" s="540">
        <f t="shared" si="32"/>
        <v>16834972</v>
      </c>
      <c r="AW28" s="540">
        <f t="shared" si="32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3">SUM(AZ19:AZ27)</f>
        <v>6177700</v>
      </c>
      <c r="BA28" s="540">
        <f>SUM(BA19:BA27)</f>
        <v>4727652</v>
      </c>
      <c r="BB28" s="540">
        <f t="shared" ref="BB28:BD28" si="34">SUM(BB19:BB27)</f>
        <v>6978145</v>
      </c>
      <c r="BC28" s="540">
        <f t="shared" si="34"/>
        <v>7201032</v>
      </c>
      <c r="BD28" s="540">
        <f t="shared" si="34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7244961</v>
      </c>
      <c r="AY29" s="489">
        <v>5938596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5">U31+1</f>
        <v>201502</v>
      </c>
      <c r="W31" s="482">
        <f t="shared" si="35"/>
        <v>201503</v>
      </c>
      <c r="X31" s="482">
        <f t="shared" si="35"/>
        <v>201504</v>
      </c>
      <c r="Y31" s="482">
        <f t="shared" si="35"/>
        <v>201505</v>
      </c>
      <c r="Z31" s="482">
        <f t="shared" si="35"/>
        <v>201506</v>
      </c>
      <c r="AA31" s="482">
        <f t="shared" si="35"/>
        <v>201507</v>
      </c>
      <c r="AB31" s="482">
        <f t="shared" si="35"/>
        <v>201508</v>
      </c>
      <c r="AC31" s="482">
        <f t="shared" si="35"/>
        <v>201509</v>
      </c>
      <c r="AD31" s="482">
        <f t="shared" si="35"/>
        <v>201510</v>
      </c>
      <c r="AE31" s="482">
        <f>AD31+1</f>
        <v>201511</v>
      </c>
      <c r="AF31" s="482">
        <f t="shared" ref="AF31" si="36">AE31+1</f>
        <v>201512</v>
      </c>
      <c r="AG31" s="482">
        <v>201601</v>
      </c>
      <c r="AH31" s="482">
        <f>AG31+1</f>
        <v>201602</v>
      </c>
      <c r="AI31" s="482">
        <f t="shared" ref="AI31:AR31" si="37">AH31+1</f>
        <v>201603</v>
      </c>
      <c r="AJ31" s="482">
        <f t="shared" si="37"/>
        <v>201604</v>
      </c>
      <c r="AK31" s="482">
        <f t="shared" si="37"/>
        <v>201605</v>
      </c>
      <c r="AL31" s="482">
        <f t="shared" si="37"/>
        <v>201606</v>
      </c>
      <c r="AM31" s="482">
        <f t="shared" si="37"/>
        <v>201607</v>
      </c>
      <c r="AN31" s="482">
        <f t="shared" si="37"/>
        <v>201608</v>
      </c>
      <c r="AO31" s="482">
        <f t="shared" si="37"/>
        <v>201609</v>
      </c>
      <c r="AP31" s="482">
        <f t="shared" si="37"/>
        <v>201610</v>
      </c>
      <c r="AQ31" s="482">
        <f t="shared" si="37"/>
        <v>201611</v>
      </c>
      <c r="AR31" s="482">
        <f t="shared" si="37"/>
        <v>201612</v>
      </c>
      <c r="AS31" s="482">
        <f>AS3</f>
        <v>201701</v>
      </c>
      <c r="AT31" s="482">
        <f>AS31+1</f>
        <v>201702</v>
      </c>
      <c r="AU31" s="482">
        <f t="shared" ref="AU31:BD31" si="38">AT31+1</f>
        <v>201703</v>
      </c>
      <c r="AV31" s="482">
        <f t="shared" si="38"/>
        <v>201704</v>
      </c>
      <c r="AW31" s="482">
        <f t="shared" si="38"/>
        <v>201705</v>
      </c>
      <c r="AX31" s="482">
        <f t="shared" si="38"/>
        <v>201706</v>
      </c>
      <c r="AY31" s="482">
        <f t="shared" si="38"/>
        <v>201707</v>
      </c>
      <c r="AZ31" s="482">
        <f t="shared" si="38"/>
        <v>201708</v>
      </c>
      <c r="BA31" s="482">
        <f t="shared" si="38"/>
        <v>201709</v>
      </c>
      <c r="BB31" s="482">
        <f t="shared" si="38"/>
        <v>201710</v>
      </c>
      <c r="BC31" s="482">
        <f t="shared" si="38"/>
        <v>201711</v>
      </c>
      <c r="BD31" s="482">
        <f t="shared" si="38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6">
        <v>9.1740000000000002E-2</v>
      </c>
      <c r="AY32" s="616">
        <v>9.1740000000000002E-2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6">
        <v>9.1740000000000002E-2</v>
      </c>
      <c r="AY33" s="616">
        <v>9.1740000000000002E-2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6">
        <v>7.2489999999999999E-2</v>
      </c>
      <c r="AY34" s="616">
        <v>7.2489999999999999E-2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6"/>
      <c r="AY35" s="616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6">
        <v>4.4479999999999999E-2</v>
      </c>
      <c r="AY36" s="616">
        <v>4.4479999999999999E-2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6"/>
      <c r="AY37" s="616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6">
        <v>8.8340000000000002E-2</v>
      </c>
      <c r="AY38" s="616">
        <v>8.8340000000000002E-2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6"/>
      <c r="AY39" s="616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Y40" s="616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201707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9">U42+1</f>
        <v>201502</v>
      </c>
      <c r="W42" s="482">
        <f t="shared" si="39"/>
        <v>201503</v>
      </c>
      <c r="X42" s="482">
        <f t="shared" si="39"/>
        <v>201504</v>
      </c>
      <c r="Y42" s="482">
        <f t="shared" si="39"/>
        <v>201505</v>
      </c>
      <c r="Z42" s="482">
        <f t="shared" si="39"/>
        <v>201506</v>
      </c>
      <c r="AA42" s="482">
        <f t="shared" si="39"/>
        <v>201507</v>
      </c>
      <c r="AB42" s="482">
        <f t="shared" si="39"/>
        <v>201508</v>
      </c>
      <c r="AC42" s="482">
        <f t="shared" si="39"/>
        <v>201509</v>
      </c>
      <c r="AD42" s="482">
        <f t="shared" si="39"/>
        <v>201510</v>
      </c>
      <c r="AE42" s="482">
        <f>AD42+1</f>
        <v>201511</v>
      </c>
      <c r="AF42" s="482">
        <f t="shared" ref="AF42" si="40">AE42+1</f>
        <v>201512</v>
      </c>
      <c r="AG42" s="482">
        <v>201601</v>
      </c>
      <c r="AH42" s="482">
        <f>AG42+1</f>
        <v>201602</v>
      </c>
      <c r="AI42" s="482">
        <f t="shared" ref="AI42:AR42" si="41">AH42+1</f>
        <v>201603</v>
      </c>
      <c r="AJ42" s="482">
        <f t="shared" si="41"/>
        <v>201604</v>
      </c>
      <c r="AK42" s="482">
        <f t="shared" si="41"/>
        <v>201605</v>
      </c>
      <c r="AL42" s="482">
        <f t="shared" si="41"/>
        <v>201606</v>
      </c>
      <c r="AM42" s="482">
        <f t="shared" si="41"/>
        <v>201607</v>
      </c>
      <c r="AN42" s="482">
        <f t="shared" si="41"/>
        <v>201608</v>
      </c>
      <c r="AO42" s="482">
        <f t="shared" si="41"/>
        <v>201609</v>
      </c>
      <c r="AP42" s="482">
        <f t="shared" si="41"/>
        <v>201610</v>
      </c>
      <c r="AQ42" s="482">
        <f t="shared" si="41"/>
        <v>201611</v>
      </c>
      <c r="AR42" s="482">
        <f t="shared" si="41"/>
        <v>201612</v>
      </c>
      <c r="AS42" s="482">
        <f>AS3</f>
        <v>201701</v>
      </c>
      <c r="AT42" s="482">
        <f>AS42+1</f>
        <v>201702</v>
      </c>
      <c r="AU42" s="482">
        <f t="shared" ref="AU42:BD42" si="42">AT42+1</f>
        <v>201703</v>
      </c>
      <c r="AV42" s="482">
        <f t="shared" si="42"/>
        <v>201704</v>
      </c>
      <c r="AW42" s="482">
        <f t="shared" si="42"/>
        <v>201705</v>
      </c>
      <c r="AX42" s="482">
        <f t="shared" si="42"/>
        <v>201706</v>
      </c>
      <c r="AY42" s="482">
        <f t="shared" si="42"/>
        <v>201707</v>
      </c>
      <c r="AZ42" s="482">
        <f t="shared" si="42"/>
        <v>201708</v>
      </c>
      <c r="BA42" s="482">
        <f t="shared" si="42"/>
        <v>201709</v>
      </c>
      <c r="BB42" s="482">
        <f t="shared" si="42"/>
        <v>201710</v>
      </c>
      <c r="BC42" s="482">
        <f t="shared" si="42"/>
        <v>201711</v>
      </c>
      <c r="BD42" s="482">
        <f t="shared" si="42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1632.5866412570899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617">
        <v>3.7100000000000001E-2</v>
      </c>
      <c r="AY43" s="617">
        <v>3.9600000000000003E-2</v>
      </c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305618.35544874286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3">AE49</f>
        <v>-2966848.8846008489</v>
      </c>
      <c r="AG44" s="480">
        <f t="shared" si="43"/>
        <v>-2400830.7877258095</v>
      </c>
      <c r="AH44" s="480">
        <f t="shared" si="43"/>
        <v>-1799942.4443073752</v>
      </c>
      <c r="AI44" s="480">
        <f t="shared" si="43"/>
        <v>-1367080.388300563</v>
      </c>
      <c r="AJ44" s="480">
        <f t="shared" si="43"/>
        <v>-991269.16134300514</v>
      </c>
      <c r="AK44" s="480">
        <f t="shared" si="43"/>
        <v>-820633.96798459429</v>
      </c>
      <c r="AL44" s="480">
        <f>AK49</f>
        <v>-706831.28344430251</v>
      </c>
      <c r="AM44" s="480">
        <f t="shared" ref="AM44:AT44" si="44">AL49</f>
        <v>-615740.82707996247</v>
      </c>
      <c r="AN44" s="480">
        <f t="shared" si="44"/>
        <v>-539081.43298013532</v>
      </c>
      <c r="AO44" s="480">
        <f t="shared" si="44"/>
        <v>-459570.5002163836</v>
      </c>
      <c r="AP44" s="480">
        <f t="shared" si="44"/>
        <v>-353667.8760235564</v>
      </c>
      <c r="AQ44" s="558">
        <f t="shared" si="44"/>
        <v>-123445.19123732927</v>
      </c>
      <c r="AR44" s="480">
        <f t="shared" si="44"/>
        <v>-12794629.54065969</v>
      </c>
      <c r="AS44" s="480">
        <f t="shared" si="44"/>
        <v>-9990002.7430699486</v>
      </c>
      <c r="AT44" s="480">
        <f t="shared" si="44"/>
        <v>-6863930.3518781429</v>
      </c>
      <c r="AU44" s="480">
        <f>AT49</f>
        <v>-4576506.6383892084</v>
      </c>
      <c r="AV44" s="480">
        <f t="shared" ref="AV44:AW44" si="45">AU49</f>
        <v>-2850780.7220049934</v>
      </c>
      <c r="AW44" s="558">
        <f t="shared" si="45"/>
        <v>-1667508.1164393995</v>
      </c>
      <c r="AX44" s="480">
        <f>AW49</f>
        <v>-1028322.8285985981</v>
      </c>
      <c r="AY44" s="480">
        <f t="shared" ref="AY44:AZ44" si="46">AX49</f>
        <v>-648348.69566836057</v>
      </c>
      <c r="AZ44" s="480">
        <f t="shared" si="46"/>
        <v>-342730.3402196177</v>
      </c>
      <c r="BA44" s="480">
        <f>AZ49</f>
        <v>-270631.80022961769</v>
      </c>
      <c r="BB44" s="480">
        <f>BA49</f>
        <v>-242666.79448961769</v>
      </c>
      <c r="BC44" s="558">
        <f>BB49</f>
        <v>-193820.54686961768</v>
      </c>
      <c r="BD44" s="480">
        <f>BC49</f>
        <v>-12825541.236869618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307250.94208999997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W45" si="47">SUMPRODUCT(AS19:AS27,AS32:AS40)</f>
        <v>3150615.2519499999</v>
      </c>
      <c r="AT45" s="480">
        <f t="shared" si="47"/>
        <v>2304083.3887400003</v>
      </c>
      <c r="AU45" s="480">
        <f t="shared" si="47"/>
        <v>1736541.60424</v>
      </c>
      <c r="AV45" s="480">
        <f t="shared" si="47"/>
        <v>1190246.3468200001</v>
      </c>
      <c r="AW45" s="480">
        <f t="shared" si="47"/>
        <v>643346.16116000002</v>
      </c>
      <c r="AX45" s="480">
        <f>SUMPRODUCT(AX19:AX27,AX32:AX40)</f>
        <v>382561.98726999998</v>
      </c>
      <c r="AY45" s="480">
        <f t="shared" ref="AY45:AZ45" si="48">SUMPRODUCT(AY19:AY27,AY32:AY40)</f>
        <v>307250.94208999997</v>
      </c>
      <c r="AZ45" s="480">
        <f t="shared" si="48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9">BH43</f>
        <v>GD</v>
      </c>
      <c r="BI45" s="208" t="str">
        <f t="shared" si="49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50">SUM(AG46:AR46)</f>
        <v>-97522.093694136056</v>
      </c>
      <c r="D46" s="492">
        <f t="shared" ref="D46" si="51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52">((AQ44+AQ47)*(AQ43/12))+(((AQ45+AQ48)/2)*(AQ43/12))</f>
        <v>-39463.659422358884</v>
      </c>
      <c r="AR46" s="487">
        <f t="shared" si="52"/>
        <v>-33179.202410257429</v>
      </c>
      <c r="AS46" s="487">
        <f t="shared" si="52"/>
        <v>-24542.860758193601</v>
      </c>
      <c r="AT46" s="487">
        <f t="shared" si="52"/>
        <v>-16659.675251065419</v>
      </c>
      <c r="AU46" s="487">
        <f t="shared" si="52"/>
        <v>-10815.687855785192</v>
      </c>
      <c r="AV46" s="487">
        <f t="shared" si="52"/>
        <v>-6973.7412544061872</v>
      </c>
      <c r="AW46" s="487">
        <f>((AW44+AW47)*(AW43/12))+(((AW45+AW48)/2)*(AW43/12))</f>
        <v>-4160.873319198643</v>
      </c>
      <c r="AX46" s="487">
        <f>((AX44+AX47)*(AX43/12))+(((AX45+AX48)/2)*(AX43/12))</f>
        <v>-2587.8543397624576</v>
      </c>
      <c r="AY46" s="487">
        <f t="shared" ref="AY46" si="53">((AY44+AY47)*(AY43/12))+(((AY45+AY48)/2)*(AY43/12))</f>
        <v>-1632.5866412570899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9"/>
        <v>GD</v>
      </c>
      <c r="BI46" s="556" t="str">
        <f t="shared" si="49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50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50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4">SUM(F44:F48)</f>
        <v>404885.58467682183</v>
      </c>
      <c r="G49" s="539">
        <f t="shared" si="54"/>
        <v>1486369.5928734979</v>
      </c>
      <c r="H49" s="539">
        <f t="shared" si="54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5">SUM(V44:V48)</f>
        <v>-978605.01769356499</v>
      </c>
      <c r="W49" s="539">
        <f t="shared" si="55"/>
        <v>-801445.32791263924</v>
      </c>
      <c r="X49" s="539">
        <f t="shared" si="55"/>
        <v>-669275.24177190254</v>
      </c>
      <c r="Y49" s="539">
        <f t="shared" si="55"/>
        <v>-610882.24266902648</v>
      </c>
      <c r="Z49" s="539">
        <f t="shared" si="55"/>
        <v>-574943.04011245095</v>
      </c>
      <c r="AA49" s="539">
        <f t="shared" si="55"/>
        <v>-537511.27700320142</v>
      </c>
      <c r="AB49" s="539">
        <f t="shared" si="55"/>
        <v>-503286.03358886426</v>
      </c>
      <c r="AC49" s="539">
        <f t="shared" si="55"/>
        <v>-446057.56644618412</v>
      </c>
      <c r="AD49" s="539">
        <f t="shared" si="55"/>
        <v>-360318.05653003836</v>
      </c>
      <c r="AE49" s="539">
        <f t="shared" si="55"/>
        <v>-2966848.8846008489</v>
      </c>
      <c r="AF49" s="539">
        <f t="shared" si="55"/>
        <v>-2400830.7877258095</v>
      </c>
      <c r="AG49" s="539">
        <f t="shared" si="55"/>
        <v>-1799942.4443073752</v>
      </c>
      <c r="AH49" s="539">
        <f t="shared" si="55"/>
        <v>-1367080.388300563</v>
      </c>
      <c r="AI49" s="539">
        <f t="shared" si="55"/>
        <v>-991269.16134300514</v>
      </c>
      <c r="AJ49" s="539">
        <f t="shared" si="55"/>
        <v>-820633.96798459429</v>
      </c>
      <c r="AK49" s="539">
        <f t="shared" si="55"/>
        <v>-706831.28344430251</v>
      </c>
      <c r="AL49" s="539">
        <f t="shared" si="55"/>
        <v>-615740.82707996247</v>
      </c>
      <c r="AM49" s="539">
        <f>SUM(AM44:AM48)</f>
        <v>-539081.43298013532</v>
      </c>
      <c r="AN49" s="539">
        <f t="shared" si="55"/>
        <v>-459570.5002163836</v>
      </c>
      <c r="AO49" s="539">
        <f t="shared" si="55"/>
        <v>-353667.8760235564</v>
      </c>
      <c r="AP49" s="539">
        <f t="shared" si="55"/>
        <v>-123445.19123732927</v>
      </c>
      <c r="AQ49" s="539">
        <f>SUM(AQ44:AQ48)</f>
        <v>-12794629.54065969</v>
      </c>
      <c r="AR49" s="539">
        <f t="shared" si="55"/>
        <v>-9990002.7430699486</v>
      </c>
      <c r="AS49" s="539">
        <f>SUM(AS44:AS48)</f>
        <v>-6863930.3518781429</v>
      </c>
      <c r="AT49" s="539">
        <f t="shared" ref="AT49:AX49" si="56">SUM(AT44:AT48)</f>
        <v>-4576506.6383892084</v>
      </c>
      <c r="AU49" s="539">
        <f>SUM(AU44:AU48)</f>
        <v>-2850780.7220049934</v>
      </c>
      <c r="AV49" s="539">
        <f t="shared" si="56"/>
        <v>-1667508.1164393995</v>
      </c>
      <c r="AW49" s="539">
        <f t="shared" si="56"/>
        <v>-1028322.8285985981</v>
      </c>
      <c r="AX49" s="539">
        <f t="shared" si="56"/>
        <v>-648348.69566836057</v>
      </c>
      <c r="AY49" s="539">
        <f>SUM(AY44:AY48)</f>
        <v>-342730.3402196177</v>
      </c>
      <c r="AZ49" s="539">
        <f t="shared" ref="AZ49:BB49" si="57">SUM(AZ44:AZ48)</f>
        <v>-270631.80022961769</v>
      </c>
      <c r="BA49" s="539">
        <f t="shared" si="57"/>
        <v>-242666.79448961769</v>
      </c>
      <c r="BB49" s="539">
        <f t="shared" si="57"/>
        <v>-193820.54686961768</v>
      </c>
      <c r="BC49" s="539">
        <f>SUM(BC44:BC48)</f>
        <v>-12825541.236869618</v>
      </c>
      <c r="BD49" s="539">
        <f t="shared" ref="BD49" si="58">SUM(BD44:BD48)</f>
        <v>-9987735.2368696183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9">E49-E50</f>
        <v>-0.22028744451381499</v>
      </c>
      <c r="F51" s="480">
        <f t="shared" si="59"/>
        <v>-0.22532317816512659</v>
      </c>
      <c r="G51" s="480">
        <f t="shared" si="59"/>
        <v>-0.22712650219909847</v>
      </c>
      <c r="H51" s="480">
        <f t="shared" si="59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60">V49-V50</f>
        <v>-0.21769356494769454</v>
      </c>
      <c r="W51" s="480">
        <f t="shared" si="60"/>
        <v>-0.21791263925842941</v>
      </c>
      <c r="X51" s="480">
        <f t="shared" si="60"/>
        <v>-0.22177190252114087</v>
      </c>
      <c r="Y51" s="480">
        <f t="shared" si="60"/>
        <v>-0.22266902646515518</v>
      </c>
      <c r="Z51" s="480">
        <f t="shared" si="60"/>
        <v>-0.22011245100293308</v>
      </c>
      <c r="AA51" s="480">
        <f t="shared" si="60"/>
        <v>-0.21700320136733353</v>
      </c>
      <c r="AB51" s="480">
        <f t="shared" si="60"/>
        <v>-0.21358886425150558</v>
      </c>
      <c r="AC51" s="480">
        <f t="shared" si="60"/>
        <v>-0.21644618414575234</v>
      </c>
      <c r="AD51" s="480">
        <f t="shared" si="60"/>
        <v>-0.21653003833489493</v>
      </c>
      <c r="AE51" s="480">
        <f t="shared" si="60"/>
        <v>-0.21460084896534681</v>
      </c>
      <c r="AF51" s="480">
        <f t="shared" si="60"/>
        <v>-0.21772580966353416</v>
      </c>
      <c r="AG51" s="480">
        <f t="shared" si="60"/>
        <v>-0.22430737526156008</v>
      </c>
      <c r="AH51" s="480">
        <f t="shared" si="60"/>
        <v>-0.21830056305043399</v>
      </c>
      <c r="AI51" s="480">
        <f t="shared" si="60"/>
        <v>-0.22134300519246608</v>
      </c>
      <c r="AJ51" s="480">
        <f t="shared" si="60"/>
        <v>-0.2179845942882821</v>
      </c>
      <c r="AK51" s="480">
        <f>AK49-AK50</f>
        <v>-0.21344430255703628</v>
      </c>
      <c r="AL51" s="480">
        <f t="shared" si="60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60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1">AT49-AT50</f>
        <v>-0.20838920865207911</v>
      </c>
      <c r="AU51" s="480">
        <f>AU49-AU50</f>
        <v>-0.21200499357655644</v>
      </c>
      <c r="AV51" s="480">
        <f t="shared" si="61"/>
        <v>-0.21643939963541925</v>
      </c>
      <c r="AW51" s="480">
        <f>AW49-AW50</f>
        <v>-0.21859859814867377</v>
      </c>
      <c r="AX51" s="480">
        <f t="shared" ref="AX51" si="62">AX49-AX50</f>
        <v>-0.21566836058627814</v>
      </c>
      <c r="AY51" s="480">
        <f>AY49-AY50</f>
        <v>-0.22021961770951748</v>
      </c>
      <c r="AZ51" s="480">
        <f>AZ49-AZ50</f>
        <v>-237482.7802296177</v>
      </c>
      <c r="BA51" s="480">
        <f t="shared" ref="BA51" si="63">BA49-BA50</f>
        <v>-671724.39448961767</v>
      </c>
      <c r="BB51" s="480">
        <f>BB49-BB50</f>
        <v>-622878.14686961763</v>
      </c>
      <c r="BC51" s="480">
        <f>BC49-BC50</f>
        <v>-13254598.836869618</v>
      </c>
      <c r="BD51" s="480">
        <f>BD49-BD50</f>
        <v>-9987735.2368696183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4">U54+1</f>
        <v>201502</v>
      </c>
      <c r="W54" s="482">
        <f t="shared" si="64"/>
        <v>201503</v>
      </c>
      <c r="X54" s="482">
        <f t="shared" si="64"/>
        <v>201504</v>
      </c>
      <c r="Y54" s="482">
        <f t="shared" si="64"/>
        <v>201505</v>
      </c>
      <c r="Z54" s="482">
        <f t="shared" si="64"/>
        <v>201506</v>
      </c>
      <c r="AA54" s="482">
        <f t="shared" si="64"/>
        <v>201507</v>
      </c>
      <c r="AB54" s="482">
        <f t="shared" si="64"/>
        <v>201508</v>
      </c>
      <c r="AC54" s="482">
        <f t="shared" si="64"/>
        <v>201509</v>
      </c>
      <c r="AD54" s="482">
        <f t="shared" si="64"/>
        <v>201510</v>
      </c>
      <c r="AE54" s="482">
        <f>AD54+1</f>
        <v>201511</v>
      </c>
      <c r="AF54" s="482">
        <f t="shared" ref="AF54" si="65">AE54+1</f>
        <v>201512</v>
      </c>
      <c r="AG54" s="482">
        <v>201601</v>
      </c>
      <c r="AH54" s="482">
        <f>AG54+1</f>
        <v>201602</v>
      </c>
      <c r="AI54" s="482">
        <f t="shared" ref="AI54:AR54" si="66">AH54+1</f>
        <v>201603</v>
      </c>
      <c r="AJ54" s="482">
        <f t="shared" si="66"/>
        <v>201604</v>
      </c>
      <c r="AK54" s="482">
        <f t="shared" si="66"/>
        <v>201605</v>
      </c>
      <c r="AL54" s="482">
        <f t="shared" si="66"/>
        <v>201606</v>
      </c>
      <c r="AM54" s="482">
        <f t="shared" si="66"/>
        <v>201607</v>
      </c>
      <c r="AN54" s="482">
        <f t="shared" si="66"/>
        <v>201608</v>
      </c>
      <c r="AO54" s="482">
        <f t="shared" si="66"/>
        <v>201609</v>
      </c>
      <c r="AP54" s="482">
        <f t="shared" si="66"/>
        <v>201610</v>
      </c>
      <c r="AQ54" s="482">
        <f t="shared" si="66"/>
        <v>201611</v>
      </c>
      <c r="AR54" s="482">
        <f t="shared" si="66"/>
        <v>201612</v>
      </c>
      <c r="AS54" s="482">
        <f>AS3</f>
        <v>201701</v>
      </c>
      <c r="AT54" s="482">
        <f>AS54+1</f>
        <v>201702</v>
      </c>
      <c r="AU54" s="482">
        <f t="shared" ref="AU54:BD54" si="67">AT54+1</f>
        <v>201703</v>
      </c>
      <c r="AV54" s="482">
        <f t="shared" si="67"/>
        <v>201704</v>
      </c>
      <c r="AW54" s="482">
        <f t="shared" si="67"/>
        <v>201705</v>
      </c>
      <c r="AX54" s="482">
        <f t="shared" si="67"/>
        <v>201706</v>
      </c>
      <c r="AY54" s="482">
        <f t="shared" si="67"/>
        <v>201707</v>
      </c>
      <c r="AZ54" s="482">
        <f t="shared" si="67"/>
        <v>201708</v>
      </c>
      <c r="BA54" s="482">
        <f t="shared" si="67"/>
        <v>201709</v>
      </c>
      <c r="BB54" s="482">
        <f t="shared" si="67"/>
        <v>201710</v>
      </c>
      <c r="BC54" s="482">
        <f t="shared" si="67"/>
        <v>201711</v>
      </c>
      <c r="BD54" s="482">
        <f t="shared" si="67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620">
        <f>Jun!$G23</f>
        <v>2542069</v>
      </c>
      <c r="AY55" s="620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8">SUM(AG56:AR56)</f>
        <v>197284</v>
      </c>
      <c r="D56" s="489">
        <f t="shared" ref="D56:D63" si="69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620">
        <f>Jun!$G24</f>
        <v>3619</v>
      </c>
      <c r="AY56" s="620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8"/>
        <v>51323965</v>
      </c>
      <c r="D57" s="489">
        <f t="shared" si="69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620">
        <f>Jun!$G25</f>
        <v>1878375</v>
      </c>
      <c r="AY57" s="620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8"/>
        <v>0</v>
      </c>
      <c r="D58" s="489">
        <f t="shared" si="69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620">
        <f>Jun!$G26</f>
        <v>0</v>
      </c>
      <c r="AY58" s="620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8"/>
        <v>3609942</v>
      </c>
      <c r="D59" s="489">
        <f t="shared" si="69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620">
        <f>Jun!$G27</f>
        <v>289055</v>
      </c>
      <c r="AY59" s="620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8"/>
        <v>506146</v>
      </c>
      <c r="D60" s="489">
        <f t="shared" si="69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620">
        <f>Jun!$G28</f>
        <v>17666</v>
      </c>
      <c r="AY60" s="620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8"/>
        <v>0</v>
      </c>
      <c r="D61" s="489">
        <f t="shared" si="69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620">
        <f>Jun!$G29</f>
        <v>0</v>
      </c>
      <c r="AY61" s="620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8"/>
        <v>970005</v>
      </c>
      <c r="D62" s="489">
        <f t="shared" si="69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620">
        <f>Jun!$G30</f>
        <v>53882</v>
      </c>
      <c r="AY62" s="620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8"/>
        <v>35395192</v>
      </c>
      <c r="D63" s="489">
        <f t="shared" si="69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620">
        <f>Jun!$G31</f>
        <v>2531843</v>
      </c>
      <c r="AY63" s="620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70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1">SUM(G55:G63)</f>
        <v>24248041</v>
      </c>
      <c r="H64" s="540">
        <f t="shared" si="71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2">SUM(V55:V63)</f>
        <v>22001617</v>
      </c>
      <c r="W64" s="540">
        <f t="shared" si="72"/>
        <v>17611817</v>
      </c>
      <c r="X64" s="540">
        <f t="shared" si="72"/>
        <v>14163392</v>
      </c>
      <c r="Y64" s="540">
        <f t="shared" si="72"/>
        <v>7782410</v>
      </c>
      <c r="Z64" s="540">
        <f t="shared" si="72"/>
        <v>5881684</v>
      </c>
      <c r="AA64" s="540">
        <f t="shared" si="72"/>
        <v>5669948</v>
      </c>
      <c r="AB64" s="540">
        <f t="shared" si="72"/>
        <v>5554978</v>
      </c>
      <c r="AC64" s="540">
        <f t="shared" si="72"/>
        <v>7484702</v>
      </c>
      <c r="AD64" s="540">
        <f t="shared" si="72"/>
        <v>10158046</v>
      </c>
      <c r="AE64" s="540">
        <f t="shared" si="72"/>
        <v>24566038</v>
      </c>
      <c r="AF64" s="540">
        <f t="shared" si="72"/>
        <v>29412416</v>
      </c>
      <c r="AG64" s="540">
        <f t="shared" si="72"/>
        <v>40809304</v>
      </c>
      <c r="AH64" s="540">
        <f t="shared" si="72"/>
        <v>30544975</v>
      </c>
      <c r="AI64" s="540">
        <f t="shared" si="72"/>
        <v>23815117</v>
      </c>
      <c r="AJ64" s="540">
        <f t="shared" si="72"/>
        <v>16958956</v>
      </c>
      <c r="AK64" s="540">
        <f t="shared" si="72"/>
        <v>10280221</v>
      </c>
      <c r="AL64" s="540">
        <f t="shared" si="72"/>
        <v>7316509</v>
      </c>
      <c r="AM64" s="540">
        <f>SUM(AM55:AM63)</f>
        <v>6050612</v>
      </c>
      <c r="AN64" s="540">
        <f t="shared" si="72"/>
        <v>6226148</v>
      </c>
      <c r="AO64" s="540">
        <f t="shared" si="72"/>
        <v>7933229</v>
      </c>
      <c r="AP64" s="540">
        <f>SUM(AP55:AP63)</f>
        <v>15888438</v>
      </c>
      <c r="AQ64" s="540">
        <f t="shared" si="72"/>
        <v>18689959</v>
      </c>
      <c r="AR64" s="540">
        <f t="shared" si="72"/>
        <v>37042905</v>
      </c>
      <c r="AS64" s="540">
        <f t="shared" si="72"/>
        <v>40809304</v>
      </c>
      <c r="AT64" s="540">
        <f t="shared" si="72"/>
        <v>30544975</v>
      </c>
      <c r="AU64" s="540">
        <f t="shared" si="72"/>
        <v>23815117</v>
      </c>
      <c r="AV64" s="540">
        <f t="shared" si="72"/>
        <v>16958956</v>
      </c>
      <c r="AW64" s="540">
        <f t="shared" si="72"/>
        <v>10280221</v>
      </c>
      <c r="AX64" s="540">
        <f t="shared" si="72"/>
        <v>7316509</v>
      </c>
      <c r="AY64" s="540">
        <f>SUM(AY55:AY63)</f>
        <v>6050612</v>
      </c>
      <c r="AZ64" s="540">
        <f t="shared" ref="AZ64:BA64" si="73">SUM(AZ55:AZ63)</f>
        <v>6226148</v>
      </c>
      <c r="BA64" s="540">
        <f t="shared" si="73"/>
        <v>7933229</v>
      </c>
      <c r="BB64" s="540">
        <f>SUM(BB55:BB63)</f>
        <v>15888438</v>
      </c>
      <c r="BC64" s="540">
        <f t="shared" ref="BC64:BD64" si="74">SUM(BC55:BC63)</f>
        <v>18689959</v>
      </c>
      <c r="BD64" s="540">
        <f t="shared" si="74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70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621">
        <v>7316509</v>
      </c>
      <c r="AY65" s="621">
        <v>6050612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5">U67+1</f>
        <v>201502</v>
      </c>
      <c r="W67" s="482">
        <f t="shared" si="75"/>
        <v>201503</v>
      </c>
      <c r="X67" s="482">
        <f t="shared" si="75"/>
        <v>201504</v>
      </c>
      <c r="Y67" s="482">
        <f t="shared" si="75"/>
        <v>201505</v>
      </c>
      <c r="Z67" s="482">
        <f t="shared" si="75"/>
        <v>201506</v>
      </c>
      <c r="AA67" s="482">
        <f t="shared" si="75"/>
        <v>201507</v>
      </c>
      <c r="AB67" s="482">
        <f t="shared" si="75"/>
        <v>201508</v>
      </c>
      <c r="AC67" s="482">
        <f t="shared" si="75"/>
        <v>201509</v>
      </c>
      <c r="AD67" s="482">
        <f t="shared" si="75"/>
        <v>201510</v>
      </c>
      <c r="AE67" s="482">
        <f>AD67+1</f>
        <v>201511</v>
      </c>
      <c r="AF67" s="482">
        <f t="shared" ref="AF67" si="76">AE67+1</f>
        <v>201512</v>
      </c>
      <c r="AG67" s="482">
        <v>201601</v>
      </c>
      <c r="AH67" s="482">
        <f>AG67+1</f>
        <v>201602</v>
      </c>
      <c r="AI67" s="482">
        <f t="shared" ref="AI67:AR67" si="77">AH67+1</f>
        <v>201603</v>
      </c>
      <c r="AJ67" s="482">
        <f t="shared" si="77"/>
        <v>201604</v>
      </c>
      <c r="AK67" s="482">
        <f t="shared" si="77"/>
        <v>201605</v>
      </c>
      <c r="AL67" s="482">
        <f t="shared" si="77"/>
        <v>201606</v>
      </c>
      <c r="AM67" s="482">
        <f t="shared" si="77"/>
        <v>201607</v>
      </c>
      <c r="AN67" s="482">
        <f t="shared" si="77"/>
        <v>201608</v>
      </c>
      <c r="AO67" s="482">
        <f t="shared" si="77"/>
        <v>201609</v>
      </c>
      <c r="AP67" s="482">
        <f t="shared" si="77"/>
        <v>201610</v>
      </c>
      <c r="AQ67" s="482">
        <f t="shared" si="77"/>
        <v>201611</v>
      </c>
      <c r="AR67" s="482">
        <f t="shared" si="77"/>
        <v>201612</v>
      </c>
      <c r="AS67" s="482">
        <f>AS3</f>
        <v>201701</v>
      </c>
      <c r="AT67" s="482">
        <f>AS67+1</f>
        <v>201702</v>
      </c>
      <c r="AU67" s="482">
        <f t="shared" ref="AU67:BD67" si="78">AT67+1</f>
        <v>201703</v>
      </c>
      <c r="AV67" s="482">
        <f t="shared" si="78"/>
        <v>201704</v>
      </c>
      <c r="AW67" s="482">
        <f t="shared" si="78"/>
        <v>201705</v>
      </c>
      <c r="AX67" s="482">
        <f t="shared" si="78"/>
        <v>201706</v>
      </c>
      <c r="AY67" s="482">
        <f t="shared" si="78"/>
        <v>201707</v>
      </c>
      <c r="AZ67" s="482">
        <f t="shared" si="78"/>
        <v>201708</v>
      </c>
      <c r="BA67" s="482">
        <f t="shared" si="78"/>
        <v>201709</v>
      </c>
      <c r="BB67" s="482">
        <f t="shared" si="78"/>
        <v>201710</v>
      </c>
      <c r="BC67" s="482">
        <f t="shared" si="78"/>
        <v>201711</v>
      </c>
      <c r="BD67" s="482">
        <f t="shared" si="78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6">
        <v>1.0000000000000001E-5</v>
      </c>
      <c r="AY68" s="616">
        <v>1.0000000000000001E-5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6">
        <v>1.0000000000000001E-5</v>
      </c>
      <c r="AY69" s="616">
        <v>1.0000000000000001E-5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6">
        <v>1.0000000000000001E-5</v>
      </c>
      <c r="AY70" s="616">
        <v>1.0000000000000001E-5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6">
        <v>1.0000000000000001E-5</v>
      </c>
      <c r="AY71" s="616">
        <v>1.0000000000000001E-5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6">
        <v>1.0000000000000001E-5</v>
      </c>
      <c r="AY72" s="616">
        <v>1.0000000000000001E-5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6">
        <v>1.0000000000000001E-5</v>
      </c>
      <c r="AY73" s="616">
        <v>1.0000000000000001E-5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6">
        <v>1.0000000000000001E-5</v>
      </c>
      <c r="AY74" s="616">
        <v>1.0000000000000001E-5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6">
        <v>1.0000000000000001E-5</v>
      </c>
      <c r="AY75" s="616">
        <v>1.0000000000000001E-5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201707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6">
        <v>0</v>
      </c>
      <c r="AY76" s="616">
        <v>0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39.061780000000006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39.061780000000006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9">U78+1</f>
        <v>201502</v>
      </c>
      <c r="W78" s="482">
        <f t="shared" si="79"/>
        <v>201503</v>
      </c>
      <c r="X78" s="482">
        <f t="shared" si="79"/>
        <v>201504</v>
      </c>
      <c r="Y78" s="482">
        <f t="shared" si="79"/>
        <v>201505</v>
      </c>
      <c r="Z78" s="482">
        <f t="shared" si="79"/>
        <v>201506</v>
      </c>
      <c r="AA78" s="482">
        <f t="shared" si="79"/>
        <v>201507</v>
      </c>
      <c r="AB78" s="482">
        <f t="shared" si="79"/>
        <v>201508</v>
      </c>
      <c r="AC78" s="482">
        <f t="shared" si="79"/>
        <v>201509</v>
      </c>
      <c r="AD78" s="482">
        <f t="shared" si="79"/>
        <v>201510</v>
      </c>
      <c r="AE78" s="482">
        <f>AD78+1</f>
        <v>201511</v>
      </c>
      <c r="AF78" s="482">
        <f t="shared" ref="AF78" si="80">AE78+1</f>
        <v>201512</v>
      </c>
      <c r="AG78" s="482">
        <v>201601</v>
      </c>
      <c r="AH78" s="482">
        <f>AG78+1</f>
        <v>201602</v>
      </c>
      <c r="AI78" s="482">
        <f t="shared" ref="AI78:AR78" si="81">AH78+1</f>
        <v>201603</v>
      </c>
      <c r="AJ78" s="482">
        <f t="shared" si="81"/>
        <v>201604</v>
      </c>
      <c r="AK78" s="482">
        <f t="shared" si="81"/>
        <v>201605</v>
      </c>
      <c r="AL78" s="482">
        <f t="shared" si="81"/>
        <v>201606</v>
      </c>
      <c r="AM78" s="482">
        <f t="shared" si="81"/>
        <v>201607</v>
      </c>
      <c r="AN78" s="482">
        <f t="shared" si="81"/>
        <v>201608</v>
      </c>
      <c r="AO78" s="482">
        <f t="shared" si="81"/>
        <v>201609</v>
      </c>
      <c r="AP78" s="482">
        <f t="shared" si="81"/>
        <v>201610</v>
      </c>
      <c r="AQ78" s="482">
        <f t="shared" si="81"/>
        <v>201611</v>
      </c>
      <c r="AR78" s="482">
        <f t="shared" si="81"/>
        <v>201612</v>
      </c>
      <c r="AS78" s="482">
        <f>AS3</f>
        <v>201701</v>
      </c>
      <c r="AT78" s="482">
        <f>AS78+1</f>
        <v>201702</v>
      </c>
      <c r="AU78" s="482">
        <f t="shared" ref="AU78:BD78" si="82">AT78+1</f>
        <v>201703</v>
      </c>
      <c r="AV78" s="482">
        <f t="shared" si="82"/>
        <v>201704</v>
      </c>
      <c r="AW78" s="482">
        <f t="shared" si="82"/>
        <v>201705</v>
      </c>
      <c r="AX78" s="482">
        <f t="shared" si="82"/>
        <v>201706</v>
      </c>
      <c r="AY78" s="482">
        <f t="shared" si="82"/>
        <v>201707</v>
      </c>
      <c r="AZ78" s="482">
        <f t="shared" si="82"/>
        <v>201708</v>
      </c>
      <c r="BA78" s="482">
        <f t="shared" si="82"/>
        <v>201709</v>
      </c>
      <c r="BB78" s="482">
        <f t="shared" si="82"/>
        <v>201710</v>
      </c>
      <c r="BC78" s="482">
        <f t="shared" si="82"/>
        <v>201711</v>
      </c>
      <c r="BD78" s="482">
        <f t="shared" si="82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3">AF82</f>
        <v>-18146.93566000001</v>
      </c>
      <c r="AH79" s="480">
        <f t="shared" si="83"/>
        <v>-14523.147320000011</v>
      </c>
      <c r="AI79" s="480">
        <f t="shared" si="83"/>
        <v>-11852.264220000012</v>
      </c>
      <c r="AJ79" s="480">
        <f t="shared" si="83"/>
        <v>-9512.6003600000113</v>
      </c>
      <c r="AK79" s="480">
        <f t="shared" si="83"/>
        <v>-8373.7282900000118</v>
      </c>
      <c r="AL79" s="480">
        <f t="shared" si="83"/>
        <v>-7543.4780600000122</v>
      </c>
      <c r="AM79" s="480">
        <f t="shared" si="83"/>
        <v>-6882.1108900000127</v>
      </c>
      <c r="AN79" s="480">
        <f t="shared" si="83"/>
        <v>-6303.9779800000124</v>
      </c>
      <c r="AO79" s="480">
        <f t="shared" si="83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4">AT82</f>
        <v>-3265.0261600000117</v>
      </c>
      <c r="AV79" s="480">
        <f t="shared" si="84"/>
        <v>-3060.6942200000117</v>
      </c>
      <c r="AW79" s="480">
        <f t="shared" si="84"/>
        <v>-2919.7909600000116</v>
      </c>
      <c r="AX79" s="480">
        <f t="shared" si="84"/>
        <v>-2842.0077800000117</v>
      </c>
      <c r="AY79" s="480">
        <f t="shared" si="84"/>
        <v>-2794.1611200000116</v>
      </c>
      <c r="AZ79" s="480">
        <f t="shared" si="84"/>
        <v>-2755.0993400000116</v>
      </c>
      <c r="BA79" s="480">
        <f t="shared" si="84"/>
        <v>-2202.9835000000116</v>
      </c>
      <c r="BB79" s="480">
        <f>BA82</f>
        <v>-1414.7484400000117</v>
      </c>
      <c r="BC79" s="480">
        <f>BB82</f>
        <v>311.29718999998818</v>
      </c>
      <c r="BD79" s="480">
        <f>BC82</f>
        <v>-447.70281000001182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5">SUMPRODUCT(AW55:AW63,AW68:AW76)</f>
        <v>77.783180000000016</v>
      </c>
      <c r="AX80" s="558">
        <f>SUMPRODUCT(AX55:AX63,AX68:AX76)</f>
        <v>47.84666</v>
      </c>
      <c r="AY80" s="558">
        <f>SUMPRODUCT(AY55:AY63,AY68:AY76)</f>
        <v>39.061780000000006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6">SUM(E79:E81)</f>
        <v>38932.729789999998</v>
      </c>
      <c r="F82" s="539">
        <f t="shared" si="86"/>
        <v>8140.2385399999985</v>
      </c>
      <c r="G82" s="539">
        <f t="shared" si="86"/>
        <v>-693.68146000000161</v>
      </c>
      <c r="H82" s="539">
        <f t="shared" si="86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7">SUM(V79:V81)</f>
        <v>-38138.117780000015</v>
      </c>
      <c r="W82" s="539">
        <f t="shared" si="87"/>
        <v>-34282.961340000016</v>
      </c>
      <c r="X82" s="539">
        <f t="shared" si="87"/>
        <v>-31253.873050000017</v>
      </c>
      <c r="Y82" s="539">
        <f t="shared" si="87"/>
        <v>-29770.929110000015</v>
      </c>
      <c r="Z82" s="539">
        <f t="shared" si="87"/>
        <v>-28708.282540000015</v>
      </c>
      <c r="AA82" s="539">
        <f t="shared" si="87"/>
        <v>-27692.487530000013</v>
      </c>
      <c r="AB82" s="539">
        <f t="shared" si="87"/>
        <v>-26711.886850000014</v>
      </c>
      <c r="AC82" s="539">
        <f t="shared" si="87"/>
        <v>-25249.174790000012</v>
      </c>
      <c r="AD82" s="539">
        <f t="shared" si="87"/>
        <v>-23171.93566000001</v>
      </c>
      <c r="AE82" s="539">
        <f t="shared" si="87"/>
        <v>-21380.93566000001</v>
      </c>
      <c r="AF82" s="539">
        <f t="shared" si="87"/>
        <v>-18146.93566000001</v>
      </c>
      <c r="AG82" s="539">
        <f t="shared" si="87"/>
        <v>-14523.147320000011</v>
      </c>
      <c r="AH82" s="539">
        <f t="shared" si="87"/>
        <v>-11852.264220000012</v>
      </c>
      <c r="AI82" s="539">
        <f t="shared" si="87"/>
        <v>-9512.6003600000113</v>
      </c>
      <c r="AJ82" s="539">
        <f t="shared" si="87"/>
        <v>-8373.7282900000118</v>
      </c>
      <c r="AK82" s="539">
        <f t="shared" si="87"/>
        <v>-7543.4780600000122</v>
      </c>
      <c r="AL82" s="539">
        <f t="shared" si="87"/>
        <v>-6882.1108900000127</v>
      </c>
      <c r="AM82" s="539">
        <f t="shared" si="87"/>
        <v>-6303.9779800000124</v>
      </c>
      <c r="AN82" s="539">
        <f t="shared" si="87"/>
        <v>-5710.3492900000119</v>
      </c>
      <c r="AO82" s="539">
        <f t="shared" si="87"/>
        <v>-4950.5876300000118</v>
      </c>
      <c r="AP82" s="539">
        <f t="shared" si="87"/>
        <v>-3439.8164200000119</v>
      </c>
      <c r="AQ82" s="539">
        <f t="shared" si="87"/>
        <v>-4198.8164200000119</v>
      </c>
      <c r="AR82" s="539">
        <f t="shared" si="87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8">SUM(AU79:AU81)</f>
        <v>-3060.6942200000117</v>
      </c>
      <c r="AV82" s="539">
        <f t="shared" si="88"/>
        <v>-2919.7909600000116</v>
      </c>
      <c r="AW82" s="539">
        <f t="shared" si="88"/>
        <v>-2842.0077800000117</v>
      </c>
      <c r="AX82" s="539">
        <f t="shared" si="88"/>
        <v>-2794.1611200000116</v>
      </c>
      <c r="AY82" s="539">
        <f t="shared" si="88"/>
        <v>-2755.0993400000116</v>
      </c>
      <c r="AZ82" s="539">
        <f t="shared" si="88"/>
        <v>-2202.9835000000116</v>
      </c>
      <c r="BA82" s="539">
        <f t="shared" si="88"/>
        <v>-1414.7484400000117</v>
      </c>
      <c r="BB82" s="539">
        <f t="shared" si="88"/>
        <v>311.29718999998818</v>
      </c>
      <c r="BC82" s="539">
        <f t="shared" si="88"/>
        <v>-447.70281000001182</v>
      </c>
      <c r="BD82" s="539">
        <f t="shared" si="88"/>
        <v>-745.70281000001182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9">E82-E83</f>
        <v>-2.1000000560889021E-4</v>
      </c>
      <c r="F84" s="480">
        <f t="shared" si="89"/>
        <v>-1.4600000013160752E-3</v>
      </c>
      <c r="G84" s="480">
        <f t="shared" si="89"/>
        <v>-1.4600000016571357E-3</v>
      </c>
      <c r="H84" s="480">
        <f t="shared" si="89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0">V82-V83</f>
        <v>1.2219999982335139E-2</v>
      </c>
      <c r="W84" s="480">
        <f t="shared" si="90"/>
        <v>8.6599999849568121E-3</v>
      </c>
      <c r="X84" s="480">
        <f t="shared" si="90"/>
        <v>6.9499999844992999E-3</v>
      </c>
      <c r="Y84" s="480">
        <f t="shared" si="90"/>
        <v>1.0889999983191956E-2</v>
      </c>
      <c r="Z84" s="480">
        <f t="shared" si="90"/>
        <v>7.4599999861675315E-3</v>
      </c>
      <c r="AA84" s="480">
        <f t="shared" si="90"/>
        <v>2.469999988534255E-3</v>
      </c>
      <c r="AB84" s="480">
        <f t="shared" si="90"/>
        <v>3.1499999859079253E-3</v>
      </c>
      <c r="AC84" s="480">
        <f t="shared" si="90"/>
        <v>5.2099999884376302E-3</v>
      </c>
      <c r="AD84" s="480">
        <f t="shared" si="90"/>
        <v>4.339999988587806E-3</v>
      </c>
      <c r="AE84" s="480">
        <f t="shared" si="90"/>
        <v>4.339999988587806E-3</v>
      </c>
      <c r="AF84" s="480">
        <f t="shared" si="90"/>
        <v>4.339999988587806E-3</v>
      </c>
      <c r="AG84" s="480">
        <f t="shared" si="90"/>
        <v>2.6799999886861769E-3</v>
      </c>
      <c r="AH84" s="480">
        <f t="shared" si="90"/>
        <v>5.7799999885901343E-3</v>
      </c>
      <c r="AI84" s="480">
        <f t="shared" si="90"/>
        <v>9.6399999893037602E-3</v>
      </c>
      <c r="AJ84" s="480">
        <f t="shared" si="90"/>
        <v>1.1709999987942865E-2</v>
      </c>
      <c r="AK84" s="480">
        <f t="shared" si="90"/>
        <v>1.1939999987589545E-2</v>
      </c>
      <c r="AL84" s="480">
        <f t="shared" si="90"/>
        <v>9.1099999872312765E-3</v>
      </c>
      <c r="AM84" s="480">
        <f t="shared" si="90"/>
        <v>1.2019999987387564E-2</v>
      </c>
      <c r="AN84" s="480">
        <f t="shared" si="90"/>
        <v>1.0709999987739138E-2</v>
      </c>
      <c r="AO84" s="480">
        <f t="shared" si="90"/>
        <v>1.2369999988550262E-2</v>
      </c>
      <c r="AP84" s="480">
        <f t="shared" si="90"/>
        <v>1.3579999987996416E-2</v>
      </c>
      <c r="AQ84" s="480">
        <f t="shared" si="90"/>
        <v>1.3579999987996416E-2</v>
      </c>
      <c r="AR84" s="480">
        <f t="shared" si="90"/>
        <v>1.3579999987996416E-2</v>
      </c>
      <c r="AS84" s="480">
        <f>AS82-AS83</f>
        <v>1.0319999988041673E-2</v>
      </c>
      <c r="AT84" s="480">
        <f t="shared" ref="AT84:BD84" si="91">AT82-AT83</f>
        <v>1.3839999988249474E-2</v>
      </c>
      <c r="AU84" s="480">
        <f t="shared" si="91"/>
        <v>1.5779999988353666E-2</v>
      </c>
      <c r="AV84" s="480">
        <f t="shared" si="91"/>
        <v>1.9039999988308409E-2</v>
      </c>
      <c r="AW84" s="480">
        <f t="shared" si="91"/>
        <v>2.2219999988465133E-2</v>
      </c>
      <c r="AX84" s="480">
        <f t="shared" si="91"/>
        <v>1.8879999988257623E-2</v>
      </c>
      <c r="AY84" s="480">
        <f>AY82-AY83</f>
        <v>2.0659999988311029E-2</v>
      </c>
      <c r="AZ84" s="480">
        <f t="shared" si="91"/>
        <v>513.26649999998835</v>
      </c>
      <c r="BA84" s="480">
        <f t="shared" si="91"/>
        <v>1244.2715599999883</v>
      </c>
      <c r="BB84" s="480">
        <f t="shared" si="91"/>
        <v>2970.3171899999879</v>
      </c>
      <c r="BC84" s="480">
        <f t="shared" si="91"/>
        <v>2211.3171899999879</v>
      </c>
      <c r="BD84" s="480">
        <f t="shared" si="91"/>
        <v>-745.70281000001182</v>
      </c>
    </row>
  </sheetData>
  <conditionalFormatting sqref="E29 L65:AR65 K29:AK29 AN29:AR29 BE29 BE65">
    <cfRule type="cellIs" dxfId="553" priority="30" operator="notEqual">
      <formula>E28</formula>
    </cfRule>
  </conditionalFormatting>
  <conditionalFormatting sqref="F29">
    <cfRule type="cellIs" dxfId="552" priority="29" operator="notEqual">
      <formula>F28</formula>
    </cfRule>
  </conditionalFormatting>
  <conditionalFormatting sqref="G29">
    <cfRule type="cellIs" dxfId="551" priority="28" operator="notEqual">
      <formula>G28</formula>
    </cfRule>
  </conditionalFormatting>
  <conditionalFormatting sqref="H29">
    <cfRule type="cellIs" dxfId="550" priority="27" operator="notEqual">
      <formula>H28</formula>
    </cfRule>
  </conditionalFormatting>
  <conditionalFormatting sqref="G65">
    <cfRule type="cellIs" dxfId="549" priority="24" operator="notEqual">
      <formula>G64</formula>
    </cfRule>
  </conditionalFormatting>
  <conditionalFormatting sqref="H65">
    <cfRule type="cellIs" dxfId="548" priority="23" operator="notEqual">
      <formula>H64</formula>
    </cfRule>
  </conditionalFormatting>
  <conditionalFormatting sqref="E65">
    <cfRule type="cellIs" dxfId="547" priority="26" operator="notEqual">
      <formula>E64</formula>
    </cfRule>
  </conditionalFormatting>
  <conditionalFormatting sqref="F65">
    <cfRule type="cellIs" dxfId="546" priority="25" operator="notEqual">
      <formula>F64</formula>
    </cfRule>
  </conditionalFormatting>
  <conditionalFormatting sqref="BK80 BK47 BK11">
    <cfRule type="cellIs" dxfId="545" priority="22" operator="notEqual">
      <formula>0</formula>
    </cfRule>
  </conditionalFormatting>
  <conditionalFormatting sqref="D65">
    <cfRule type="cellIs" dxfId="544" priority="21" operator="notEqual">
      <formula>D64</formula>
    </cfRule>
  </conditionalFormatting>
  <conditionalFormatting sqref="C65">
    <cfRule type="cellIs" dxfId="543" priority="20" operator="notEqual">
      <formula>C64</formula>
    </cfRule>
  </conditionalFormatting>
  <conditionalFormatting sqref="D29">
    <cfRule type="cellIs" dxfId="542" priority="19" operator="notEqual">
      <formula>D28</formula>
    </cfRule>
  </conditionalFormatting>
  <conditionalFormatting sqref="C29">
    <cfRule type="cellIs" dxfId="541" priority="18" operator="notEqual">
      <formula>C28</formula>
    </cfRule>
  </conditionalFormatting>
  <conditionalFormatting sqref="I29">
    <cfRule type="cellIs" dxfId="540" priority="17" operator="notEqual">
      <formula>I28</formula>
    </cfRule>
  </conditionalFormatting>
  <conditionalFormatting sqref="I65">
    <cfRule type="cellIs" dxfId="539" priority="16" operator="notEqual">
      <formula>I64</formula>
    </cfRule>
  </conditionalFormatting>
  <conditionalFormatting sqref="J29">
    <cfRule type="cellIs" dxfId="538" priority="15" operator="notEqual">
      <formula>J28</formula>
    </cfRule>
  </conditionalFormatting>
  <conditionalFormatting sqref="J65">
    <cfRule type="cellIs" dxfId="537" priority="14" operator="notEqual">
      <formula>J64</formula>
    </cfRule>
  </conditionalFormatting>
  <conditionalFormatting sqref="K65">
    <cfRule type="cellIs" dxfId="536" priority="13" operator="notEqual">
      <formula>K64</formula>
    </cfRule>
  </conditionalFormatting>
  <conditionalFormatting sqref="U29">
    <cfRule type="cellIs" dxfId="535" priority="12" operator="notEqual">
      <formula>U28</formula>
    </cfRule>
  </conditionalFormatting>
  <conditionalFormatting sqref="U65">
    <cfRule type="cellIs" dxfId="534" priority="11" operator="notEqual">
      <formula>U64</formula>
    </cfRule>
  </conditionalFormatting>
  <conditionalFormatting sqref="V29">
    <cfRule type="cellIs" dxfId="533" priority="10" operator="notEqual">
      <formula>V28</formula>
    </cfRule>
  </conditionalFormatting>
  <conditionalFormatting sqref="V65">
    <cfRule type="cellIs" dxfId="532" priority="9" operator="notEqual">
      <formula>V64</formula>
    </cfRule>
  </conditionalFormatting>
  <conditionalFormatting sqref="W65">
    <cfRule type="cellIs" dxfId="531" priority="8" operator="notEqual">
      <formula>W64</formula>
    </cfRule>
  </conditionalFormatting>
  <conditionalFormatting sqref="AL29">
    <cfRule type="cellIs" dxfId="530" priority="7" operator="notEqual">
      <formula>AL28</formula>
    </cfRule>
  </conditionalFormatting>
  <conditionalFormatting sqref="AM29">
    <cfRule type="cellIs" dxfId="529" priority="6" operator="notEqual">
      <formula>AM28</formula>
    </cfRule>
  </conditionalFormatting>
  <conditionalFormatting sqref="AS65:AW65 AS29:AW29 AZ29:BD29 AZ65:BD65">
    <cfRule type="cellIs" dxfId="528" priority="5" operator="notEqual">
      <formula>AS28</formula>
    </cfRule>
  </conditionalFormatting>
  <conditionalFormatting sqref="AX29">
    <cfRule type="cellIs" dxfId="527" priority="4" operator="notEqual">
      <formula>AX28</formula>
    </cfRule>
  </conditionalFormatting>
  <conditionalFormatting sqref="AX65">
    <cfRule type="cellIs" dxfId="526" priority="3" operator="notEqual">
      <formula>AX64</formula>
    </cfRule>
  </conditionalFormatting>
  <conditionalFormatting sqref="AY29">
    <cfRule type="cellIs" dxfId="525" priority="2" operator="notEqual">
      <formula>AY28</formula>
    </cfRule>
  </conditionalFormatting>
  <conditionalFormatting sqref="AY65">
    <cfRule type="cellIs" dxfId="524" priority="1" operator="notEqual">
      <formula>AY64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D51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3" width="16.28515625" style="480" hidden="1" customWidth="1"/>
    <col min="44" max="44" width="17.7109375" style="480" customWidth="1"/>
    <col min="45" max="45" width="18.7109375" style="480" customWidth="1"/>
    <col min="46" max="52" width="16.28515625" style="480" customWidth="1"/>
    <col min="53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  <c r="BJ1" s="481" t="s">
        <v>333</v>
      </c>
      <c r="BK1" s="481"/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201707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480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6191.88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759068.25653900031</v>
      </c>
    </row>
    <row r="8" spans="1:64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>ROUND(((AY5+AY9+AY10+AY11)*(AY4/12))+((SUM(AY6:AY7)/2)*(AY4/12)),2)</f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752876.37653900031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558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621">
        <f>Jun!$K36</f>
        <v>1233197</v>
      </c>
      <c r="AZ19" s="621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621">
        <f>Jun!$K37</f>
        <v>1319570</v>
      </c>
      <c r="AZ20" s="621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621"/>
      <c r="AZ21" s="621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621"/>
      <c r="AZ22" s="621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621"/>
      <c r="AZ23" s="621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621">
        <f>Jun!$K41</f>
        <v>0</v>
      </c>
      <c r="AZ24" s="621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8">
        <v>9.3079999999999996E-2</v>
      </c>
      <c r="AZ31" s="618">
        <v>9.3079999999999996E-2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8">
        <v>9.3079999999999996E-2</v>
      </c>
      <c r="AZ32" s="618">
        <v>9.3079999999999996E-2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8"/>
      <c r="AZ33" s="618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8"/>
      <c r="AZ34" s="618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8"/>
      <c r="AZ35" s="618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8">
        <v>9.665E-2</v>
      </c>
      <c r="AZ36" s="618">
        <v>9.665E-2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617">
        <v>0.01</v>
      </c>
      <c r="AZ41" s="617">
        <v>0.01</v>
      </c>
      <c r="BA41" s="586"/>
      <c r="BB41" s="486"/>
      <c r="BC41" s="486"/>
      <c r="BD41" s="486"/>
      <c r="BE41" s="486"/>
      <c r="BF41" s="577"/>
      <c r="BG41" s="511">
        <f>BG4</f>
        <v>201707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-239397.9359650402</v>
      </c>
      <c r="BA42" s="480">
        <f t="shared" si="38"/>
        <v>-51589.21391326109</v>
      </c>
      <c r="BB42" s="480">
        <f>BA47</f>
        <v>15963.004446738909</v>
      </c>
      <c r="BC42" s="480">
        <f>BB47</f>
        <v>85940.500056738907</v>
      </c>
      <c r="BD42" s="480">
        <f>BC47</f>
        <v>280073.27097673889</v>
      </c>
      <c r="BE42" s="480">
        <f t="shared" ref="BE42" si="39">BD47</f>
        <v>-6138357.3490232611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>SUMPRODUCT(AY19:AY24,AY31:AY36)</f>
        <v>237611.55235999997</v>
      </c>
      <c r="AZ43" s="558">
        <f t="shared" si="43"/>
        <v>187929.91619999998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121.19414822086686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BB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si="47"/>
        <v>-298.25454799753561</v>
      </c>
      <c r="AZ44" s="487">
        <f t="shared" si="47"/>
        <v>-121.19414822086686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187808.7220517791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187929.91619999998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-476711.23377704265</v>
      </c>
      <c r="AY47" s="539">
        <f t="shared" si="51"/>
        <v>-239397.9359650402</v>
      </c>
      <c r="AZ47" s="539">
        <f>SUM(AZ42:AZ46)</f>
        <v>-51589.21391326109</v>
      </c>
      <c r="BA47" s="539">
        <f t="shared" si="51"/>
        <v>15963.004446738909</v>
      </c>
      <c r="BB47" s="539">
        <f t="shared" si="51"/>
        <v>85940.500056738907</v>
      </c>
      <c r="BC47" s="539">
        <f t="shared" si="51"/>
        <v>280073.27097673889</v>
      </c>
      <c r="BD47" s="539">
        <f t="shared" si="51"/>
        <v>-6138357.3490232611</v>
      </c>
      <c r="BE47" s="539">
        <f>SUM(BE42:BE46)</f>
        <v>-4707534.3490232611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>AX47-AX48</f>
        <v>6.2229573377408087E-3</v>
      </c>
      <c r="AY49" s="480">
        <f t="shared" si="54"/>
        <v>4.0349597984459251E-3</v>
      </c>
      <c r="AZ49" s="480">
        <f>AZ47-AZ48</f>
        <v>6.0867389111081138E-3</v>
      </c>
      <c r="BA49" s="480">
        <f t="shared" si="54"/>
        <v>-151505.4555532611</v>
      </c>
      <c r="BB49" s="480">
        <f t="shared" si="54"/>
        <v>-308634.39994326112</v>
      </c>
      <c r="BC49" s="480">
        <f>BC47-BC48</f>
        <v>-114501.62902326114</v>
      </c>
      <c r="BD49" s="480">
        <f t="shared" ref="BD49" si="55">BD47-BD48</f>
        <v>-6532932.2490232615</v>
      </c>
      <c r="BE49" s="480">
        <f>BE47-BE48</f>
        <v>-4707534.3490232611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621">
        <f>Jun!$K36</f>
        <v>1233197</v>
      </c>
      <c r="AZ52" s="621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621">
        <f>Jun!$K37</f>
        <v>1319570</v>
      </c>
      <c r="AZ53" s="621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621">
        <f>Jun!$K38</f>
        <v>55493</v>
      </c>
      <c r="AZ54" s="621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621">
        <f>Jun!$K39</f>
        <v>0</v>
      </c>
      <c r="AZ55" s="621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621"/>
      <c r="AZ56" s="621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621"/>
      <c r="AZ57" s="621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621">
        <f>Jun!$K42</f>
        <v>0</v>
      </c>
      <c r="AZ58" s="621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8">
        <v>0</v>
      </c>
      <c r="AZ64" s="618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8">
        <v>0</v>
      </c>
      <c r="AZ65" s="618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8">
        <v>0</v>
      </c>
      <c r="AZ66" s="618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8">
        <v>0</v>
      </c>
      <c r="AZ67" s="618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8"/>
      <c r="AZ68" s="618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8"/>
      <c r="AZ69" s="618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8">
        <v>0</v>
      </c>
      <c r="AZ70" s="618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617">
        <v>0.01</v>
      </c>
      <c r="AZ74" s="617">
        <v>0.01</v>
      </c>
      <c r="BA74" s="586"/>
      <c r="BB74" s="486"/>
      <c r="BC74" s="486"/>
      <c r="BD74" s="486"/>
      <c r="BE74" s="486"/>
      <c r="BF74" s="577"/>
      <c r="BG74" s="511">
        <f>BG4</f>
        <v>201707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558">
        <f t="shared" si="74"/>
        <v>-12162.103611547136</v>
      </c>
      <c r="AY75" s="480">
        <f t="shared" si="74"/>
        <v>-12172.238697890092</v>
      </c>
      <c r="AZ75" s="480">
        <f>AY79</f>
        <v>-12182.382230138333</v>
      </c>
      <c r="BA75" s="480">
        <f t="shared" ref="BA75:BB75" si="75">AZ79</f>
        <v>-12192.534215330115</v>
      </c>
      <c r="BB75" s="480">
        <f t="shared" si="75"/>
        <v>-12192.534215330115</v>
      </c>
      <c r="BC75" s="480">
        <f>BB79</f>
        <v>-12192.534215330115</v>
      </c>
      <c r="BD75" s="480">
        <f t="shared" ref="BD75:BE75" si="76">BC79</f>
        <v>-12192.534215330115</v>
      </c>
      <c r="BE75" s="480">
        <f t="shared" si="76"/>
        <v>-12192.534215330115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10.151985191781945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C77" si="81">((AY75*(AY74/12))+((AY76/2)*(AY74/12)))</f>
        <v>-10.143532248241744</v>
      </c>
      <c r="AZ77" s="487">
        <f t="shared" si="81"/>
        <v>-10.151985191781945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10.151985191781945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-12172.238697890092</v>
      </c>
      <c r="AY79" s="539">
        <f t="shared" si="83"/>
        <v>-12182.382230138333</v>
      </c>
      <c r="AZ79" s="539">
        <f t="shared" si="83"/>
        <v>-12192.534215330115</v>
      </c>
      <c r="BA79" s="539">
        <f t="shared" si="83"/>
        <v>-12192.534215330115</v>
      </c>
      <c r="BB79" s="539">
        <f t="shared" si="83"/>
        <v>-12192.534215330115</v>
      </c>
      <c r="BC79" s="539">
        <f t="shared" si="83"/>
        <v>-12192.534215330115</v>
      </c>
      <c r="BD79" s="539">
        <f t="shared" si="83"/>
        <v>-12192.534215330115</v>
      </c>
      <c r="BE79" s="539">
        <f>SUM(BE75:BE78)</f>
        <v>-12192.534215330115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2.1302109907992417E-2</v>
      </c>
      <c r="AY81" s="480">
        <f t="shared" si="84"/>
        <v>1.7769861666238285E-2</v>
      </c>
      <c r="AZ81" s="480">
        <f t="shared" si="84"/>
        <v>1.5784669883942115E-2</v>
      </c>
      <c r="BA81" s="480">
        <f t="shared" si="84"/>
        <v>10.175784669883797</v>
      </c>
      <c r="BB81" s="480">
        <f t="shared" si="84"/>
        <v>20.345784669883869</v>
      </c>
      <c r="BC81" s="480">
        <f t="shared" si="84"/>
        <v>20.345784669883869</v>
      </c>
      <c r="BD81" s="480">
        <f t="shared" si="84"/>
        <v>20.345784669883869</v>
      </c>
      <c r="BE81" s="480">
        <f t="shared" si="84"/>
        <v>-12192.534215330115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523" priority="26" operator="notEqual">
      <formula>F27</formula>
    </cfRule>
  </conditionalFormatting>
  <conditionalFormatting sqref="G28">
    <cfRule type="cellIs" dxfId="522" priority="25" operator="notEqual">
      <formula>G27</formula>
    </cfRule>
  </conditionalFormatting>
  <conditionalFormatting sqref="H28">
    <cfRule type="cellIs" dxfId="521" priority="24" operator="notEqual">
      <formula>H27</formula>
    </cfRule>
  </conditionalFormatting>
  <conditionalFormatting sqref="I28">
    <cfRule type="cellIs" dxfId="520" priority="23" operator="notEqual">
      <formula>I27</formula>
    </cfRule>
  </conditionalFormatting>
  <conditionalFormatting sqref="D28">
    <cfRule type="cellIs" dxfId="519" priority="22" operator="notEqual">
      <formula>D27</formula>
    </cfRule>
  </conditionalFormatting>
  <conditionalFormatting sqref="G61">
    <cfRule type="cellIs" dxfId="518" priority="21" operator="notEqual">
      <formula>G60</formula>
    </cfRule>
  </conditionalFormatting>
  <conditionalFormatting sqref="H61">
    <cfRule type="cellIs" dxfId="517" priority="20" operator="notEqual">
      <formula>H60</formula>
    </cfRule>
  </conditionalFormatting>
  <conditionalFormatting sqref="I61">
    <cfRule type="cellIs" dxfId="516" priority="19" operator="notEqual">
      <formula>I60</formula>
    </cfRule>
  </conditionalFormatting>
  <conditionalFormatting sqref="D61">
    <cfRule type="cellIs" dxfId="515" priority="18" operator="notEqual">
      <formula>D60</formula>
    </cfRule>
  </conditionalFormatting>
  <conditionalFormatting sqref="J61">
    <cfRule type="cellIs" dxfId="514" priority="17" operator="notEqual">
      <formula>J60</formula>
    </cfRule>
  </conditionalFormatting>
  <conditionalFormatting sqref="BL81 BL48 BL11">
    <cfRule type="cellIs" dxfId="513" priority="16" operator="notEqual">
      <formula>0</formula>
    </cfRule>
  </conditionalFormatting>
  <conditionalFormatting sqref="J28">
    <cfRule type="cellIs" dxfId="512" priority="15" operator="notEqual">
      <formula>J27</formula>
    </cfRule>
  </conditionalFormatting>
  <conditionalFormatting sqref="K28">
    <cfRule type="cellIs" dxfId="511" priority="14" operator="notEqual">
      <formula>K27</formula>
    </cfRule>
  </conditionalFormatting>
  <conditionalFormatting sqref="K61">
    <cfRule type="cellIs" dxfId="510" priority="13" operator="notEqual">
      <formula>K60</formula>
    </cfRule>
  </conditionalFormatting>
  <conditionalFormatting sqref="L28">
    <cfRule type="cellIs" dxfId="509" priority="12" operator="notEqual">
      <formula>L27</formula>
    </cfRule>
  </conditionalFormatting>
  <conditionalFormatting sqref="L61">
    <cfRule type="cellIs" dxfId="508" priority="11" operator="notEqual">
      <formula>L60</formula>
    </cfRule>
  </conditionalFormatting>
  <conditionalFormatting sqref="M28:N28">
    <cfRule type="cellIs" dxfId="507" priority="10" operator="notEqual">
      <formula>M27</formula>
    </cfRule>
  </conditionalFormatting>
  <conditionalFormatting sqref="O28">
    <cfRule type="cellIs" dxfId="506" priority="9" operator="notEqual">
      <formula>O27</formula>
    </cfRule>
  </conditionalFormatting>
  <conditionalFormatting sqref="V61">
    <cfRule type="cellIs" dxfId="505" priority="8" operator="notEqual">
      <formula>V60</formula>
    </cfRule>
  </conditionalFormatting>
  <conditionalFormatting sqref="V28:W28">
    <cfRule type="cellIs" dxfId="504" priority="7" operator="notEqual">
      <formula>V27</formula>
    </cfRule>
  </conditionalFormatting>
  <conditionalFormatting sqref="W28">
    <cfRule type="cellIs" dxfId="503" priority="6" operator="notEqual">
      <formula>W27</formula>
    </cfRule>
  </conditionalFormatting>
  <conditionalFormatting sqref="W61">
    <cfRule type="cellIs" dxfId="502" priority="5" operator="notEqual">
      <formula>W60</formula>
    </cfRule>
  </conditionalFormatting>
  <conditionalFormatting sqref="X28">
    <cfRule type="cellIs" dxfId="501" priority="4" operator="notEqual">
      <formula>X27</formula>
    </cfRule>
  </conditionalFormatting>
  <conditionalFormatting sqref="X61">
    <cfRule type="cellIs" dxfId="500" priority="3" operator="notEqual">
      <formula>X60</formula>
    </cfRule>
  </conditionalFormatting>
  <conditionalFormatting sqref="Y28:Z28">
    <cfRule type="cellIs" dxfId="499" priority="2" operator="notEqual">
      <formula>Y27</formula>
    </cfRule>
  </conditionalFormatting>
  <conditionalFormatting sqref="AA28">
    <cfRule type="cellIs" dxfId="498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V54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50" width="17.42578125" style="480" customWidth="1"/>
    <col min="51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  <c r="BI1" s="481" t="s">
        <v>333</v>
      </c>
      <c r="BJ1" s="481"/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3.7100000000000001E-2</v>
      </c>
      <c r="AZ4" s="617">
        <v>3.7100000000000001E-2</v>
      </c>
      <c r="BA4" s="617">
        <v>3.7100000000000001E-2</v>
      </c>
      <c r="BB4" s="617">
        <v>3.7100000000000001E-2</v>
      </c>
      <c r="BC4" s="617">
        <v>3.7100000000000001E-2</v>
      </c>
      <c r="BD4" s="617">
        <v>3.7100000000000001E-2</v>
      </c>
      <c r="BE4" s="577"/>
      <c r="BF4" s="542">
        <v>201706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558">
        <f t="shared" si="5"/>
        <v>-15173451.409781789</v>
      </c>
      <c r="AX5" s="480">
        <f t="shared" si="5"/>
        <v>-15098116.96234579</v>
      </c>
      <c r="AY5" s="480">
        <f>AX13</f>
        <v>-14771177.38731979</v>
      </c>
      <c r="AZ5" s="480">
        <f t="shared" ref="AZ5" si="6">AY13</f>
        <v>-15906582.032550791</v>
      </c>
      <c r="BA5" s="480">
        <f>AZ13</f>
        <v>-16970648.277435791</v>
      </c>
      <c r="BB5" s="480">
        <f t="shared" ref="BB5" si="7">BA13</f>
        <v>-18952036.158894792</v>
      </c>
      <c r="BC5" s="480">
        <f>BB13</f>
        <v>-21935990.323472787</v>
      </c>
      <c r="BD5" s="480">
        <f t="shared" ref="BD5" si="8">BC13</f>
        <v>-7902756.2529997826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46101.69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326939.57502599951</v>
      </c>
      <c r="BK7" s="498">
        <f>IF((SUMIF(AG3:BD3,BF4,AG6:BD6)+SUMIF(AG3:BD3,BF4,AG7:BD7)+SUMIF(AG3:BD3,BF4,AG8:BD8))&lt;0,-(SUMIF(AG3:BD3,BF4,AG6:BD6)+SUMIF(AG3:BD3,BF4,AG7:BD7)++SUMIF(AG3:BD3,BF4,AG8:BD8)),0)</f>
        <v>0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11">ROUND(((AR5)*(AR4/12))+((SUM(AR6:AR7)/2)*(AR4/12)),2)</f>
        <v>-14406.68</v>
      </c>
      <c r="AS8" s="555">
        <f t="shared" si="11"/>
        <v>-24852.09</v>
      </c>
      <c r="AT8" s="555">
        <f t="shared" si="11"/>
        <v>-32890.959999999999</v>
      </c>
      <c r="AU8" s="555">
        <f t="shared" si="11"/>
        <v>-38340.61</v>
      </c>
      <c r="AV8" s="555">
        <f t="shared" si="11"/>
        <v>-45012.82</v>
      </c>
      <c r="AW8" s="555">
        <f t="shared" si="11"/>
        <v>-46722.57</v>
      </c>
      <c r="AX8" s="555">
        <f>ROUND(((AX5)*(AX4/12))+((SUM(AX6:AX7)/2)*(AX4/12)),2)</f>
        <v>-46101.69</v>
      </c>
      <c r="AY8" s="555">
        <f t="shared" ref="AY8:BA8" si="12">ROUND(((AY5)*(AY4/12))+((SUM(AY6:AY7)/2)*(AY4/12)),2)</f>
        <v>-47349.51</v>
      </c>
      <c r="AZ8" s="555">
        <f t="shared" si="12"/>
        <v>-50744.28</v>
      </c>
      <c r="BA8" s="555">
        <f t="shared" si="12"/>
        <v>-55444.77</v>
      </c>
      <c r="BB8" s="555">
        <f>ROUND(((BB5)*(BB4/12))+((SUM(BB6:BB7)/2)*(BB4/12)),2)</f>
        <v>-63108.52</v>
      </c>
      <c r="BC8" s="555">
        <f>ROUND(((BC5+BC9+BC10+BC11)*(BC4/12))+((SUM(BC6:BC7)/2)*(BC4/12)),2)</f>
        <v>-23256</v>
      </c>
      <c r="BD8" s="487">
        <f>ROUND(((BD5)*(BD4/12))+((SUM(BD6:BD7)/2)*(BD4/12)),2)</f>
        <v>-30196.880000000001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0</v>
      </c>
      <c r="BK8" s="498">
        <f>IF((SUMIF(AG3:BD3,BF4,AG6:BD6)+SUMIF(AG3:BD3,BF4,AG7:BD7))&gt;0,(SUMIF(AG3:BD3,BF4,AG6:BD6)+SUMIF(AG3:BD3,BF4,AG7:BD7)),0)</f>
        <v>373041.26502599951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3">SUM(F5:F12)</f>
        <v>2255013.9900000002</v>
      </c>
      <c r="G13" s="539">
        <f>SUM(G5:G12)</f>
        <v>-33498.738666789999</v>
      </c>
      <c r="H13" s="539">
        <f t="shared" si="13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4">SUM(V5:V12)</f>
        <v>-1694440.0214187815</v>
      </c>
      <c r="W13" s="539">
        <f t="shared" si="14"/>
        <v>-683405.33395377884</v>
      </c>
      <c r="X13" s="539">
        <f t="shared" si="14"/>
        <v>-2769396.4708657796</v>
      </c>
      <c r="Y13" s="539">
        <f>SUM(Y5:Y12)</f>
        <v>-2940906.6891037785</v>
      </c>
      <c r="Z13" s="539">
        <f t="shared" ref="Z13:AE13" si="15">SUM(Z5:Z12)</f>
        <v>-3112721.2246137792</v>
      </c>
      <c r="AA13" s="539">
        <f t="shared" si="15"/>
        <v>-3464489.8670317773</v>
      </c>
      <c r="AB13" s="539">
        <f t="shared" si="15"/>
        <v>-3555298.2266717753</v>
      </c>
      <c r="AC13" s="539">
        <f t="shared" si="15"/>
        <v>-4755858.0107337767</v>
      </c>
      <c r="AD13" s="539">
        <f t="shared" si="15"/>
        <v>-5900360.3440987766</v>
      </c>
      <c r="AE13" s="539">
        <f t="shared" si="15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6">SUM(AI5:AI12)</f>
        <v>-10398819.535470769</v>
      </c>
      <c r="AJ13" s="539">
        <f t="shared" si="16"/>
        <v>-12153304.785960769</v>
      </c>
      <c r="AK13" s="539">
        <f t="shared" si="16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6"/>
        <v>-15660034.00335677</v>
      </c>
      <c r="AO13" s="539">
        <f>SUM(AO5:AO12)</f>
        <v>-16306032.832939774</v>
      </c>
      <c r="AP13" s="539">
        <f t="shared" si="16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7">SUM(AV5:AV12)</f>
        <v>-15173451.409781789</v>
      </c>
      <c r="AW13" s="539">
        <f t="shared" si="17"/>
        <v>-15098116.96234579</v>
      </c>
      <c r="AX13" s="539">
        <f>SUM(AX5:AX12)</f>
        <v>-14771177.38731979</v>
      </c>
      <c r="AY13" s="539">
        <f t="shared" ref="AY13:AZ13" si="18">SUM(AY5:AY12)</f>
        <v>-15906582.032550791</v>
      </c>
      <c r="AZ13" s="539">
        <f t="shared" si="18"/>
        <v>-16970648.277435791</v>
      </c>
      <c r="BA13" s="539">
        <f>SUM(BA5:BA12)</f>
        <v>-18952036.158894792</v>
      </c>
      <c r="BB13" s="539">
        <f t="shared" ref="BB13" si="19">SUM(BB5:BB12)</f>
        <v>-21935990.323472787</v>
      </c>
      <c r="BC13" s="602">
        <f>SUM(BC5:BC12)</f>
        <v>-7902756.2529997826</v>
      </c>
      <c r="BD13" s="539">
        <f>SUM(BD5:BD12)</f>
        <v>-11661810.919853782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558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20">E13-E14</f>
        <v>1.0000000242143869E-2</v>
      </c>
      <c r="F15" s="480">
        <f t="shared" si="20"/>
        <v>1.0000000242143869E-2</v>
      </c>
      <c r="G15" s="480">
        <f t="shared" si="20"/>
        <v>1.1333210000884719E-2</v>
      </c>
      <c r="H15" s="480">
        <f t="shared" si="20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1">V13-V14</f>
        <v>-1.418781466782093E-3</v>
      </c>
      <c r="W15" s="480">
        <f t="shared" si="21"/>
        <v>-3.9537788834422827E-3</v>
      </c>
      <c r="X15" s="480">
        <f t="shared" si="21"/>
        <v>-8.6577935144305229E-4</v>
      </c>
      <c r="Y15" s="480">
        <f t="shared" si="21"/>
        <v>8.9622149243950844E-4</v>
      </c>
      <c r="Z15" s="480">
        <f t="shared" si="21"/>
        <v>5.3862207569181919E-3</v>
      </c>
      <c r="AA15" s="480">
        <f t="shared" si="21"/>
        <v>2.9682228341698647E-3</v>
      </c>
      <c r="AB15" s="480">
        <f t="shared" si="21"/>
        <v>3.3282246440649033E-3</v>
      </c>
      <c r="AC15" s="480">
        <f t="shared" si="21"/>
        <v>-7.3377694934606552E-4</v>
      </c>
      <c r="AD15" s="480">
        <f t="shared" si="21"/>
        <v>-4.0987767279148102E-3</v>
      </c>
      <c r="AE15" s="480">
        <f t="shared" si="21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2">AH13-AH14</f>
        <v>5.9522874653339386E-4</v>
      </c>
      <c r="AI15" s="480">
        <f t="shared" si="22"/>
        <v>4.5292302966117859E-3</v>
      </c>
      <c r="AJ15" s="480">
        <f t="shared" si="22"/>
        <v>4.0392298251390457E-3</v>
      </c>
      <c r="AK15" s="480">
        <f t="shared" si="22"/>
        <v>7.895229384303093E-3</v>
      </c>
      <c r="AL15" s="480">
        <f t="shared" si="22"/>
        <v>5.0072316080331802E-3</v>
      </c>
      <c r="AM15" s="480">
        <f>AM13-AM14</f>
        <v>2.2832304239273071E-3</v>
      </c>
      <c r="AN15" s="480">
        <f t="shared" si="22"/>
        <v>6.6432300955057144E-3</v>
      </c>
      <c r="AO15" s="480">
        <f t="shared" si="22"/>
        <v>7.0602260529994965E-3</v>
      </c>
      <c r="AP15" s="480">
        <f t="shared" si="22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3">AT13-AT14</f>
        <v>1.8762214109301567E-2</v>
      </c>
      <c r="AU15" s="480">
        <f t="shared" si="23"/>
        <v>1.8333211541175842E-2</v>
      </c>
      <c r="AV15" s="480">
        <f t="shared" si="23"/>
        <v>2.021821029484272E-2</v>
      </c>
      <c r="AW15" s="480">
        <f t="shared" si="23"/>
        <v>1.7654210329055786E-2</v>
      </c>
      <c r="AX15" s="480">
        <f t="shared" si="23"/>
        <v>1.2680210173130035E-2</v>
      </c>
      <c r="AY15" s="480">
        <f t="shared" si="23"/>
        <v>3190.6874492093921</v>
      </c>
      <c r="AZ15" s="480">
        <f t="shared" si="23"/>
        <v>6620.6325642094016</v>
      </c>
      <c r="BA15" s="480">
        <f t="shared" si="23"/>
        <v>10378.65110520646</v>
      </c>
      <c r="BB15" s="480">
        <f t="shared" si="23"/>
        <v>-2973575.513472788</v>
      </c>
      <c r="BC15" s="480">
        <f>BC13-BC14</f>
        <v>11059658.557000216</v>
      </c>
      <c r="BD15" s="480">
        <f>BD13-BD14</f>
        <v>-11661810.919853782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4">U18+1</f>
        <v>201502</v>
      </c>
      <c r="W18" s="482">
        <f t="shared" si="24"/>
        <v>201503</v>
      </c>
      <c r="X18" s="482">
        <f t="shared" si="24"/>
        <v>201504</v>
      </c>
      <c r="Y18" s="482">
        <f t="shared" si="24"/>
        <v>201505</v>
      </c>
      <c r="Z18" s="482">
        <f t="shared" si="24"/>
        <v>201506</v>
      </c>
      <c r="AA18" s="482">
        <f t="shared" si="24"/>
        <v>201507</v>
      </c>
      <c r="AB18" s="482">
        <f t="shared" si="24"/>
        <v>201508</v>
      </c>
      <c r="AC18" s="482">
        <f t="shared" si="24"/>
        <v>201509</v>
      </c>
      <c r="AD18" s="482">
        <f t="shared" si="24"/>
        <v>201510</v>
      </c>
      <c r="AE18" s="482">
        <f>AD18+1</f>
        <v>201511</v>
      </c>
      <c r="AF18" s="482">
        <f t="shared" ref="AF18" si="25">AE18+1</f>
        <v>201512</v>
      </c>
      <c r="AG18" s="482">
        <v>201601</v>
      </c>
      <c r="AH18" s="482">
        <f>AG18+1</f>
        <v>201602</v>
      </c>
      <c r="AI18" s="482">
        <f t="shared" ref="AI18:AR18" si="26">AH18+1</f>
        <v>201603</v>
      </c>
      <c r="AJ18" s="482">
        <f t="shared" si="26"/>
        <v>201604</v>
      </c>
      <c r="AK18" s="482">
        <f t="shared" si="26"/>
        <v>201605</v>
      </c>
      <c r="AL18" s="482">
        <f t="shared" si="26"/>
        <v>201606</v>
      </c>
      <c r="AM18" s="482">
        <f t="shared" si="26"/>
        <v>201607</v>
      </c>
      <c r="AN18" s="482">
        <f t="shared" si="26"/>
        <v>201608</v>
      </c>
      <c r="AO18" s="482">
        <f t="shared" si="26"/>
        <v>201609</v>
      </c>
      <c r="AP18" s="482">
        <f t="shared" si="26"/>
        <v>201610</v>
      </c>
      <c r="AQ18" s="482">
        <f t="shared" si="26"/>
        <v>201611</v>
      </c>
      <c r="AR18" s="482">
        <f t="shared" si="26"/>
        <v>201612</v>
      </c>
      <c r="AS18" s="482">
        <f>AS3</f>
        <v>201701</v>
      </c>
      <c r="AT18" s="482">
        <f>AS18+1</f>
        <v>201702</v>
      </c>
      <c r="AU18" s="482">
        <f t="shared" ref="AU18:BD18" si="27">AT18+1</f>
        <v>201703</v>
      </c>
      <c r="AV18" s="482">
        <f t="shared" si="27"/>
        <v>201704</v>
      </c>
      <c r="AW18" s="482">
        <f t="shared" si="27"/>
        <v>201705</v>
      </c>
      <c r="AX18" s="482">
        <f t="shared" si="27"/>
        <v>201706</v>
      </c>
      <c r="AY18" s="482">
        <f t="shared" si="27"/>
        <v>201707</v>
      </c>
      <c r="AZ18" s="482">
        <f t="shared" si="27"/>
        <v>201708</v>
      </c>
      <c r="BA18" s="482">
        <f t="shared" si="27"/>
        <v>201709</v>
      </c>
      <c r="BB18" s="482">
        <f t="shared" si="27"/>
        <v>201710</v>
      </c>
      <c r="BC18" s="482">
        <f t="shared" si="27"/>
        <v>201711</v>
      </c>
      <c r="BD18" s="482">
        <f t="shared" si="27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620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8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620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8"/>
        <v>51323965</v>
      </c>
      <c r="D21" s="489">
        <f t="shared" ref="D21:D27" si="29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620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620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8"/>
        <v>3609942</v>
      </c>
      <c r="D23" s="489">
        <f t="shared" si="29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620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8"/>
        <v>0</v>
      </c>
      <c r="D24" s="489">
        <f t="shared" si="29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620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8"/>
        <v>0</v>
      </c>
      <c r="D25" s="489">
        <f t="shared" si="29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620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8"/>
        <v>0</v>
      </c>
      <c r="D26" s="489">
        <f t="shared" si="29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620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8"/>
        <v>35395192</v>
      </c>
      <c r="D27" s="489">
        <f t="shared" si="29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620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30">SUM(G19:G27)</f>
        <v>24054373</v>
      </c>
      <c r="H28" s="540">
        <f t="shared" si="30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1">SUM(V19:V27)</f>
        <v>21809394</v>
      </c>
      <c r="W28" s="540">
        <f t="shared" si="31"/>
        <v>17454090</v>
      </c>
      <c r="X28" s="540">
        <f t="shared" si="31"/>
        <v>14032685</v>
      </c>
      <c r="Y28" s="540">
        <f t="shared" si="31"/>
        <v>7651890</v>
      </c>
      <c r="Z28" s="540">
        <f t="shared" si="31"/>
        <v>5795038</v>
      </c>
      <c r="AA28" s="540">
        <f t="shared" si="31"/>
        <v>5628267</v>
      </c>
      <c r="AB28" s="540">
        <f t="shared" si="31"/>
        <v>5459507</v>
      </c>
      <c r="AC28" s="540">
        <f t="shared" si="31"/>
        <v>7409442</v>
      </c>
      <c r="AD28" s="540">
        <f t="shared" si="31"/>
        <v>10025335</v>
      </c>
      <c r="AE28" s="540">
        <f t="shared" si="31"/>
        <v>24443601</v>
      </c>
      <c r="AF28" s="540">
        <f t="shared" si="31"/>
        <v>29286544</v>
      </c>
      <c r="AG28" s="540">
        <f>SUM(AG19:AG27)</f>
        <v>40584714</v>
      </c>
      <c r="AH28" s="540">
        <f t="shared" si="31"/>
        <v>30357660</v>
      </c>
      <c r="AI28" s="540">
        <f t="shared" si="31"/>
        <v>23658883</v>
      </c>
      <c r="AJ28" s="540">
        <f t="shared" si="31"/>
        <v>16834972</v>
      </c>
      <c r="AK28" s="540">
        <f t="shared" si="31"/>
        <v>10179280</v>
      </c>
      <c r="AL28" s="540">
        <f>SUM(AL19:AL27)</f>
        <v>7244961</v>
      </c>
      <c r="AM28" s="540">
        <f>SUM(AM19:AM27)</f>
        <v>5938596</v>
      </c>
      <c r="AN28" s="540">
        <f t="shared" si="31"/>
        <v>6177700</v>
      </c>
      <c r="AO28" s="540">
        <f>SUM(AO19:AO27)</f>
        <v>7874888</v>
      </c>
      <c r="AP28" s="540">
        <f t="shared" si="31"/>
        <v>15813981</v>
      </c>
      <c r="AQ28" s="540">
        <f t="shared" si="31"/>
        <v>18553428</v>
      </c>
      <c r="AR28" s="540">
        <f t="shared" si="31"/>
        <v>36861159</v>
      </c>
      <c r="AS28" s="540">
        <f>SUM(AS19:AS27)</f>
        <v>40584714</v>
      </c>
      <c r="AT28" s="540">
        <f t="shared" ref="AT28:AW28" si="32">SUM(AT19:AT27)</f>
        <v>30357660</v>
      </c>
      <c r="AU28" s="540">
        <f t="shared" si="32"/>
        <v>23658883</v>
      </c>
      <c r="AV28" s="540">
        <f t="shared" si="32"/>
        <v>16834972</v>
      </c>
      <c r="AW28" s="540">
        <f t="shared" si="32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3">SUM(AZ19:AZ27)</f>
        <v>6177700</v>
      </c>
      <c r="BA28" s="540">
        <f>SUM(BA19:BA27)</f>
        <v>4727652</v>
      </c>
      <c r="BB28" s="540">
        <f t="shared" ref="BB28:BD28" si="34">SUM(BB19:BB27)</f>
        <v>6978145</v>
      </c>
      <c r="BC28" s="540">
        <f t="shared" si="34"/>
        <v>7201032</v>
      </c>
      <c r="BD28" s="540">
        <f t="shared" si="34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7244961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5">U31+1</f>
        <v>201502</v>
      </c>
      <c r="W31" s="482">
        <f t="shared" si="35"/>
        <v>201503</v>
      </c>
      <c r="X31" s="482">
        <f t="shared" si="35"/>
        <v>201504</v>
      </c>
      <c r="Y31" s="482">
        <f t="shared" si="35"/>
        <v>201505</v>
      </c>
      <c r="Z31" s="482">
        <f t="shared" si="35"/>
        <v>201506</v>
      </c>
      <c r="AA31" s="482">
        <f t="shared" si="35"/>
        <v>201507</v>
      </c>
      <c r="AB31" s="482">
        <f t="shared" si="35"/>
        <v>201508</v>
      </c>
      <c r="AC31" s="482">
        <f t="shared" si="35"/>
        <v>201509</v>
      </c>
      <c r="AD31" s="482">
        <f t="shared" si="35"/>
        <v>201510</v>
      </c>
      <c r="AE31" s="482">
        <f>AD31+1</f>
        <v>201511</v>
      </c>
      <c r="AF31" s="482">
        <f t="shared" ref="AF31" si="36">AE31+1</f>
        <v>201512</v>
      </c>
      <c r="AG31" s="482">
        <v>201601</v>
      </c>
      <c r="AH31" s="482">
        <f>AG31+1</f>
        <v>201602</v>
      </c>
      <c r="AI31" s="482">
        <f t="shared" ref="AI31:AR31" si="37">AH31+1</f>
        <v>201603</v>
      </c>
      <c r="AJ31" s="482">
        <f t="shared" si="37"/>
        <v>201604</v>
      </c>
      <c r="AK31" s="482">
        <f t="shared" si="37"/>
        <v>201605</v>
      </c>
      <c r="AL31" s="482">
        <f t="shared" si="37"/>
        <v>201606</v>
      </c>
      <c r="AM31" s="482">
        <f t="shared" si="37"/>
        <v>201607</v>
      </c>
      <c r="AN31" s="482">
        <f t="shared" si="37"/>
        <v>201608</v>
      </c>
      <c r="AO31" s="482">
        <f t="shared" si="37"/>
        <v>201609</v>
      </c>
      <c r="AP31" s="482">
        <f t="shared" si="37"/>
        <v>201610</v>
      </c>
      <c r="AQ31" s="482">
        <f t="shared" si="37"/>
        <v>201611</v>
      </c>
      <c r="AR31" s="482">
        <f t="shared" si="37"/>
        <v>201612</v>
      </c>
      <c r="AS31" s="482">
        <f>AS3</f>
        <v>201701</v>
      </c>
      <c r="AT31" s="482">
        <f>AS31+1</f>
        <v>201702</v>
      </c>
      <c r="AU31" s="482">
        <f t="shared" ref="AU31:BD31" si="38">AT31+1</f>
        <v>201703</v>
      </c>
      <c r="AV31" s="482">
        <f t="shared" si="38"/>
        <v>201704</v>
      </c>
      <c r="AW31" s="482">
        <f t="shared" si="38"/>
        <v>201705</v>
      </c>
      <c r="AX31" s="482">
        <f t="shared" si="38"/>
        <v>201706</v>
      </c>
      <c r="AY31" s="482">
        <f t="shared" si="38"/>
        <v>201707</v>
      </c>
      <c r="AZ31" s="482">
        <f t="shared" si="38"/>
        <v>201708</v>
      </c>
      <c r="BA31" s="482">
        <f t="shared" si="38"/>
        <v>201709</v>
      </c>
      <c r="BB31" s="482">
        <f t="shared" si="38"/>
        <v>201710</v>
      </c>
      <c r="BC31" s="482">
        <f t="shared" si="38"/>
        <v>201711</v>
      </c>
      <c r="BD31" s="482">
        <f t="shared" si="38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6">
        <v>9.1740000000000002E-2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6">
        <v>9.1740000000000002E-2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6">
        <v>7.2489999999999999E-2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6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6">
        <v>4.4479999999999999E-2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6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6">
        <v>8.8340000000000002E-2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6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201706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9">U42+1</f>
        <v>201502</v>
      </c>
      <c r="W42" s="482">
        <f t="shared" si="39"/>
        <v>201503</v>
      </c>
      <c r="X42" s="482">
        <f t="shared" si="39"/>
        <v>201504</v>
      </c>
      <c r="Y42" s="482">
        <f t="shared" si="39"/>
        <v>201505</v>
      </c>
      <c r="Z42" s="482">
        <f t="shared" si="39"/>
        <v>201506</v>
      </c>
      <c r="AA42" s="482">
        <f t="shared" si="39"/>
        <v>201507</v>
      </c>
      <c r="AB42" s="482">
        <f t="shared" si="39"/>
        <v>201508</v>
      </c>
      <c r="AC42" s="482">
        <f t="shared" si="39"/>
        <v>201509</v>
      </c>
      <c r="AD42" s="482">
        <f t="shared" si="39"/>
        <v>201510</v>
      </c>
      <c r="AE42" s="482">
        <f>AD42+1</f>
        <v>201511</v>
      </c>
      <c r="AF42" s="482">
        <f t="shared" ref="AF42" si="40">AE42+1</f>
        <v>201512</v>
      </c>
      <c r="AG42" s="482">
        <v>201601</v>
      </c>
      <c r="AH42" s="482">
        <f>AG42+1</f>
        <v>201602</v>
      </c>
      <c r="AI42" s="482">
        <f t="shared" ref="AI42:AR42" si="41">AH42+1</f>
        <v>201603</v>
      </c>
      <c r="AJ42" s="482">
        <f t="shared" si="41"/>
        <v>201604</v>
      </c>
      <c r="AK42" s="482">
        <f t="shared" si="41"/>
        <v>201605</v>
      </c>
      <c r="AL42" s="482">
        <f t="shared" si="41"/>
        <v>201606</v>
      </c>
      <c r="AM42" s="482">
        <f t="shared" si="41"/>
        <v>201607</v>
      </c>
      <c r="AN42" s="482">
        <f t="shared" si="41"/>
        <v>201608</v>
      </c>
      <c r="AO42" s="482">
        <f t="shared" si="41"/>
        <v>201609</v>
      </c>
      <c r="AP42" s="482">
        <f t="shared" si="41"/>
        <v>201610</v>
      </c>
      <c r="AQ42" s="482">
        <f t="shared" si="41"/>
        <v>201611</v>
      </c>
      <c r="AR42" s="482">
        <f t="shared" si="41"/>
        <v>201612</v>
      </c>
      <c r="AS42" s="482">
        <f>AS3</f>
        <v>201701</v>
      </c>
      <c r="AT42" s="482">
        <f>AS42+1</f>
        <v>201702</v>
      </c>
      <c r="AU42" s="482">
        <f t="shared" ref="AU42:BD42" si="42">AT42+1</f>
        <v>201703</v>
      </c>
      <c r="AV42" s="482">
        <f t="shared" si="42"/>
        <v>201704</v>
      </c>
      <c r="AW42" s="482">
        <f t="shared" si="42"/>
        <v>201705</v>
      </c>
      <c r="AX42" s="482">
        <f t="shared" si="42"/>
        <v>201706</v>
      </c>
      <c r="AY42" s="482">
        <f t="shared" si="42"/>
        <v>201707</v>
      </c>
      <c r="AZ42" s="482">
        <f t="shared" si="42"/>
        <v>201708</v>
      </c>
      <c r="BA42" s="482">
        <f t="shared" si="42"/>
        <v>201709</v>
      </c>
      <c r="BB42" s="482">
        <f t="shared" si="42"/>
        <v>201710</v>
      </c>
      <c r="BC42" s="482">
        <f t="shared" si="42"/>
        <v>201711</v>
      </c>
      <c r="BD42" s="482">
        <f t="shared" si="42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2587.8543397624576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617">
        <v>3.7100000000000001E-2</v>
      </c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379974.13293023751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3">AE49</f>
        <v>-2966848.8846008489</v>
      </c>
      <c r="AG44" s="480">
        <f t="shared" si="43"/>
        <v>-2400830.7877258095</v>
      </c>
      <c r="AH44" s="480">
        <f t="shared" si="43"/>
        <v>-1799942.4443073752</v>
      </c>
      <c r="AI44" s="480">
        <f t="shared" si="43"/>
        <v>-1367080.388300563</v>
      </c>
      <c r="AJ44" s="480">
        <f t="shared" si="43"/>
        <v>-991269.16134300514</v>
      </c>
      <c r="AK44" s="480">
        <f t="shared" si="43"/>
        <v>-820633.96798459429</v>
      </c>
      <c r="AL44" s="480">
        <f>AK49</f>
        <v>-706831.28344430251</v>
      </c>
      <c r="AM44" s="480">
        <f t="shared" ref="AM44:AT44" si="44">AL49</f>
        <v>-615740.82707996247</v>
      </c>
      <c r="AN44" s="480">
        <f t="shared" si="44"/>
        <v>-539081.43298013532</v>
      </c>
      <c r="AO44" s="480">
        <f t="shared" si="44"/>
        <v>-459570.5002163836</v>
      </c>
      <c r="AP44" s="480">
        <f t="shared" si="44"/>
        <v>-353667.8760235564</v>
      </c>
      <c r="AQ44" s="558">
        <f t="shared" si="44"/>
        <v>-123445.19123732927</v>
      </c>
      <c r="AR44" s="480">
        <f t="shared" si="44"/>
        <v>-12794629.54065969</v>
      </c>
      <c r="AS44" s="480">
        <f t="shared" si="44"/>
        <v>-9990002.7430699486</v>
      </c>
      <c r="AT44" s="480">
        <f t="shared" si="44"/>
        <v>-6863930.3518781429</v>
      </c>
      <c r="AU44" s="480">
        <f>AT49</f>
        <v>-4576506.6383892084</v>
      </c>
      <c r="AV44" s="480">
        <f t="shared" ref="AV44:AW44" si="45">AU49</f>
        <v>-2850780.7220049934</v>
      </c>
      <c r="AW44" s="558">
        <f t="shared" si="45"/>
        <v>-1667508.1164393995</v>
      </c>
      <c r="AX44" s="480">
        <f>AW49</f>
        <v>-1028322.8285985981</v>
      </c>
      <c r="AY44" s="480">
        <f t="shared" ref="AY44:AZ44" si="46">AX49</f>
        <v>-648348.69566836057</v>
      </c>
      <c r="AZ44" s="480">
        <f t="shared" si="46"/>
        <v>-576658.49385836057</v>
      </c>
      <c r="BA44" s="480">
        <f>AZ49</f>
        <v>-504559.95386836055</v>
      </c>
      <c r="BB44" s="480">
        <f>BA49</f>
        <v>-476594.94812836056</v>
      </c>
      <c r="BC44" s="558">
        <f>BB49</f>
        <v>-427748.70050836058</v>
      </c>
      <c r="BD44" s="480">
        <f>BC49</f>
        <v>-13059469.390508361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382561.98726999998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W45" si="47">SUMPRODUCT(AS19:AS27,AS32:AS40)</f>
        <v>3150615.2519499999</v>
      </c>
      <c r="AT45" s="480">
        <f t="shared" si="47"/>
        <v>2304083.3887400003</v>
      </c>
      <c r="AU45" s="480">
        <f t="shared" si="47"/>
        <v>1736541.60424</v>
      </c>
      <c r="AV45" s="480">
        <f t="shared" si="47"/>
        <v>1190246.3468200001</v>
      </c>
      <c r="AW45" s="480">
        <f t="shared" si="47"/>
        <v>643346.16116000002</v>
      </c>
      <c r="AX45" s="480">
        <f>SUMPRODUCT(AX19:AX27,AX32:AX40)</f>
        <v>382561.98726999998</v>
      </c>
      <c r="AY45" s="480">
        <f t="shared" ref="AY45:AZ45" si="48">SUMPRODUCT(AY19:AY27,AY32:AY40)</f>
        <v>71690.201809999999</v>
      </c>
      <c r="AZ45" s="480">
        <f t="shared" si="48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9">BH43</f>
        <v>GD</v>
      </c>
      <c r="BI45" s="208" t="str">
        <f t="shared" si="49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50">SUM(AG46:AR46)</f>
        <v>-97522.093694136056</v>
      </c>
      <c r="D46" s="492">
        <f t="shared" ref="D46" si="51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52">((AQ44+AQ47)*(AQ43/12))+(((AQ45+AQ48)/2)*(AQ43/12))</f>
        <v>-39463.659422358884</v>
      </c>
      <c r="AR46" s="487">
        <f t="shared" si="52"/>
        <v>-33179.202410257429</v>
      </c>
      <c r="AS46" s="487">
        <f t="shared" si="52"/>
        <v>-24542.860758193601</v>
      </c>
      <c r="AT46" s="487">
        <f t="shared" si="52"/>
        <v>-16659.675251065419</v>
      </c>
      <c r="AU46" s="487">
        <f t="shared" si="52"/>
        <v>-10815.687855785192</v>
      </c>
      <c r="AV46" s="487">
        <f t="shared" si="52"/>
        <v>-6973.7412544061872</v>
      </c>
      <c r="AW46" s="487">
        <f>((AW44+AW47)*(AW43/12))+(((AW45+AW48)/2)*(AW43/12))</f>
        <v>-4160.873319198643</v>
      </c>
      <c r="AX46" s="487">
        <f>((AX44+AX47)*(AX43/12))+(((AX45+AX48)/2)*(AX43/12))</f>
        <v>-2587.8543397624576</v>
      </c>
      <c r="AY46" s="487">
        <f t="shared" ref="AY46" si="53">((AY44+AY47)*(AY43/12))+(((AY45+AY48)/2)*(AY43/12))</f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9"/>
        <v>GD</v>
      </c>
      <c r="BI46" s="556" t="str">
        <f t="shared" si="49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50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50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4">SUM(F44:F48)</f>
        <v>404885.58467682183</v>
      </c>
      <c r="G49" s="539">
        <f t="shared" si="54"/>
        <v>1486369.5928734979</v>
      </c>
      <c r="H49" s="539">
        <f t="shared" si="54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5">SUM(V44:V48)</f>
        <v>-978605.01769356499</v>
      </c>
      <c r="W49" s="539">
        <f t="shared" si="55"/>
        <v>-801445.32791263924</v>
      </c>
      <c r="X49" s="539">
        <f t="shared" si="55"/>
        <v>-669275.24177190254</v>
      </c>
      <c r="Y49" s="539">
        <f t="shared" si="55"/>
        <v>-610882.24266902648</v>
      </c>
      <c r="Z49" s="539">
        <f t="shared" si="55"/>
        <v>-574943.04011245095</v>
      </c>
      <c r="AA49" s="539">
        <f t="shared" si="55"/>
        <v>-537511.27700320142</v>
      </c>
      <c r="AB49" s="539">
        <f t="shared" si="55"/>
        <v>-503286.03358886426</v>
      </c>
      <c r="AC49" s="539">
        <f t="shared" si="55"/>
        <v>-446057.56644618412</v>
      </c>
      <c r="AD49" s="539">
        <f t="shared" si="55"/>
        <v>-360318.05653003836</v>
      </c>
      <c r="AE49" s="539">
        <f t="shared" si="55"/>
        <v>-2966848.8846008489</v>
      </c>
      <c r="AF49" s="539">
        <f t="shared" si="55"/>
        <v>-2400830.7877258095</v>
      </c>
      <c r="AG49" s="539">
        <f t="shared" si="55"/>
        <v>-1799942.4443073752</v>
      </c>
      <c r="AH49" s="539">
        <f t="shared" si="55"/>
        <v>-1367080.388300563</v>
      </c>
      <c r="AI49" s="539">
        <f t="shared" si="55"/>
        <v>-991269.16134300514</v>
      </c>
      <c r="AJ49" s="539">
        <f t="shared" si="55"/>
        <v>-820633.96798459429</v>
      </c>
      <c r="AK49" s="539">
        <f t="shared" si="55"/>
        <v>-706831.28344430251</v>
      </c>
      <c r="AL49" s="539">
        <f t="shared" si="55"/>
        <v>-615740.82707996247</v>
      </c>
      <c r="AM49" s="539">
        <f>SUM(AM44:AM48)</f>
        <v>-539081.43298013532</v>
      </c>
      <c r="AN49" s="539">
        <f t="shared" si="55"/>
        <v>-459570.5002163836</v>
      </c>
      <c r="AO49" s="539">
        <f t="shared" si="55"/>
        <v>-353667.8760235564</v>
      </c>
      <c r="AP49" s="539">
        <f t="shared" si="55"/>
        <v>-123445.19123732927</v>
      </c>
      <c r="AQ49" s="539">
        <f>SUM(AQ44:AQ48)</f>
        <v>-12794629.54065969</v>
      </c>
      <c r="AR49" s="539">
        <f t="shared" si="55"/>
        <v>-9990002.7430699486</v>
      </c>
      <c r="AS49" s="539">
        <f>SUM(AS44:AS48)</f>
        <v>-6863930.3518781429</v>
      </c>
      <c r="AT49" s="539">
        <f t="shared" ref="AT49:AX49" si="56">SUM(AT44:AT48)</f>
        <v>-4576506.6383892084</v>
      </c>
      <c r="AU49" s="539">
        <f>SUM(AU44:AU48)</f>
        <v>-2850780.7220049934</v>
      </c>
      <c r="AV49" s="539">
        <f t="shared" si="56"/>
        <v>-1667508.1164393995</v>
      </c>
      <c r="AW49" s="539">
        <f t="shared" si="56"/>
        <v>-1028322.8285985981</v>
      </c>
      <c r="AX49" s="539">
        <f t="shared" si="56"/>
        <v>-648348.69566836057</v>
      </c>
      <c r="AY49" s="539">
        <f>SUM(AY44:AY48)</f>
        <v>-576658.49385836057</v>
      </c>
      <c r="AZ49" s="539">
        <f t="shared" ref="AZ49:BB49" si="57">SUM(AZ44:AZ48)</f>
        <v>-504559.95386836055</v>
      </c>
      <c r="BA49" s="539">
        <f t="shared" si="57"/>
        <v>-476594.94812836056</v>
      </c>
      <c r="BB49" s="539">
        <f t="shared" si="57"/>
        <v>-427748.70050836058</v>
      </c>
      <c r="BC49" s="539">
        <f>SUM(BC44:BC48)</f>
        <v>-13059469.390508361</v>
      </c>
      <c r="BD49" s="539">
        <f t="shared" ref="BD49" si="58">SUM(BD44:BD48)</f>
        <v>-10221663.390508361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9">E49-E50</f>
        <v>-0.22028744451381499</v>
      </c>
      <c r="F51" s="480">
        <f t="shared" si="59"/>
        <v>-0.22532317816512659</v>
      </c>
      <c r="G51" s="480">
        <f t="shared" si="59"/>
        <v>-0.22712650219909847</v>
      </c>
      <c r="H51" s="480">
        <f t="shared" si="59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60">V49-V50</f>
        <v>-0.21769356494769454</v>
      </c>
      <c r="W51" s="480">
        <f t="shared" si="60"/>
        <v>-0.21791263925842941</v>
      </c>
      <c r="X51" s="480">
        <f t="shared" si="60"/>
        <v>-0.22177190252114087</v>
      </c>
      <c r="Y51" s="480">
        <f t="shared" si="60"/>
        <v>-0.22266902646515518</v>
      </c>
      <c r="Z51" s="480">
        <f t="shared" si="60"/>
        <v>-0.22011245100293308</v>
      </c>
      <c r="AA51" s="480">
        <f t="shared" si="60"/>
        <v>-0.21700320136733353</v>
      </c>
      <c r="AB51" s="480">
        <f t="shared" si="60"/>
        <v>-0.21358886425150558</v>
      </c>
      <c r="AC51" s="480">
        <f t="shared" si="60"/>
        <v>-0.21644618414575234</v>
      </c>
      <c r="AD51" s="480">
        <f t="shared" si="60"/>
        <v>-0.21653003833489493</v>
      </c>
      <c r="AE51" s="480">
        <f t="shared" si="60"/>
        <v>-0.21460084896534681</v>
      </c>
      <c r="AF51" s="480">
        <f t="shared" si="60"/>
        <v>-0.21772580966353416</v>
      </c>
      <c r="AG51" s="480">
        <f t="shared" si="60"/>
        <v>-0.22430737526156008</v>
      </c>
      <c r="AH51" s="480">
        <f t="shared" si="60"/>
        <v>-0.21830056305043399</v>
      </c>
      <c r="AI51" s="480">
        <f t="shared" si="60"/>
        <v>-0.22134300519246608</v>
      </c>
      <c r="AJ51" s="480">
        <f t="shared" si="60"/>
        <v>-0.2179845942882821</v>
      </c>
      <c r="AK51" s="480">
        <f>AK49-AK50</f>
        <v>-0.21344430255703628</v>
      </c>
      <c r="AL51" s="480">
        <f t="shared" si="60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60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1">AT49-AT50</f>
        <v>-0.20838920865207911</v>
      </c>
      <c r="AU51" s="480">
        <f>AU49-AU50</f>
        <v>-0.21200499357655644</v>
      </c>
      <c r="AV51" s="480">
        <f t="shared" si="61"/>
        <v>-0.21643939963541925</v>
      </c>
      <c r="AW51" s="480">
        <f>AW49-AW50</f>
        <v>-0.21859859814867377</v>
      </c>
      <c r="AX51" s="480">
        <f t="shared" ref="AX51" si="62">AX49-AX50</f>
        <v>-0.21566836058627814</v>
      </c>
      <c r="AY51" s="480">
        <f>AY49-AY50</f>
        <v>-233928.37385836057</v>
      </c>
      <c r="AZ51" s="480">
        <f>AZ49-AZ50</f>
        <v>-471410.93386836053</v>
      </c>
      <c r="BA51" s="480">
        <f t="shared" ref="BA51" si="63">BA49-BA50</f>
        <v>-905652.54812836053</v>
      </c>
      <c r="BB51" s="480">
        <f>BB49-BB50</f>
        <v>-856806.30050836061</v>
      </c>
      <c r="BC51" s="480">
        <f>BC49-BC50</f>
        <v>-13488526.990508361</v>
      </c>
      <c r="BD51" s="480">
        <f>BD49-BD50</f>
        <v>-10221663.390508361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4">U54+1</f>
        <v>201502</v>
      </c>
      <c r="W54" s="482">
        <f t="shared" si="64"/>
        <v>201503</v>
      </c>
      <c r="X54" s="482">
        <f t="shared" si="64"/>
        <v>201504</v>
      </c>
      <c r="Y54" s="482">
        <f t="shared" si="64"/>
        <v>201505</v>
      </c>
      <c r="Z54" s="482">
        <f t="shared" si="64"/>
        <v>201506</v>
      </c>
      <c r="AA54" s="482">
        <f t="shared" si="64"/>
        <v>201507</v>
      </c>
      <c r="AB54" s="482">
        <f t="shared" si="64"/>
        <v>201508</v>
      </c>
      <c r="AC54" s="482">
        <f t="shared" si="64"/>
        <v>201509</v>
      </c>
      <c r="AD54" s="482">
        <f t="shared" si="64"/>
        <v>201510</v>
      </c>
      <c r="AE54" s="482">
        <f>AD54+1</f>
        <v>201511</v>
      </c>
      <c r="AF54" s="482">
        <f t="shared" ref="AF54" si="65">AE54+1</f>
        <v>201512</v>
      </c>
      <c r="AG54" s="482">
        <v>201601</v>
      </c>
      <c r="AH54" s="482">
        <f>AG54+1</f>
        <v>201602</v>
      </c>
      <c r="AI54" s="482">
        <f t="shared" ref="AI54:AR54" si="66">AH54+1</f>
        <v>201603</v>
      </c>
      <c r="AJ54" s="482">
        <f t="shared" si="66"/>
        <v>201604</v>
      </c>
      <c r="AK54" s="482">
        <f t="shared" si="66"/>
        <v>201605</v>
      </c>
      <c r="AL54" s="482">
        <f t="shared" si="66"/>
        <v>201606</v>
      </c>
      <c r="AM54" s="482">
        <f t="shared" si="66"/>
        <v>201607</v>
      </c>
      <c r="AN54" s="482">
        <f t="shared" si="66"/>
        <v>201608</v>
      </c>
      <c r="AO54" s="482">
        <f t="shared" si="66"/>
        <v>201609</v>
      </c>
      <c r="AP54" s="482">
        <f t="shared" si="66"/>
        <v>201610</v>
      </c>
      <c r="AQ54" s="482">
        <f t="shared" si="66"/>
        <v>201611</v>
      </c>
      <c r="AR54" s="482">
        <f t="shared" si="66"/>
        <v>201612</v>
      </c>
      <c r="AS54" s="482">
        <f>AS3</f>
        <v>201701</v>
      </c>
      <c r="AT54" s="482">
        <f>AS54+1</f>
        <v>201702</v>
      </c>
      <c r="AU54" s="482">
        <f t="shared" ref="AU54:BD54" si="67">AT54+1</f>
        <v>201703</v>
      </c>
      <c r="AV54" s="482">
        <f t="shared" si="67"/>
        <v>201704</v>
      </c>
      <c r="AW54" s="482">
        <f t="shared" si="67"/>
        <v>201705</v>
      </c>
      <c r="AX54" s="482">
        <f t="shared" si="67"/>
        <v>201706</v>
      </c>
      <c r="AY54" s="482">
        <f t="shared" si="67"/>
        <v>201707</v>
      </c>
      <c r="AZ54" s="482">
        <f t="shared" si="67"/>
        <v>201708</v>
      </c>
      <c r="BA54" s="482">
        <f t="shared" si="67"/>
        <v>201709</v>
      </c>
      <c r="BB54" s="482">
        <f t="shared" si="67"/>
        <v>201710</v>
      </c>
      <c r="BC54" s="482">
        <f t="shared" si="67"/>
        <v>201711</v>
      </c>
      <c r="BD54" s="482">
        <f t="shared" si="67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620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8">SUM(AG56:AR56)</f>
        <v>197284</v>
      </c>
      <c r="D56" s="489">
        <f t="shared" ref="D56:D63" si="69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620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8"/>
        <v>51323965</v>
      </c>
      <c r="D57" s="489">
        <f t="shared" si="69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620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8"/>
        <v>0</v>
      </c>
      <c r="D58" s="489">
        <f t="shared" si="69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620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8"/>
        <v>3609942</v>
      </c>
      <c r="D59" s="489">
        <f t="shared" si="69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620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8"/>
        <v>506146</v>
      </c>
      <c r="D60" s="489">
        <f t="shared" si="69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620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8"/>
        <v>0</v>
      </c>
      <c r="D61" s="489">
        <f t="shared" si="69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620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8"/>
        <v>970005</v>
      </c>
      <c r="D62" s="489">
        <f t="shared" si="69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620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8"/>
        <v>35395192</v>
      </c>
      <c r="D63" s="489">
        <f t="shared" si="69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620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70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1">SUM(G55:G63)</f>
        <v>24248041</v>
      </c>
      <c r="H64" s="540">
        <f t="shared" si="71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2">SUM(V55:V63)</f>
        <v>22001617</v>
      </c>
      <c r="W64" s="540">
        <f t="shared" si="72"/>
        <v>17611817</v>
      </c>
      <c r="X64" s="540">
        <f t="shared" si="72"/>
        <v>14163392</v>
      </c>
      <c r="Y64" s="540">
        <f t="shared" si="72"/>
        <v>7782410</v>
      </c>
      <c r="Z64" s="540">
        <f t="shared" si="72"/>
        <v>5881684</v>
      </c>
      <c r="AA64" s="540">
        <f t="shared" si="72"/>
        <v>5669948</v>
      </c>
      <c r="AB64" s="540">
        <f t="shared" si="72"/>
        <v>5554978</v>
      </c>
      <c r="AC64" s="540">
        <f t="shared" si="72"/>
        <v>7484702</v>
      </c>
      <c r="AD64" s="540">
        <f t="shared" si="72"/>
        <v>10158046</v>
      </c>
      <c r="AE64" s="540">
        <f t="shared" si="72"/>
        <v>24566038</v>
      </c>
      <c r="AF64" s="540">
        <f t="shared" si="72"/>
        <v>29412416</v>
      </c>
      <c r="AG64" s="540">
        <f t="shared" si="72"/>
        <v>40809304</v>
      </c>
      <c r="AH64" s="540">
        <f t="shared" si="72"/>
        <v>30544975</v>
      </c>
      <c r="AI64" s="540">
        <f t="shared" si="72"/>
        <v>23815117</v>
      </c>
      <c r="AJ64" s="540">
        <f t="shared" si="72"/>
        <v>16958956</v>
      </c>
      <c r="AK64" s="540">
        <f t="shared" si="72"/>
        <v>10280221</v>
      </c>
      <c r="AL64" s="540">
        <f t="shared" si="72"/>
        <v>7316509</v>
      </c>
      <c r="AM64" s="540">
        <f>SUM(AM55:AM63)</f>
        <v>6050612</v>
      </c>
      <c r="AN64" s="540">
        <f t="shared" si="72"/>
        <v>6226148</v>
      </c>
      <c r="AO64" s="540">
        <f t="shared" si="72"/>
        <v>7933229</v>
      </c>
      <c r="AP64" s="540">
        <f>SUM(AP55:AP63)</f>
        <v>15888438</v>
      </c>
      <c r="AQ64" s="540">
        <f t="shared" si="72"/>
        <v>18689959</v>
      </c>
      <c r="AR64" s="540">
        <f t="shared" si="72"/>
        <v>37042905</v>
      </c>
      <c r="AS64" s="540">
        <f t="shared" si="72"/>
        <v>40809304</v>
      </c>
      <c r="AT64" s="540">
        <f t="shared" si="72"/>
        <v>30544975</v>
      </c>
      <c r="AU64" s="540">
        <f t="shared" si="72"/>
        <v>23815117</v>
      </c>
      <c r="AV64" s="540">
        <f t="shared" si="72"/>
        <v>16958956</v>
      </c>
      <c r="AW64" s="540">
        <f t="shared" si="72"/>
        <v>10280221</v>
      </c>
      <c r="AX64" s="540">
        <f t="shared" si="72"/>
        <v>7316509</v>
      </c>
      <c r="AY64" s="540">
        <f>SUM(AY55:AY63)</f>
        <v>6050612</v>
      </c>
      <c r="AZ64" s="540">
        <f t="shared" ref="AZ64:BA64" si="73">SUM(AZ55:AZ63)</f>
        <v>6226148</v>
      </c>
      <c r="BA64" s="540">
        <f t="shared" si="73"/>
        <v>7933229</v>
      </c>
      <c r="BB64" s="540">
        <f>SUM(BB55:BB63)</f>
        <v>15888438</v>
      </c>
      <c r="BC64" s="540">
        <f t="shared" ref="BC64:BD64" si="74">SUM(BC55:BC63)</f>
        <v>18689959</v>
      </c>
      <c r="BD64" s="540">
        <f t="shared" si="74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70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621">
        <v>7316509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5">U67+1</f>
        <v>201502</v>
      </c>
      <c r="W67" s="482">
        <f t="shared" si="75"/>
        <v>201503</v>
      </c>
      <c r="X67" s="482">
        <f t="shared" si="75"/>
        <v>201504</v>
      </c>
      <c r="Y67" s="482">
        <f t="shared" si="75"/>
        <v>201505</v>
      </c>
      <c r="Z67" s="482">
        <f t="shared" si="75"/>
        <v>201506</v>
      </c>
      <c r="AA67" s="482">
        <f t="shared" si="75"/>
        <v>201507</v>
      </c>
      <c r="AB67" s="482">
        <f t="shared" si="75"/>
        <v>201508</v>
      </c>
      <c r="AC67" s="482">
        <f t="shared" si="75"/>
        <v>201509</v>
      </c>
      <c r="AD67" s="482">
        <f t="shared" si="75"/>
        <v>201510</v>
      </c>
      <c r="AE67" s="482">
        <f>AD67+1</f>
        <v>201511</v>
      </c>
      <c r="AF67" s="482">
        <f t="shared" ref="AF67" si="76">AE67+1</f>
        <v>201512</v>
      </c>
      <c r="AG67" s="482">
        <v>201601</v>
      </c>
      <c r="AH67" s="482">
        <f>AG67+1</f>
        <v>201602</v>
      </c>
      <c r="AI67" s="482">
        <f t="shared" ref="AI67:AR67" si="77">AH67+1</f>
        <v>201603</v>
      </c>
      <c r="AJ67" s="482">
        <f t="shared" si="77"/>
        <v>201604</v>
      </c>
      <c r="AK67" s="482">
        <f t="shared" si="77"/>
        <v>201605</v>
      </c>
      <c r="AL67" s="482">
        <f t="shared" si="77"/>
        <v>201606</v>
      </c>
      <c r="AM67" s="482">
        <f t="shared" si="77"/>
        <v>201607</v>
      </c>
      <c r="AN67" s="482">
        <f t="shared" si="77"/>
        <v>201608</v>
      </c>
      <c r="AO67" s="482">
        <f t="shared" si="77"/>
        <v>201609</v>
      </c>
      <c r="AP67" s="482">
        <f t="shared" si="77"/>
        <v>201610</v>
      </c>
      <c r="AQ67" s="482">
        <f t="shared" si="77"/>
        <v>201611</v>
      </c>
      <c r="AR67" s="482">
        <f t="shared" si="77"/>
        <v>201612</v>
      </c>
      <c r="AS67" s="482">
        <f>AS3</f>
        <v>201701</v>
      </c>
      <c r="AT67" s="482">
        <f>AS67+1</f>
        <v>201702</v>
      </c>
      <c r="AU67" s="482">
        <f t="shared" ref="AU67:BD67" si="78">AT67+1</f>
        <v>201703</v>
      </c>
      <c r="AV67" s="482">
        <f t="shared" si="78"/>
        <v>201704</v>
      </c>
      <c r="AW67" s="482">
        <f t="shared" si="78"/>
        <v>201705</v>
      </c>
      <c r="AX67" s="482">
        <f t="shared" si="78"/>
        <v>201706</v>
      </c>
      <c r="AY67" s="482">
        <f t="shared" si="78"/>
        <v>201707</v>
      </c>
      <c r="AZ67" s="482">
        <f t="shared" si="78"/>
        <v>201708</v>
      </c>
      <c r="BA67" s="482">
        <f t="shared" si="78"/>
        <v>201709</v>
      </c>
      <c r="BB67" s="482">
        <f t="shared" si="78"/>
        <v>201710</v>
      </c>
      <c r="BC67" s="482">
        <f t="shared" si="78"/>
        <v>201711</v>
      </c>
      <c r="BD67" s="482">
        <f t="shared" si="78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6">
        <v>1.0000000000000001E-5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6">
        <v>1.0000000000000001E-5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6">
        <v>1.0000000000000001E-5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6">
        <v>1.0000000000000001E-5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6">
        <v>1.0000000000000001E-5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6">
        <v>1.0000000000000001E-5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6">
        <v>1.0000000000000001E-5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6">
        <v>1.0000000000000001E-5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201706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6">
        <v>0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47.84666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47.84666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9">U78+1</f>
        <v>201502</v>
      </c>
      <c r="W78" s="482">
        <f t="shared" si="79"/>
        <v>201503</v>
      </c>
      <c r="X78" s="482">
        <f t="shared" si="79"/>
        <v>201504</v>
      </c>
      <c r="Y78" s="482">
        <f t="shared" si="79"/>
        <v>201505</v>
      </c>
      <c r="Z78" s="482">
        <f t="shared" si="79"/>
        <v>201506</v>
      </c>
      <c r="AA78" s="482">
        <f t="shared" si="79"/>
        <v>201507</v>
      </c>
      <c r="AB78" s="482">
        <f t="shared" si="79"/>
        <v>201508</v>
      </c>
      <c r="AC78" s="482">
        <f t="shared" si="79"/>
        <v>201509</v>
      </c>
      <c r="AD78" s="482">
        <f t="shared" si="79"/>
        <v>201510</v>
      </c>
      <c r="AE78" s="482">
        <f>AD78+1</f>
        <v>201511</v>
      </c>
      <c r="AF78" s="482">
        <f t="shared" ref="AF78" si="80">AE78+1</f>
        <v>201512</v>
      </c>
      <c r="AG78" s="482">
        <v>201601</v>
      </c>
      <c r="AH78" s="482">
        <f>AG78+1</f>
        <v>201602</v>
      </c>
      <c r="AI78" s="482">
        <f t="shared" ref="AI78:AR78" si="81">AH78+1</f>
        <v>201603</v>
      </c>
      <c r="AJ78" s="482">
        <f t="shared" si="81"/>
        <v>201604</v>
      </c>
      <c r="AK78" s="482">
        <f t="shared" si="81"/>
        <v>201605</v>
      </c>
      <c r="AL78" s="482">
        <f t="shared" si="81"/>
        <v>201606</v>
      </c>
      <c r="AM78" s="482">
        <f t="shared" si="81"/>
        <v>201607</v>
      </c>
      <c r="AN78" s="482">
        <f t="shared" si="81"/>
        <v>201608</v>
      </c>
      <c r="AO78" s="482">
        <f t="shared" si="81"/>
        <v>201609</v>
      </c>
      <c r="AP78" s="482">
        <f t="shared" si="81"/>
        <v>201610</v>
      </c>
      <c r="AQ78" s="482">
        <f t="shared" si="81"/>
        <v>201611</v>
      </c>
      <c r="AR78" s="482">
        <f t="shared" si="81"/>
        <v>201612</v>
      </c>
      <c r="AS78" s="482">
        <f>AS3</f>
        <v>201701</v>
      </c>
      <c r="AT78" s="482">
        <f>AS78+1</f>
        <v>201702</v>
      </c>
      <c r="AU78" s="482">
        <f t="shared" ref="AU78:BD78" si="82">AT78+1</f>
        <v>201703</v>
      </c>
      <c r="AV78" s="482">
        <f t="shared" si="82"/>
        <v>201704</v>
      </c>
      <c r="AW78" s="482">
        <f t="shared" si="82"/>
        <v>201705</v>
      </c>
      <c r="AX78" s="482">
        <f t="shared" si="82"/>
        <v>201706</v>
      </c>
      <c r="AY78" s="482">
        <f t="shared" si="82"/>
        <v>201707</v>
      </c>
      <c r="AZ78" s="482">
        <f t="shared" si="82"/>
        <v>201708</v>
      </c>
      <c r="BA78" s="482">
        <f t="shared" si="82"/>
        <v>201709</v>
      </c>
      <c r="BB78" s="482">
        <f t="shared" si="82"/>
        <v>201710</v>
      </c>
      <c r="BC78" s="482">
        <f t="shared" si="82"/>
        <v>201711</v>
      </c>
      <c r="BD78" s="482">
        <f t="shared" si="82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3">AF82</f>
        <v>-18146.93566000001</v>
      </c>
      <c r="AH79" s="480">
        <f t="shared" si="83"/>
        <v>-14523.147320000011</v>
      </c>
      <c r="AI79" s="480">
        <f t="shared" si="83"/>
        <v>-11852.264220000012</v>
      </c>
      <c r="AJ79" s="480">
        <f t="shared" si="83"/>
        <v>-9512.6003600000113</v>
      </c>
      <c r="AK79" s="480">
        <f t="shared" si="83"/>
        <v>-8373.7282900000118</v>
      </c>
      <c r="AL79" s="480">
        <f t="shared" si="83"/>
        <v>-7543.4780600000122</v>
      </c>
      <c r="AM79" s="480">
        <f t="shared" si="83"/>
        <v>-6882.1108900000127</v>
      </c>
      <c r="AN79" s="480">
        <f t="shared" si="83"/>
        <v>-6303.9779800000124</v>
      </c>
      <c r="AO79" s="480">
        <f t="shared" si="83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4">AT82</f>
        <v>-3265.0261600000117</v>
      </c>
      <c r="AV79" s="480">
        <f t="shared" si="84"/>
        <v>-3060.6942200000117</v>
      </c>
      <c r="AW79" s="480">
        <f t="shared" si="84"/>
        <v>-2919.7909600000116</v>
      </c>
      <c r="AX79" s="480">
        <f t="shared" si="84"/>
        <v>-2842.0077800000117</v>
      </c>
      <c r="AY79" s="480">
        <f t="shared" si="84"/>
        <v>-2794.1611200000116</v>
      </c>
      <c r="AZ79" s="480">
        <f t="shared" si="84"/>
        <v>-2243.4693000000116</v>
      </c>
      <c r="BA79" s="480">
        <f t="shared" si="84"/>
        <v>-1691.3534600000116</v>
      </c>
      <c r="BB79" s="480">
        <f>BA82</f>
        <v>-903.11840000001166</v>
      </c>
      <c r="BC79" s="480">
        <f>BB82</f>
        <v>822.92722999998819</v>
      </c>
      <c r="BD79" s="480">
        <f>BC82</f>
        <v>63.927229999988185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5">SUMPRODUCT(AW55:AW63,AW68:AW76)</f>
        <v>77.783180000000016</v>
      </c>
      <c r="AX80" s="558">
        <f>SUMPRODUCT(AX55:AX63,AX68:AX76)</f>
        <v>47.84666</v>
      </c>
      <c r="AY80" s="558">
        <f t="shared" ref="AY80" si="86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7">SUM(E79:E81)</f>
        <v>38932.729789999998</v>
      </c>
      <c r="F82" s="539">
        <f t="shared" si="87"/>
        <v>8140.2385399999985</v>
      </c>
      <c r="G82" s="539">
        <f t="shared" si="87"/>
        <v>-693.68146000000161</v>
      </c>
      <c r="H82" s="539">
        <f t="shared" si="87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8">SUM(V79:V81)</f>
        <v>-38138.117780000015</v>
      </c>
      <c r="W82" s="539">
        <f t="shared" si="88"/>
        <v>-34282.961340000016</v>
      </c>
      <c r="X82" s="539">
        <f t="shared" si="88"/>
        <v>-31253.873050000017</v>
      </c>
      <c r="Y82" s="539">
        <f t="shared" si="88"/>
        <v>-29770.929110000015</v>
      </c>
      <c r="Z82" s="539">
        <f t="shared" si="88"/>
        <v>-28708.282540000015</v>
      </c>
      <c r="AA82" s="539">
        <f t="shared" si="88"/>
        <v>-27692.487530000013</v>
      </c>
      <c r="AB82" s="539">
        <f t="shared" si="88"/>
        <v>-26711.886850000014</v>
      </c>
      <c r="AC82" s="539">
        <f t="shared" si="88"/>
        <v>-25249.174790000012</v>
      </c>
      <c r="AD82" s="539">
        <f t="shared" si="88"/>
        <v>-23171.93566000001</v>
      </c>
      <c r="AE82" s="539">
        <f t="shared" si="88"/>
        <v>-21380.93566000001</v>
      </c>
      <c r="AF82" s="539">
        <f t="shared" si="88"/>
        <v>-18146.93566000001</v>
      </c>
      <c r="AG82" s="539">
        <f t="shared" si="88"/>
        <v>-14523.147320000011</v>
      </c>
      <c r="AH82" s="539">
        <f t="shared" si="88"/>
        <v>-11852.264220000012</v>
      </c>
      <c r="AI82" s="539">
        <f t="shared" si="88"/>
        <v>-9512.6003600000113</v>
      </c>
      <c r="AJ82" s="539">
        <f t="shared" si="88"/>
        <v>-8373.7282900000118</v>
      </c>
      <c r="AK82" s="539">
        <f t="shared" si="88"/>
        <v>-7543.4780600000122</v>
      </c>
      <c r="AL82" s="539">
        <f t="shared" si="88"/>
        <v>-6882.1108900000127</v>
      </c>
      <c r="AM82" s="539">
        <f t="shared" si="88"/>
        <v>-6303.9779800000124</v>
      </c>
      <c r="AN82" s="539">
        <f t="shared" si="88"/>
        <v>-5710.3492900000119</v>
      </c>
      <c r="AO82" s="539">
        <f t="shared" si="88"/>
        <v>-4950.5876300000118</v>
      </c>
      <c r="AP82" s="539">
        <f t="shared" si="88"/>
        <v>-3439.8164200000119</v>
      </c>
      <c r="AQ82" s="539">
        <f t="shared" si="88"/>
        <v>-4198.8164200000119</v>
      </c>
      <c r="AR82" s="539">
        <f t="shared" si="88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9">SUM(AU79:AU81)</f>
        <v>-3060.6942200000117</v>
      </c>
      <c r="AV82" s="539">
        <f t="shared" si="89"/>
        <v>-2919.7909600000116</v>
      </c>
      <c r="AW82" s="539">
        <f t="shared" si="89"/>
        <v>-2842.0077800000117</v>
      </c>
      <c r="AX82" s="539">
        <f t="shared" si="89"/>
        <v>-2794.1611200000116</v>
      </c>
      <c r="AY82" s="539">
        <f t="shared" si="89"/>
        <v>-2243.4693000000116</v>
      </c>
      <c r="AZ82" s="539">
        <f t="shared" si="89"/>
        <v>-1691.3534600000116</v>
      </c>
      <c r="BA82" s="539">
        <f t="shared" si="89"/>
        <v>-903.11840000001166</v>
      </c>
      <c r="BB82" s="539">
        <f t="shared" si="89"/>
        <v>822.92722999998819</v>
      </c>
      <c r="BC82" s="539">
        <f t="shared" si="89"/>
        <v>63.927229999988185</v>
      </c>
      <c r="BD82" s="539">
        <f t="shared" si="89"/>
        <v>-234.07277000001181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90">E82-E83</f>
        <v>-2.1000000560889021E-4</v>
      </c>
      <c r="F84" s="480">
        <f t="shared" si="90"/>
        <v>-1.4600000013160752E-3</v>
      </c>
      <c r="G84" s="480">
        <f t="shared" si="90"/>
        <v>-1.4600000016571357E-3</v>
      </c>
      <c r="H84" s="480">
        <f t="shared" si="90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1">V82-V83</f>
        <v>1.2219999982335139E-2</v>
      </c>
      <c r="W84" s="480">
        <f t="shared" si="91"/>
        <v>8.6599999849568121E-3</v>
      </c>
      <c r="X84" s="480">
        <f t="shared" si="91"/>
        <v>6.9499999844992999E-3</v>
      </c>
      <c r="Y84" s="480">
        <f t="shared" si="91"/>
        <v>1.0889999983191956E-2</v>
      </c>
      <c r="Z84" s="480">
        <f t="shared" si="91"/>
        <v>7.4599999861675315E-3</v>
      </c>
      <c r="AA84" s="480">
        <f t="shared" si="91"/>
        <v>2.469999988534255E-3</v>
      </c>
      <c r="AB84" s="480">
        <f t="shared" si="91"/>
        <v>3.1499999859079253E-3</v>
      </c>
      <c r="AC84" s="480">
        <f t="shared" si="91"/>
        <v>5.2099999884376302E-3</v>
      </c>
      <c r="AD84" s="480">
        <f t="shared" si="91"/>
        <v>4.339999988587806E-3</v>
      </c>
      <c r="AE84" s="480">
        <f t="shared" si="91"/>
        <v>4.339999988587806E-3</v>
      </c>
      <c r="AF84" s="480">
        <f t="shared" si="91"/>
        <v>4.339999988587806E-3</v>
      </c>
      <c r="AG84" s="480">
        <f t="shared" si="91"/>
        <v>2.6799999886861769E-3</v>
      </c>
      <c r="AH84" s="480">
        <f t="shared" si="91"/>
        <v>5.7799999885901343E-3</v>
      </c>
      <c r="AI84" s="480">
        <f t="shared" si="91"/>
        <v>9.6399999893037602E-3</v>
      </c>
      <c r="AJ84" s="480">
        <f t="shared" si="91"/>
        <v>1.1709999987942865E-2</v>
      </c>
      <c r="AK84" s="480">
        <f t="shared" si="91"/>
        <v>1.1939999987589545E-2</v>
      </c>
      <c r="AL84" s="480">
        <f t="shared" si="91"/>
        <v>9.1099999872312765E-3</v>
      </c>
      <c r="AM84" s="480">
        <f t="shared" si="91"/>
        <v>1.2019999987387564E-2</v>
      </c>
      <c r="AN84" s="480">
        <f t="shared" si="91"/>
        <v>1.0709999987739138E-2</v>
      </c>
      <c r="AO84" s="480">
        <f t="shared" si="91"/>
        <v>1.2369999988550262E-2</v>
      </c>
      <c r="AP84" s="480">
        <f t="shared" si="91"/>
        <v>1.3579999987996416E-2</v>
      </c>
      <c r="AQ84" s="480">
        <f t="shared" si="91"/>
        <v>1.3579999987996416E-2</v>
      </c>
      <c r="AR84" s="480">
        <f t="shared" si="91"/>
        <v>1.3579999987996416E-2</v>
      </c>
      <c r="AS84" s="480">
        <f>AS82-AS83</f>
        <v>1.0319999988041673E-2</v>
      </c>
      <c r="AT84" s="480">
        <f t="shared" ref="AT84:BD84" si="92">AT82-AT83</f>
        <v>1.3839999988249474E-2</v>
      </c>
      <c r="AU84" s="480">
        <f t="shared" si="92"/>
        <v>1.5779999988353666E-2</v>
      </c>
      <c r="AV84" s="480">
        <f t="shared" si="92"/>
        <v>1.9039999988308409E-2</v>
      </c>
      <c r="AW84" s="480">
        <f t="shared" si="92"/>
        <v>2.2219999988465133E-2</v>
      </c>
      <c r="AX84" s="480">
        <f t="shared" si="92"/>
        <v>1.8879999988257623E-2</v>
      </c>
      <c r="AY84" s="480">
        <f t="shared" si="92"/>
        <v>511.65069999998832</v>
      </c>
      <c r="AZ84" s="480">
        <f t="shared" si="92"/>
        <v>1024.8965399999884</v>
      </c>
      <c r="BA84" s="480">
        <f t="shared" si="92"/>
        <v>1755.9015999999883</v>
      </c>
      <c r="BB84" s="480">
        <f t="shared" si="92"/>
        <v>3481.9472299999879</v>
      </c>
      <c r="BC84" s="480">
        <f t="shared" si="92"/>
        <v>2722.9472299999879</v>
      </c>
      <c r="BD84" s="480">
        <f t="shared" si="92"/>
        <v>-234.07277000001181</v>
      </c>
    </row>
  </sheetData>
  <conditionalFormatting sqref="E29 L65:AR65 K29:AK29 AN29:AR29 BE29 BE65">
    <cfRule type="cellIs" dxfId="497" priority="29" operator="notEqual">
      <formula>E28</formula>
    </cfRule>
  </conditionalFormatting>
  <conditionalFormatting sqref="F29">
    <cfRule type="cellIs" dxfId="496" priority="28" operator="notEqual">
      <formula>F28</formula>
    </cfRule>
  </conditionalFormatting>
  <conditionalFormatting sqref="G29">
    <cfRule type="cellIs" dxfId="495" priority="27" operator="notEqual">
      <formula>G28</formula>
    </cfRule>
  </conditionalFormatting>
  <conditionalFormatting sqref="H29">
    <cfRule type="cellIs" dxfId="494" priority="26" operator="notEqual">
      <formula>H28</formula>
    </cfRule>
  </conditionalFormatting>
  <conditionalFormatting sqref="G65">
    <cfRule type="cellIs" dxfId="493" priority="23" operator="notEqual">
      <formula>G64</formula>
    </cfRule>
  </conditionalFormatting>
  <conditionalFormatting sqref="H65">
    <cfRule type="cellIs" dxfId="492" priority="22" operator="notEqual">
      <formula>H64</formula>
    </cfRule>
  </conditionalFormatting>
  <conditionalFormatting sqref="E65">
    <cfRule type="cellIs" dxfId="491" priority="25" operator="notEqual">
      <formula>E64</formula>
    </cfRule>
  </conditionalFormatting>
  <conditionalFormatting sqref="F65">
    <cfRule type="cellIs" dxfId="490" priority="24" operator="notEqual">
      <formula>F64</formula>
    </cfRule>
  </conditionalFormatting>
  <conditionalFormatting sqref="BK80 BK47 BK11">
    <cfRule type="cellIs" dxfId="489" priority="21" operator="notEqual">
      <formula>0</formula>
    </cfRule>
  </conditionalFormatting>
  <conditionalFormatting sqref="D65">
    <cfRule type="cellIs" dxfId="488" priority="20" operator="notEqual">
      <formula>D64</formula>
    </cfRule>
  </conditionalFormatting>
  <conditionalFormatting sqref="C65">
    <cfRule type="cellIs" dxfId="487" priority="19" operator="notEqual">
      <formula>C64</formula>
    </cfRule>
  </conditionalFormatting>
  <conditionalFormatting sqref="D29">
    <cfRule type="cellIs" dxfId="486" priority="18" operator="notEqual">
      <formula>D28</formula>
    </cfRule>
  </conditionalFormatting>
  <conditionalFormatting sqref="C29">
    <cfRule type="cellIs" dxfId="485" priority="17" operator="notEqual">
      <formula>C28</formula>
    </cfRule>
  </conditionalFormatting>
  <conditionalFormatting sqref="I29">
    <cfRule type="cellIs" dxfId="484" priority="16" operator="notEqual">
      <formula>I28</formula>
    </cfRule>
  </conditionalFormatting>
  <conditionalFormatting sqref="I65">
    <cfRule type="cellIs" dxfId="483" priority="15" operator="notEqual">
      <formula>I64</formula>
    </cfRule>
  </conditionalFormatting>
  <conditionalFormatting sqref="J29">
    <cfRule type="cellIs" dxfId="482" priority="14" operator="notEqual">
      <formula>J28</formula>
    </cfRule>
  </conditionalFormatting>
  <conditionalFormatting sqref="J65">
    <cfRule type="cellIs" dxfId="481" priority="13" operator="notEqual">
      <formula>J64</formula>
    </cfRule>
  </conditionalFormatting>
  <conditionalFormatting sqref="K65">
    <cfRule type="cellIs" dxfId="480" priority="12" operator="notEqual">
      <formula>K64</formula>
    </cfRule>
  </conditionalFormatting>
  <conditionalFormatting sqref="U29">
    <cfRule type="cellIs" dxfId="479" priority="11" operator="notEqual">
      <formula>U28</formula>
    </cfRule>
  </conditionalFormatting>
  <conditionalFormatting sqref="U65">
    <cfRule type="cellIs" dxfId="478" priority="10" operator="notEqual">
      <formula>U64</formula>
    </cfRule>
  </conditionalFormatting>
  <conditionalFormatting sqref="V29">
    <cfRule type="cellIs" dxfId="477" priority="9" operator="notEqual">
      <formula>V28</formula>
    </cfRule>
  </conditionalFormatting>
  <conditionalFormatting sqref="V65">
    <cfRule type="cellIs" dxfId="476" priority="8" operator="notEqual">
      <formula>V64</formula>
    </cfRule>
  </conditionalFormatting>
  <conditionalFormatting sqref="W65">
    <cfRule type="cellIs" dxfId="475" priority="7" operator="notEqual">
      <formula>W64</formula>
    </cfRule>
  </conditionalFormatting>
  <conditionalFormatting sqref="AL29">
    <cfRule type="cellIs" dxfId="474" priority="6" operator="notEqual">
      <formula>AL28</formula>
    </cfRule>
  </conditionalFormatting>
  <conditionalFormatting sqref="AM29">
    <cfRule type="cellIs" dxfId="473" priority="5" operator="notEqual">
      <formula>AM28</formula>
    </cfRule>
  </conditionalFormatting>
  <conditionalFormatting sqref="AS65:AW65 AS29:AW29 AZ29:BD29 AY65:BD65">
    <cfRule type="cellIs" dxfId="472" priority="4" operator="notEqual">
      <formula>AS28</formula>
    </cfRule>
  </conditionalFormatting>
  <conditionalFormatting sqref="AX29">
    <cfRule type="cellIs" dxfId="471" priority="3" operator="notEqual">
      <formula>AX28</formula>
    </cfRule>
  </conditionalFormatting>
  <conditionalFormatting sqref="AY29">
    <cfRule type="cellIs" dxfId="470" priority="2" operator="notEqual">
      <formula>AY28</formula>
    </cfRule>
  </conditionalFormatting>
  <conditionalFormatting sqref="AX65">
    <cfRule type="cellIs" dxfId="469" priority="1" operator="notEqual">
      <formula>AX64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Q58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51" width="16.28515625" style="480" customWidth="1"/>
    <col min="52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  <c r="BJ1" s="481" t="s">
        <v>333</v>
      </c>
      <c r="BK1" s="481"/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201706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480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5883.11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17717.544133999661</v>
      </c>
      <c r="BL7" s="498">
        <f>IF((SUMIF(AH3:BE3,BG4,AH6:BE6)+SUMIF(AH3:BE3,BG4,AH7:BE7)+SUMIF(AH3:BE3,BG4,AH8:BE8))&lt;0,-(SUMIF(AH3:BE3,BG4,AH6:BE6)+SUMIF(AH3:BE3,BG4,AH7:BE7)++SUMIF(AH3:BE3,BG4,AH8:BE8)),0)</f>
        <v>0</v>
      </c>
    </row>
    <row r="8" spans="1:64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>ROUND(((AY5+AY9+AY10+AY11)*(AY4/12))+((SUM(AY6:AY7)/2)*(AY4/12)),2)</f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0</v>
      </c>
      <c r="BL8" s="460">
        <f>IF((SUMIF(AH3:BE3,BG4,AH6:BE6)+SUMIF(AH3:BE3,BG4,AH7:BE7))&gt;0,(SUMIF(AH3:BE3,BG4,AH6:BE6)+SUMIF(AH3:BE3,BG4,AH7:BE7)),0)</f>
        <v>23600.654133999662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558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621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621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621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621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621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621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8">
        <v>9.3079999999999996E-2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8">
        <v>9.3079999999999996E-2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8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8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8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8">
        <v>9.665E-2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617">
        <v>0.01</v>
      </c>
      <c r="AZ41" s="486"/>
      <c r="BA41" s="586"/>
      <c r="BB41" s="486"/>
      <c r="BC41" s="486"/>
      <c r="BD41" s="486"/>
      <c r="BE41" s="486"/>
      <c r="BF41" s="577"/>
      <c r="BG41" s="511">
        <f>BG4</f>
        <v>201706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-239397.9359650402</v>
      </c>
      <c r="BA42" s="480">
        <f t="shared" si="38"/>
        <v>-181432.01531504019</v>
      </c>
      <c r="BB42" s="480">
        <f>BA47</f>
        <v>-113879.79695504019</v>
      </c>
      <c r="BC42" s="480">
        <f>BB47</f>
        <v>-43902.301345040192</v>
      </c>
      <c r="BD42" s="480">
        <f>BC47</f>
        <v>150230.46957495983</v>
      </c>
      <c r="BE42" s="480">
        <f t="shared" ref="BE42" si="39">BD47</f>
        <v>-6268200.1504250402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>SUMPRODUCT(AY19:AY24,AY31:AY36)</f>
        <v>237611.55235999997</v>
      </c>
      <c r="AZ43" s="558">
        <f t="shared" si="43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298.25454799753561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BB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si="47"/>
        <v>-298.25454799753561</v>
      </c>
      <c r="AZ44" s="487">
        <f t="shared" si="47"/>
        <v>0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237313.29781200245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237611.55235999997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-476711.23377704265</v>
      </c>
      <c r="AY47" s="539">
        <f t="shared" si="51"/>
        <v>-239397.9359650402</v>
      </c>
      <c r="AZ47" s="539">
        <f t="shared" si="51"/>
        <v>-181432.01531504019</v>
      </c>
      <c r="BA47" s="539">
        <f t="shared" si="51"/>
        <v>-113879.79695504019</v>
      </c>
      <c r="BB47" s="539">
        <f t="shared" si="51"/>
        <v>-43902.301345040192</v>
      </c>
      <c r="BC47" s="539">
        <f t="shared" si="51"/>
        <v>150230.46957495983</v>
      </c>
      <c r="BD47" s="539">
        <f t="shared" si="51"/>
        <v>-6268200.1504250402</v>
      </c>
      <c r="BE47" s="539">
        <f>SUM(BE42:BE46)</f>
        <v>-4837377.1504250402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>AX47-AX48</f>
        <v>6.2229573377408087E-3</v>
      </c>
      <c r="AY49" s="480">
        <f t="shared" si="54"/>
        <v>4.0349597984459251E-3</v>
      </c>
      <c r="AZ49" s="480">
        <f t="shared" si="54"/>
        <v>-129842.79531504019</v>
      </c>
      <c r="BA49" s="480">
        <f t="shared" si="54"/>
        <v>-281348.25695504015</v>
      </c>
      <c r="BB49" s="480">
        <f t="shared" si="54"/>
        <v>-438477.20134504023</v>
      </c>
      <c r="BC49" s="480">
        <f>BC47-BC48</f>
        <v>-244344.43042504019</v>
      </c>
      <c r="BD49" s="480">
        <f t="shared" ref="BD49" si="55">BD47-BD48</f>
        <v>-6662775.0504250405</v>
      </c>
      <c r="BE49" s="480">
        <f>BE47-BE48</f>
        <v>-4837377.1504250402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621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621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621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621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621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621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621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8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8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8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8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8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8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8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617">
        <v>0.01</v>
      </c>
      <c r="AZ74" s="486"/>
      <c r="BA74" s="586"/>
      <c r="BB74" s="486"/>
      <c r="BC74" s="486"/>
      <c r="BD74" s="486"/>
      <c r="BE74" s="486"/>
      <c r="BF74" s="577"/>
      <c r="BG74" s="511">
        <f>BG4</f>
        <v>201706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558">
        <f t="shared" si="74"/>
        <v>-12162.103611547136</v>
      </c>
      <c r="AY75" s="480">
        <f t="shared" si="74"/>
        <v>-12172.238697890092</v>
      </c>
      <c r="AZ75" s="480">
        <f>AY79</f>
        <v>-12182.382230138333</v>
      </c>
      <c r="BA75" s="480">
        <f t="shared" ref="BA75:BB75" si="75">AZ79</f>
        <v>-12182.382230138333</v>
      </c>
      <c r="BB75" s="480">
        <f t="shared" si="75"/>
        <v>-12182.382230138333</v>
      </c>
      <c r="BC75" s="480">
        <f>BB79</f>
        <v>-12182.382230138333</v>
      </c>
      <c r="BD75" s="480">
        <f t="shared" ref="BD75:BE75" si="76">BC79</f>
        <v>-12182.382230138333</v>
      </c>
      <c r="BE75" s="480">
        <f t="shared" si="76"/>
        <v>-12182.382230138333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10.143532248241744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C77" si="81">((AY75*(AY74/12))+((AY76/2)*(AY74/12)))</f>
        <v>-10.143532248241744</v>
      </c>
      <c r="AZ77" s="487">
        <f t="shared" si="81"/>
        <v>0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10.143532248241744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-12172.238697890092</v>
      </c>
      <c r="AY79" s="539">
        <f t="shared" si="83"/>
        <v>-12182.382230138333</v>
      </c>
      <c r="AZ79" s="539">
        <f t="shared" si="83"/>
        <v>-12182.382230138333</v>
      </c>
      <c r="BA79" s="539">
        <f t="shared" si="83"/>
        <v>-12182.382230138333</v>
      </c>
      <c r="BB79" s="539">
        <f t="shared" si="83"/>
        <v>-12182.382230138333</v>
      </c>
      <c r="BC79" s="539">
        <f t="shared" si="83"/>
        <v>-12182.382230138333</v>
      </c>
      <c r="BD79" s="539">
        <f t="shared" si="83"/>
        <v>-12182.382230138333</v>
      </c>
      <c r="BE79" s="539">
        <f>SUM(BE75:BE78)</f>
        <v>-12182.382230138333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2.1302109907992417E-2</v>
      </c>
      <c r="AY81" s="480">
        <f t="shared" si="84"/>
        <v>1.7769861666238285E-2</v>
      </c>
      <c r="AZ81" s="480">
        <f t="shared" si="84"/>
        <v>10.167769861665874</v>
      </c>
      <c r="BA81" s="480">
        <f t="shared" si="84"/>
        <v>20.327769861665729</v>
      </c>
      <c r="BB81" s="480">
        <f t="shared" si="84"/>
        <v>30.497769861665802</v>
      </c>
      <c r="BC81" s="480">
        <f t="shared" si="84"/>
        <v>30.497769861665802</v>
      </c>
      <c r="BD81" s="480">
        <f t="shared" si="84"/>
        <v>30.497769861665802</v>
      </c>
      <c r="BE81" s="480">
        <f t="shared" si="84"/>
        <v>-12182.382230138333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468" priority="26" operator="notEqual">
      <formula>F27</formula>
    </cfRule>
  </conditionalFormatting>
  <conditionalFormatting sqref="G28">
    <cfRule type="cellIs" dxfId="467" priority="25" operator="notEqual">
      <formula>G27</formula>
    </cfRule>
  </conditionalFormatting>
  <conditionalFormatting sqref="H28">
    <cfRule type="cellIs" dxfId="466" priority="24" operator="notEqual">
      <formula>H27</formula>
    </cfRule>
  </conditionalFormatting>
  <conditionalFormatting sqref="I28">
    <cfRule type="cellIs" dxfId="465" priority="23" operator="notEqual">
      <formula>I27</formula>
    </cfRule>
  </conditionalFormatting>
  <conditionalFormatting sqref="D28">
    <cfRule type="cellIs" dxfId="464" priority="22" operator="notEqual">
      <formula>D27</formula>
    </cfRule>
  </conditionalFormatting>
  <conditionalFormatting sqref="G61">
    <cfRule type="cellIs" dxfId="463" priority="21" operator="notEqual">
      <formula>G60</formula>
    </cfRule>
  </conditionalFormatting>
  <conditionalFormatting sqref="H61">
    <cfRule type="cellIs" dxfId="462" priority="20" operator="notEqual">
      <formula>H60</formula>
    </cfRule>
  </conditionalFormatting>
  <conditionalFormatting sqref="I61">
    <cfRule type="cellIs" dxfId="461" priority="19" operator="notEqual">
      <formula>I60</formula>
    </cfRule>
  </conditionalFormatting>
  <conditionalFormatting sqref="D61">
    <cfRule type="cellIs" dxfId="460" priority="18" operator="notEqual">
      <formula>D60</formula>
    </cfRule>
  </conditionalFormatting>
  <conditionalFormatting sqref="J61">
    <cfRule type="cellIs" dxfId="459" priority="17" operator="notEqual">
      <formula>J60</formula>
    </cfRule>
  </conditionalFormatting>
  <conditionalFormatting sqref="BL81 BL48 BL11">
    <cfRule type="cellIs" dxfId="458" priority="16" operator="notEqual">
      <formula>0</formula>
    </cfRule>
  </conditionalFormatting>
  <conditionalFormatting sqref="J28">
    <cfRule type="cellIs" dxfId="457" priority="15" operator="notEqual">
      <formula>J27</formula>
    </cfRule>
  </conditionalFormatting>
  <conditionalFormatting sqref="K28">
    <cfRule type="cellIs" dxfId="456" priority="14" operator="notEqual">
      <formula>K27</formula>
    </cfRule>
  </conditionalFormatting>
  <conditionalFormatting sqref="K61">
    <cfRule type="cellIs" dxfId="455" priority="13" operator="notEqual">
      <formula>K60</formula>
    </cfRule>
  </conditionalFormatting>
  <conditionalFormatting sqref="L28">
    <cfRule type="cellIs" dxfId="454" priority="12" operator="notEqual">
      <formula>L27</formula>
    </cfRule>
  </conditionalFormatting>
  <conditionalFormatting sqref="L61">
    <cfRule type="cellIs" dxfId="453" priority="11" operator="notEqual">
      <formula>L60</formula>
    </cfRule>
  </conditionalFormatting>
  <conditionalFormatting sqref="M28:N28">
    <cfRule type="cellIs" dxfId="452" priority="10" operator="notEqual">
      <formula>M27</formula>
    </cfRule>
  </conditionalFormatting>
  <conditionalFormatting sqref="O28">
    <cfRule type="cellIs" dxfId="451" priority="9" operator="notEqual">
      <formula>O27</formula>
    </cfRule>
  </conditionalFormatting>
  <conditionalFormatting sqref="V61">
    <cfRule type="cellIs" dxfId="450" priority="8" operator="notEqual">
      <formula>V60</formula>
    </cfRule>
  </conditionalFormatting>
  <conditionalFormatting sqref="V28:W28">
    <cfRule type="cellIs" dxfId="449" priority="7" operator="notEqual">
      <formula>V27</formula>
    </cfRule>
  </conditionalFormatting>
  <conditionalFormatting sqref="W28">
    <cfRule type="cellIs" dxfId="448" priority="6" operator="notEqual">
      <formula>W27</formula>
    </cfRule>
  </conditionalFormatting>
  <conditionalFormatting sqref="W61">
    <cfRule type="cellIs" dxfId="447" priority="5" operator="notEqual">
      <formula>W60</formula>
    </cfRule>
  </conditionalFormatting>
  <conditionalFormatting sqref="X28">
    <cfRule type="cellIs" dxfId="446" priority="4" operator="notEqual">
      <formula>X27</formula>
    </cfRule>
  </conditionalFormatting>
  <conditionalFormatting sqref="X61">
    <cfRule type="cellIs" dxfId="445" priority="3" operator="notEqual">
      <formula>X60</formula>
    </cfRule>
  </conditionalFormatting>
  <conditionalFormatting sqref="Y28:Z28">
    <cfRule type="cellIs" dxfId="444" priority="2" operator="notEqual">
      <formula>Y27</formula>
    </cfRule>
  </conditionalFormatting>
  <conditionalFormatting sqref="AA28">
    <cfRule type="cellIs" dxfId="443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P54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49" width="17.42578125" style="480" customWidth="1"/>
    <col min="50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  <c r="BI1" s="481" t="s">
        <v>333</v>
      </c>
      <c r="BJ1" s="481"/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617">
        <v>3.7100000000000001E-2</v>
      </c>
      <c r="AX4" s="617">
        <v>3.7100000000000001E-2</v>
      </c>
      <c r="AY4" s="617">
        <v>3.7100000000000001E-2</v>
      </c>
      <c r="AZ4" s="617">
        <v>3.7100000000000001E-2</v>
      </c>
      <c r="BA4" s="617">
        <v>3.7100000000000001E-2</v>
      </c>
      <c r="BB4" s="617">
        <v>3.7100000000000001E-2</v>
      </c>
      <c r="BC4" s="617">
        <v>3.7100000000000001E-2</v>
      </c>
      <c r="BD4" s="617">
        <v>3.7100000000000001E-2</v>
      </c>
      <c r="BE4" s="577"/>
      <c r="BF4" s="542">
        <v>201705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558">
        <f t="shared" si="5"/>
        <v>-15173451.409781789</v>
      </c>
      <c r="AX5" s="480">
        <f t="shared" si="5"/>
        <v>-15098116.96234579</v>
      </c>
      <c r="AY5" s="480">
        <f>AX13</f>
        <v>-14771177.38731979</v>
      </c>
      <c r="AZ5" s="480">
        <f t="shared" ref="AZ5" si="6">AY13</f>
        <v>-15906582.032550791</v>
      </c>
      <c r="BA5" s="480">
        <f>AZ13</f>
        <v>-16970648.277435791</v>
      </c>
      <c r="BB5" s="480">
        <f t="shared" ref="BB5" si="7">BA13</f>
        <v>-18952036.158894792</v>
      </c>
      <c r="BC5" s="480">
        <f>BB13</f>
        <v>-21935990.323472787</v>
      </c>
      <c r="BD5" s="480">
        <f t="shared" ref="BD5" si="8">BC13</f>
        <v>-7902756.2529997826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46722.57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75334.447435999697</v>
      </c>
      <c r="BK7" s="498">
        <f>IF((SUMIF(AG3:BD3,BF4,AG6:BD6)+SUMIF(AG3:BD3,BF4,AG7:BD7)+SUMIF(AG3:BD3,BF4,AG8:BD8))&lt;0,-(SUMIF(AG3:BD3,BF4,AG6:BD6)+SUMIF(AG3:BD3,BF4,AG7:BD7)++SUMIF(AG3:BD3,BF4,AG8:BD8)),0)</f>
        <v>0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 t="shared" ref="AR8:AW8" si="11">ROUND(((AR5)*(AR4/12))+((SUM(AR6:AR7)/2)*(AR4/12)),2)</f>
        <v>-14406.68</v>
      </c>
      <c r="AS8" s="555">
        <f t="shared" si="11"/>
        <v>-24852.09</v>
      </c>
      <c r="AT8" s="555">
        <f t="shared" si="11"/>
        <v>-32890.959999999999</v>
      </c>
      <c r="AU8" s="555">
        <f t="shared" si="11"/>
        <v>-38340.61</v>
      </c>
      <c r="AV8" s="555">
        <f t="shared" si="11"/>
        <v>-45012.82</v>
      </c>
      <c r="AW8" s="555">
        <f t="shared" si="11"/>
        <v>-46722.57</v>
      </c>
      <c r="AX8" s="555">
        <f t="shared" ref="AX8:BA8" si="12">ROUND(((AX5)*(AX4/12))+((SUM(AX6:AX7)/2)*(AX4/12)),2)</f>
        <v>-46101.69</v>
      </c>
      <c r="AY8" s="555">
        <f t="shared" si="12"/>
        <v>-47349.51</v>
      </c>
      <c r="AZ8" s="555">
        <f t="shared" si="12"/>
        <v>-50744.28</v>
      </c>
      <c r="BA8" s="555">
        <f t="shared" si="12"/>
        <v>-55444.77</v>
      </c>
      <c r="BB8" s="555">
        <f>ROUND(((BB5)*(BB4/12))+((SUM(BB6:BB7)/2)*(BB4/12)),2)</f>
        <v>-63108.52</v>
      </c>
      <c r="BC8" s="555">
        <f>ROUND(((BC5+BC9+BC10+BC11)*(BC4/12))+((SUM(BC6:BC7)/2)*(BC4/12)),2)</f>
        <v>-23256</v>
      </c>
      <c r="BD8" s="487">
        <f>ROUND(((BD5)*(BD4/12))+((SUM(BD6:BD7)/2)*(BD4/12)),2)</f>
        <v>-30196.880000000001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0</v>
      </c>
      <c r="BK8" s="498">
        <f>IF((SUMIF(AG3:BD3,BF4,AG6:BD6)+SUMIF(AG3:BD3,BF4,AG7:BD7))&gt;0,(SUMIF(AG3:BD3,BF4,AG6:BD6)+SUMIF(AG3:BD3,BF4,AG7:BD7)),0)</f>
        <v>122057.0174359997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438126.67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3">SUM(F5:F12)</f>
        <v>2255013.9900000002</v>
      </c>
      <c r="G13" s="539">
        <f>SUM(G5:G12)</f>
        <v>-33498.738666789999</v>
      </c>
      <c r="H13" s="539">
        <f t="shared" si="13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4">SUM(V5:V12)</f>
        <v>-1694440.0214187815</v>
      </c>
      <c r="W13" s="539">
        <f t="shared" si="14"/>
        <v>-683405.33395377884</v>
      </c>
      <c r="X13" s="539">
        <f t="shared" si="14"/>
        <v>-2769396.4708657796</v>
      </c>
      <c r="Y13" s="539">
        <f>SUM(Y5:Y12)</f>
        <v>-2940906.6891037785</v>
      </c>
      <c r="Z13" s="539">
        <f t="shared" ref="Z13:AE13" si="15">SUM(Z5:Z12)</f>
        <v>-3112721.2246137792</v>
      </c>
      <c r="AA13" s="539">
        <f t="shared" si="15"/>
        <v>-3464489.8670317773</v>
      </c>
      <c r="AB13" s="539">
        <f t="shared" si="15"/>
        <v>-3555298.2266717753</v>
      </c>
      <c r="AC13" s="539">
        <f t="shared" si="15"/>
        <v>-4755858.0107337767</v>
      </c>
      <c r="AD13" s="539">
        <f t="shared" si="15"/>
        <v>-5900360.3440987766</v>
      </c>
      <c r="AE13" s="539">
        <f t="shared" si="15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6">SUM(AI5:AI12)</f>
        <v>-10398819.535470769</v>
      </c>
      <c r="AJ13" s="539">
        <f t="shared" si="16"/>
        <v>-12153304.785960769</v>
      </c>
      <c r="AK13" s="539">
        <f t="shared" si="16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6"/>
        <v>-15660034.00335677</v>
      </c>
      <c r="AO13" s="539">
        <f>SUM(AO5:AO12)</f>
        <v>-16306032.832939774</v>
      </c>
      <c r="AP13" s="539">
        <f t="shared" si="16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7">SUM(AV5:AV12)</f>
        <v>-15173451.409781789</v>
      </c>
      <c r="AW13" s="539">
        <f t="shared" si="17"/>
        <v>-15098116.96234579</v>
      </c>
      <c r="AX13" s="539">
        <f>SUM(AX5:AX12)</f>
        <v>-14771177.38731979</v>
      </c>
      <c r="AY13" s="539">
        <f t="shared" ref="AY13:AZ13" si="18">SUM(AY5:AY12)</f>
        <v>-15906582.032550791</v>
      </c>
      <c r="AZ13" s="539">
        <f t="shared" si="18"/>
        <v>-16970648.277435791</v>
      </c>
      <c r="BA13" s="539">
        <f>SUM(BA5:BA12)</f>
        <v>-18952036.158894792</v>
      </c>
      <c r="BB13" s="539">
        <f t="shared" ref="BB13" si="19">SUM(BB5:BB12)</f>
        <v>-21935990.323472787</v>
      </c>
      <c r="BC13" s="602">
        <f>SUM(BC5:BC12)</f>
        <v>-7902756.2529997826</v>
      </c>
      <c r="BD13" s="539">
        <f>SUM(BD5:BD12)</f>
        <v>-11661810.919853782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601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20">E13-E14</f>
        <v>1.0000000242143869E-2</v>
      </c>
      <c r="F15" s="480">
        <f t="shared" si="20"/>
        <v>1.0000000242143869E-2</v>
      </c>
      <c r="G15" s="480">
        <f t="shared" si="20"/>
        <v>1.1333210000884719E-2</v>
      </c>
      <c r="H15" s="480">
        <f t="shared" si="20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1">V13-V14</f>
        <v>-1.418781466782093E-3</v>
      </c>
      <c r="W15" s="480">
        <f t="shared" si="21"/>
        <v>-3.9537788834422827E-3</v>
      </c>
      <c r="X15" s="480">
        <f t="shared" si="21"/>
        <v>-8.6577935144305229E-4</v>
      </c>
      <c r="Y15" s="480">
        <f t="shared" si="21"/>
        <v>8.9622149243950844E-4</v>
      </c>
      <c r="Z15" s="480">
        <f t="shared" si="21"/>
        <v>5.3862207569181919E-3</v>
      </c>
      <c r="AA15" s="480">
        <f t="shared" si="21"/>
        <v>2.9682228341698647E-3</v>
      </c>
      <c r="AB15" s="480">
        <f t="shared" si="21"/>
        <v>3.3282246440649033E-3</v>
      </c>
      <c r="AC15" s="480">
        <f t="shared" si="21"/>
        <v>-7.3377694934606552E-4</v>
      </c>
      <c r="AD15" s="480">
        <f t="shared" si="21"/>
        <v>-4.0987767279148102E-3</v>
      </c>
      <c r="AE15" s="480">
        <f t="shared" si="21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2">AH13-AH14</f>
        <v>5.9522874653339386E-4</v>
      </c>
      <c r="AI15" s="480">
        <f t="shared" si="22"/>
        <v>4.5292302966117859E-3</v>
      </c>
      <c r="AJ15" s="480">
        <f t="shared" si="22"/>
        <v>4.0392298251390457E-3</v>
      </c>
      <c r="AK15" s="480">
        <f t="shared" si="22"/>
        <v>7.895229384303093E-3</v>
      </c>
      <c r="AL15" s="480">
        <f t="shared" si="22"/>
        <v>5.0072316080331802E-3</v>
      </c>
      <c r="AM15" s="480">
        <f>AM13-AM14</f>
        <v>2.2832304239273071E-3</v>
      </c>
      <c r="AN15" s="480">
        <f t="shared" si="22"/>
        <v>6.6432300955057144E-3</v>
      </c>
      <c r="AO15" s="480">
        <f t="shared" si="22"/>
        <v>7.0602260529994965E-3</v>
      </c>
      <c r="AP15" s="480">
        <f t="shared" si="22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3">AT13-AT14</f>
        <v>1.8762214109301567E-2</v>
      </c>
      <c r="AU15" s="480">
        <f t="shared" si="23"/>
        <v>1.8333211541175842E-2</v>
      </c>
      <c r="AV15" s="480">
        <f t="shared" si="23"/>
        <v>2.021821029484272E-2</v>
      </c>
      <c r="AW15" s="480">
        <f t="shared" si="23"/>
        <v>1.7654210329055786E-2</v>
      </c>
      <c r="AX15" s="480">
        <f t="shared" si="23"/>
        <v>1.2680210173130035E-2</v>
      </c>
      <c r="AY15" s="480">
        <f t="shared" si="23"/>
        <v>3190.6874492093921</v>
      </c>
      <c r="AZ15" s="480">
        <f t="shared" si="23"/>
        <v>6620.6325642094016</v>
      </c>
      <c r="BA15" s="480">
        <f t="shared" si="23"/>
        <v>10378.65110520646</v>
      </c>
      <c r="BB15" s="480">
        <f t="shared" si="23"/>
        <v>-2973575.513472788</v>
      </c>
      <c r="BC15" s="480">
        <f>BC13-BC14</f>
        <v>11059658.557000216</v>
      </c>
      <c r="BD15" s="480">
        <f>BD13-BD14</f>
        <v>-11661810.919853782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4">U18+1</f>
        <v>201502</v>
      </c>
      <c r="W18" s="482">
        <f t="shared" si="24"/>
        <v>201503</v>
      </c>
      <c r="X18" s="482">
        <f t="shared" si="24"/>
        <v>201504</v>
      </c>
      <c r="Y18" s="482">
        <f t="shared" si="24"/>
        <v>201505</v>
      </c>
      <c r="Z18" s="482">
        <f t="shared" si="24"/>
        <v>201506</v>
      </c>
      <c r="AA18" s="482">
        <f t="shared" si="24"/>
        <v>201507</v>
      </c>
      <c r="AB18" s="482">
        <f t="shared" si="24"/>
        <v>201508</v>
      </c>
      <c r="AC18" s="482">
        <f t="shared" si="24"/>
        <v>201509</v>
      </c>
      <c r="AD18" s="482">
        <f t="shared" si="24"/>
        <v>201510</v>
      </c>
      <c r="AE18" s="482">
        <f>AD18+1</f>
        <v>201511</v>
      </c>
      <c r="AF18" s="482">
        <f t="shared" ref="AF18" si="25">AE18+1</f>
        <v>201512</v>
      </c>
      <c r="AG18" s="482">
        <v>201601</v>
      </c>
      <c r="AH18" s="482">
        <f>AG18+1</f>
        <v>201602</v>
      </c>
      <c r="AI18" s="482">
        <f t="shared" ref="AI18:AR18" si="26">AH18+1</f>
        <v>201603</v>
      </c>
      <c r="AJ18" s="482">
        <f t="shared" si="26"/>
        <v>201604</v>
      </c>
      <c r="AK18" s="482">
        <f t="shared" si="26"/>
        <v>201605</v>
      </c>
      <c r="AL18" s="482">
        <f t="shared" si="26"/>
        <v>201606</v>
      </c>
      <c r="AM18" s="482">
        <f t="shared" si="26"/>
        <v>201607</v>
      </c>
      <c r="AN18" s="482">
        <f t="shared" si="26"/>
        <v>201608</v>
      </c>
      <c r="AO18" s="482">
        <f t="shared" si="26"/>
        <v>201609</v>
      </c>
      <c r="AP18" s="482">
        <f t="shared" si="26"/>
        <v>201610</v>
      </c>
      <c r="AQ18" s="482">
        <f t="shared" si="26"/>
        <v>201611</v>
      </c>
      <c r="AR18" s="482">
        <f t="shared" si="26"/>
        <v>201612</v>
      </c>
      <c r="AS18" s="482">
        <f>AS3</f>
        <v>201701</v>
      </c>
      <c r="AT18" s="482">
        <f>AS18+1</f>
        <v>201702</v>
      </c>
      <c r="AU18" s="482">
        <f t="shared" ref="AU18:BD18" si="27">AT18+1</f>
        <v>201703</v>
      </c>
      <c r="AV18" s="482">
        <f t="shared" si="27"/>
        <v>201704</v>
      </c>
      <c r="AW18" s="482">
        <f t="shared" si="27"/>
        <v>201705</v>
      </c>
      <c r="AX18" s="482">
        <f t="shared" si="27"/>
        <v>201706</v>
      </c>
      <c r="AY18" s="482">
        <f t="shared" si="27"/>
        <v>201707</v>
      </c>
      <c r="AZ18" s="482">
        <f t="shared" si="27"/>
        <v>201708</v>
      </c>
      <c r="BA18" s="482">
        <f t="shared" si="27"/>
        <v>201709</v>
      </c>
      <c r="BB18" s="482">
        <f t="shared" si="27"/>
        <v>201710</v>
      </c>
      <c r="BC18" s="482">
        <f t="shared" si="27"/>
        <v>201711</v>
      </c>
      <c r="BD18" s="482">
        <f t="shared" si="27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620">
        <f>May!$G23</f>
        <v>4941679</v>
      </c>
      <c r="AX19" s="541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8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620">
        <f>May!$G24</f>
        <v>8078</v>
      </c>
      <c r="AX20" s="541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8"/>
        <v>51323965</v>
      </c>
      <c r="D21" s="489">
        <f t="shared" ref="D21:D27" si="29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620">
        <f>May!$G25</f>
        <v>2425238</v>
      </c>
      <c r="AX21" s="541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620"/>
      <c r="AX22" s="541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8"/>
        <v>3609942</v>
      </c>
      <c r="D23" s="489">
        <f t="shared" si="29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620">
        <f>May!$G27</f>
        <v>302382</v>
      </c>
      <c r="AX23" s="541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8"/>
        <v>0</v>
      </c>
      <c r="D24" s="489">
        <f t="shared" si="29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620"/>
      <c r="AX24" s="541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8"/>
        <v>0</v>
      </c>
      <c r="D25" s="489">
        <f t="shared" si="29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620">
        <f>May!$G29</f>
        <v>0</v>
      </c>
      <c r="AX25" s="541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8"/>
        <v>0</v>
      </c>
      <c r="D26" s="489">
        <f t="shared" si="29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620"/>
      <c r="AX26" s="541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8"/>
        <v>35395192</v>
      </c>
      <c r="D27" s="489">
        <f t="shared" si="29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620">
        <f>May!$G31</f>
        <v>2501903</v>
      </c>
      <c r="AX27" s="541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30">SUM(G19:G27)</f>
        <v>24054373</v>
      </c>
      <c r="H28" s="540">
        <f t="shared" si="30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1">SUM(V19:V27)</f>
        <v>21809394</v>
      </c>
      <c r="W28" s="540">
        <f t="shared" si="31"/>
        <v>17454090</v>
      </c>
      <c r="X28" s="540">
        <f t="shared" si="31"/>
        <v>14032685</v>
      </c>
      <c r="Y28" s="540">
        <f t="shared" si="31"/>
        <v>7651890</v>
      </c>
      <c r="Z28" s="540">
        <f t="shared" si="31"/>
        <v>5795038</v>
      </c>
      <c r="AA28" s="540">
        <f t="shared" si="31"/>
        <v>5628267</v>
      </c>
      <c r="AB28" s="540">
        <f t="shared" si="31"/>
        <v>5459507</v>
      </c>
      <c r="AC28" s="540">
        <f t="shared" si="31"/>
        <v>7409442</v>
      </c>
      <c r="AD28" s="540">
        <f t="shared" si="31"/>
        <v>10025335</v>
      </c>
      <c r="AE28" s="540">
        <f t="shared" si="31"/>
        <v>24443601</v>
      </c>
      <c r="AF28" s="540">
        <f t="shared" si="31"/>
        <v>29286544</v>
      </c>
      <c r="AG28" s="540">
        <f>SUM(AG19:AG27)</f>
        <v>40584714</v>
      </c>
      <c r="AH28" s="540">
        <f t="shared" si="31"/>
        <v>30357660</v>
      </c>
      <c r="AI28" s="540">
        <f t="shared" si="31"/>
        <v>23658883</v>
      </c>
      <c r="AJ28" s="540">
        <f t="shared" si="31"/>
        <v>16834972</v>
      </c>
      <c r="AK28" s="540">
        <f t="shared" si="31"/>
        <v>10179280</v>
      </c>
      <c r="AL28" s="540">
        <f>SUM(AL19:AL27)</f>
        <v>7244961</v>
      </c>
      <c r="AM28" s="540">
        <f>SUM(AM19:AM27)</f>
        <v>5938596</v>
      </c>
      <c r="AN28" s="540">
        <f t="shared" si="31"/>
        <v>6177700</v>
      </c>
      <c r="AO28" s="540">
        <f>SUM(AO19:AO27)</f>
        <v>7874888</v>
      </c>
      <c r="AP28" s="540">
        <f t="shared" si="31"/>
        <v>15813981</v>
      </c>
      <c r="AQ28" s="540">
        <f t="shared" si="31"/>
        <v>18553428</v>
      </c>
      <c r="AR28" s="540">
        <f t="shared" si="31"/>
        <v>36861159</v>
      </c>
      <c r="AS28" s="540">
        <f>SUM(AS19:AS27)</f>
        <v>40584714</v>
      </c>
      <c r="AT28" s="540">
        <f t="shared" ref="AT28:AW28" si="32">SUM(AT19:AT27)</f>
        <v>30357660</v>
      </c>
      <c r="AU28" s="540">
        <f t="shared" si="32"/>
        <v>23658883</v>
      </c>
      <c r="AV28" s="540">
        <f t="shared" si="32"/>
        <v>16834972</v>
      </c>
      <c r="AW28" s="540">
        <f t="shared" si="32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3">SUM(AZ19:AZ27)</f>
        <v>6177700</v>
      </c>
      <c r="BA28" s="540">
        <f>SUM(BA19:BA27)</f>
        <v>4727652</v>
      </c>
      <c r="BB28" s="540">
        <f t="shared" ref="BB28:BD28" si="34">SUM(BB19:BB27)</f>
        <v>6978145</v>
      </c>
      <c r="BC28" s="540">
        <f t="shared" si="34"/>
        <v>7201032</v>
      </c>
      <c r="BD28" s="540">
        <f t="shared" si="34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10179280</v>
      </c>
      <c r="AX29" s="489">
        <v>6819717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5">U31+1</f>
        <v>201502</v>
      </c>
      <c r="W31" s="482">
        <f t="shared" si="35"/>
        <v>201503</v>
      </c>
      <c r="X31" s="482">
        <f t="shared" si="35"/>
        <v>201504</v>
      </c>
      <c r="Y31" s="482">
        <f t="shared" si="35"/>
        <v>201505</v>
      </c>
      <c r="Z31" s="482">
        <f t="shared" si="35"/>
        <v>201506</v>
      </c>
      <c r="AA31" s="482">
        <f t="shared" si="35"/>
        <v>201507</v>
      </c>
      <c r="AB31" s="482">
        <f t="shared" si="35"/>
        <v>201508</v>
      </c>
      <c r="AC31" s="482">
        <f t="shared" si="35"/>
        <v>201509</v>
      </c>
      <c r="AD31" s="482">
        <f t="shared" si="35"/>
        <v>201510</v>
      </c>
      <c r="AE31" s="482">
        <f>AD31+1</f>
        <v>201511</v>
      </c>
      <c r="AF31" s="482">
        <f t="shared" ref="AF31" si="36">AE31+1</f>
        <v>201512</v>
      </c>
      <c r="AG31" s="482">
        <v>201601</v>
      </c>
      <c r="AH31" s="482">
        <f>AG31+1</f>
        <v>201602</v>
      </c>
      <c r="AI31" s="482">
        <f t="shared" ref="AI31:AR31" si="37">AH31+1</f>
        <v>201603</v>
      </c>
      <c r="AJ31" s="482">
        <f t="shared" si="37"/>
        <v>201604</v>
      </c>
      <c r="AK31" s="482">
        <f t="shared" si="37"/>
        <v>201605</v>
      </c>
      <c r="AL31" s="482">
        <f t="shared" si="37"/>
        <v>201606</v>
      </c>
      <c r="AM31" s="482">
        <f t="shared" si="37"/>
        <v>201607</v>
      </c>
      <c r="AN31" s="482">
        <f t="shared" si="37"/>
        <v>201608</v>
      </c>
      <c r="AO31" s="482">
        <f t="shared" si="37"/>
        <v>201609</v>
      </c>
      <c r="AP31" s="482">
        <f t="shared" si="37"/>
        <v>201610</v>
      </c>
      <c r="AQ31" s="482">
        <f t="shared" si="37"/>
        <v>201611</v>
      </c>
      <c r="AR31" s="482">
        <f t="shared" si="37"/>
        <v>201612</v>
      </c>
      <c r="AS31" s="482">
        <f>AS3</f>
        <v>201701</v>
      </c>
      <c r="AT31" s="482">
        <f>AS31+1</f>
        <v>201702</v>
      </c>
      <c r="AU31" s="482">
        <f t="shared" ref="AU31:BD31" si="38">AT31+1</f>
        <v>201703</v>
      </c>
      <c r="AV31" s="482">
        <f t="shared" si="38"/>
        <v>201704</v>
      </c>
      <c r="AW31" s="482">
        <f t="shared" si="38"/>
        <v>201705</v>
      </c>
      <c r="AX31" s="482">
        <f t="shared" si="38"/>
        <v>201706</v>
      </c>
      <c r="AY31" s="482">
        <f t="shared" si="38"/>
        <v>201707</v>
      </c>
      <c r="AZ31" s="482">
        <f t="shared" si="38"/>
        <v>201708</v>
      </c>
      <c r="BA31" s="482">
        <f t="shared" si="38"/>
        <v>201709</v>
      </c>
      <c r="BB31" s="482">
        <f t="shared" si="38"/>
        <v>201710</v>
      </c>
      <c r="BC31" s="482">
        <f t="shared" si="38"/>
        <v>201711</v>
      </c>
      <c r="BD31" s="482">
        <f t="shared" si="38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6">
        <v>9.1740000000000002E-2</v>
      </c>
      <c r="AX32" s="612">
        <v>2.571E-2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6">
        <v>9.1740000000000002E-2</v>
      </c>
      <c r="AX33" s="612">
        <v>2.571E-2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6">
        <v>7.2489999999999999E-2</v>
      </c>
      <c r="AX34" s="612">
        <v>1.372E-2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6"/>
      <c r="AX35" s="612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6">
        <v>4.4479999999999999E-2</v>
      </c>
      <c r="AX36" s="612">
        <v>-5.2900000000000004E-3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6"/>
      <c r="AX37" s="612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6">
        <v>8.8340000000000002E-2</v>
      </c>
      <c r="AX38" s="612">
        <v>1.635E-2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6"/>
      <c r="AX39" s="612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2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201705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9">U42+1</f>
        <v>201502</v>
      </c>
      <c r="W42" s="482">
        <f t="shared" si="39"/>
        <v>201503</v>
      </c>
      <c r="X42" s="482">
        <f t="shared" si="39"/>
        <v>201504</v>
      </c>
      <c r="Y42" s="482">
        <f t="shared" si="39"/>
        <v>201505</v>
      </c>
      <c r="Z42" s="482">
        <f t="shared" si="39"/>
        <v>201506</v>
      </c>
      <c r="AA42" s="482">
        <f t="shared" si="39"/>
        <v>201507</v>
      </c>
      <c r="AB42" s="482">
        <f t="shared" si="39"/>
        <v>201508</v>
      </c>
      <c r="AC42" s="482">
        <f t="shared" si="39"/>
        <v>201509</v>
      </c>
      <c r="AD42" s="482">
        <f t="shared" si="39"/>
        <v>201510</v>
      </c>
      <c r="AE42" s="482">
        <f>AD42+1</f>
        <v>201511</v>
      </c>
      <c r="AF42" s="482">
        <f t="shared" ref="AF42" si="40">AE42+1</f>
        <v>201512</v>
      </c>
      <c r="AG42" s="482">
        <v>201601</v>
      </c>
      <c r="AH42" s="482">
        <f>AG42+1</f>
        <v>201602</v>
      </c>
      <c r="AI42" s="482">
        <f t="shared" ref="AI42:AR42" si="41">AH42+1</f>
        <v>201603</v>
      </c>
      <c r="AJ42" s="482">
        <f t="shared" si="41"/>
        <v>201604</v>
      </c>
      <c r="AK42" s="482">
        <f t="shared" si="41"/>
        <v>201605</v>
      </c>
      <c r="AL42" s="482">
        <f t="shared" si="41"/>
        <v>201606</v>
      </c>
      <c r="AM42" s="482">
        <f t="shared" si="41"/>
        <v>201607</v>
      </c>
      <c r="AN42" s="482">
        <f t="shared" si="41"/>
        <v>201608</v>
      </c>
      <c r="AO42" s="482">
        <f t="shared" si="41"/>
        <v>201609</v>
      </c>
      <c r="AP42" s="482">
        <f t="shared" si="41"/>
        <v>201610</v>
      </c>
      <c r="AQ42" s="482">
        <f t="shared" si="41"/>
        <v>201611</v>
      </c>
      <c r="AR42" s="482">
        <f t="shared" si="41"/>
        <v>201612</v>
      </c>
      <c r="AS42" s="482">
        <f>AS3</f>
        <v>201701</v>
      </c>
      <c r="AT42" s="482">
        <f>AS42+1</f>
        <v>201702</v>
      </c>
      <c r="AU42" s="482">
        <f t="shared" ref="AU42:BD42" si="42">AT42+1</f>
        <v>201703</v>
      </c>
      <c r="AV42" s="482">
        <f t="shared" si="42"/>
        <v>201704</v>
      </c>
      <c r="AW42" s="482">
        <f t="shared" si="42"/>
        <v>201705</v>
      </c>
      <c r="AX42" s="482">
        <f t="shared" si="42"/>
        <v>201706</v>
      </c>
      <c r="AY42" s="482">
        <f t="shared" si="42"/>
        <v>201707</v>
      </c>
      <c r="AZ42" s="482">
        <f t="shared" si="42"/>
        <v>201708</v>
      </c>
      <c r="BA42" s="482">
        <f t="shared" si="42"/>
        <v>201709</v>
      </c>
      <c r="BB42" s="482">
        <f t="shared" si="42"/>
        <v>201710</v>
      </c>
      <c r="BC42" s="482">
        <f t="shared" si="42"/>
        <v>201711</v>
      </c>
      <c r="BD42" s="482">
        <f t="shared" si="42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4160.873319198643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617">
        <v>3.7100000000000001E-2</v>
      </c>
      <c r="AX43" s="486"/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639185.28784080141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3">AE49</f>
        <v>-2966848.8846008489</v>
      </c>
      <c r="AG44" s="480">
        <f t="shared" si="43"/>
        <v>-2400830.7877258095</v>
      </c>
      <c r="AH44" s="480">
        <f t="shared" si="43"/>
        <v>-1799942.4443073752</v>
      </c>
      <c r="AI44" s="480">
        <f t="shared" si="43"/>
        <v>-1367080.388300563</v>
      </c>
      <c r="AJ44" s="480">
        <f t="shared" si="43"/>
        <v>-991269.16134300514</v>
      </c>
      <c r="AK44" s="480">
        <f t="shared" si="43"/>
        <v>-820633.96798459429</v>
      </c>
      <c r="AL44" s="480">
        <f>AK49</f>
        <v>-706831.28344430251</v>
      </c>
      <c r="AM44" s="480">
        <f t="shared" ref="AM44:AT44" si="44">AL49</f>
        <v>-615740.82707996247</v>
      </c>
      <c r="AN44" s="480">
        <f t="shared" si="44"/>
        <v>-539081.43298013532</v>
      </c>
      <c r="AO44" s="480">
        <f t="shared" si="44"/>
        <v>-459570.5002163836</v>
      </c>
      <c r="AP44" s="480">
        <f t="shared" si="44"/>
        <v>-353667.8760235564</v>
      </c>
      <c r="AQ44" s="558">
        <f t="shared" si="44"/>
        <v>-123445.19123732927</v>
      </c>
      <c r="AR44" s="480">
        <f t="shared" si="44"/>
        <v>-12794629.54065969</v>
      </c>
      <c r="AS44" s="480">
        <f t="shared" si="44"/>
        <v>-9990002.7430699486</v>
      </c>
      <c r="AT44" s="480">
        <f t="shared" si="44"/>
        <v>-6863930.3518781429</v>
      </c>
      <c r="AU44" s="480">
        <f>AT49</f>
        <v>-4576506.6383892084</v>
      </c>
      <c r="AV44" s="480">
        <f t="shared" ref="AV44:AW44" si="45">AU49</f>
        <v>-2850780.7220049934</v>
      </c>
      <c r="AW44" s="558">
        <f t="shared" si="45"/>
        <v>-1667508.1164393995</v>
      </c>
      <c r="AX44" s="480">
        <f>AW49</f>
        <v>-1028322.8285985981</v>
      </c>
      <c r="AY44" s="480">
        <f t="shared" ref="AY44:AZ44" si="46">AX49</f>
        <v>-938630.98606859811</v>
      </c>
      <c r="AZ44" s="480">
        <f t="shared" si="46"/>
        <v>-866940.78425859811</v>
      </c>
      <c r="BA44" s="480">
        <f>AZ49</f>
        <v>-794842.24426859815</v>
      </c>
      <c r="BB44" s="480">
        <f>BA49</f>
        <v>-766877.2385285981</v>
      </c>
      <c r="BC44" s="558">
        <f>BB49</f>
        <v>-718030.99090859806</v>
      </c>
      <c r="BD44" s="480">
        <f>BC49</f>
        <v>-13349751.6809086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643346.16116000002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 t="shared" ref="AS45:AZ45" si="47">SUMPRODUCT(AS19:AS27,AS32:AS40)</f>
        <v>3150615.2519499999</v>
      </c>
      <c r="AT45" s="480">
        <f t="shared" si="47"/>
        <v>2304083.3887400003</v>
      </c>
      <c r="AU45" s="480">
        <f t="shared" si="47"/>
        <v>1736541.60424</v>
      </c>
      <c r="AV45" s="480">
        <f t="shared" si="47"/>
        <v>1190246.3468200001</v>
      </c>
      <c r="AW45" s="480">
        <f t="shared" si="47"/>
        <v>643346.16116000002</v>
      </c>
      <c r="AX45" s="480">
        <f t="shared" si="47"/>
        <v>89691.842529999994</v>
      </c>
      <c r="AY45" s="480">
        <f t="shared" si="47"/>
        <v>71690.201809999999</v>
      </c>
      <c r="AZ45" s="480">
        <f t="shared" si="47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8">BH43</f>
        <v>GD</v>
      </c>
      <c r="BI45" s="208" t="str">
        <f t="shared" si="48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49">SUM(AG46:AR46)</f>
        <v>-97522.093694136056</v>
      </c>
      <c r="D46" s="492">
        <f t="shared" ref="D46" si="50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V46" si="51">((AQ44+AQ47)*(AQ43/12))+(((AQ45+AQ48)/2)*(AQ43/12))</f>
        <v>-39463.659422358884</v>
      </c>
      <c r="AR46" s="487">
        <f t="shared" si="51"/>
        <v>-33179.202410257429</v>
      </c>
      <c r="AS46" s="487">
        <f t="shared" si="51"/>
        <v>-24542.860758193601</v>
      </c>
      <c r="AT46" s="487">
        <f t="shared" si="51"/>
        <v>-16659.675251065419</v>
      </c>
      <c r="AU46" s="487">
        <f t="shared" si="51"/>
        <v>-10815.687855785192</v>
      </c>
      <c r="AV46" s="487">
        <f t="shared" si="51"/>
        <v>-6973.7412544061872</v>
      </c>
      <c r="AW46" s="487">
        <f>((AW44+AW47)*(AW43/12))+(((AW45+AW48)/2)*(AW43/12))</f>
        <v>-4160.873319198643</v>
      </c>
      <c r="AX46" s="487">
        <f t="shared" ref="AX46:AY46" si="52">((AX44+AX47)*(AX43/12))+(((AX45+AX48)/2)*(AX43/12))</f>
        <v>0</v>
      </c>
      <c r="AY46" s="487">
        <f t="shared" si="52"/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8"/>
        <v>GD</v>
      </c>
      <c r="BI46" s="556" t="str">
        <f t="shared" si="48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49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49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3">SUM(F44:F48)</f>
        <v>404885.58467682183</v>
      </c>
      <c r="G49" s="539">
        <f t="shared" si="53"/>
        <v>1486369.5928734979</v>
      </c>
      <c r="H49" s="539">
        <f t="shared" si="53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4">SUM(V44:V48)</f>
        <v>-978605.01769356499</v>
      </c>
      <c r="W49" s="539">
        <f t="shared" si="54"/>
        <v>-801445.32791263924</v>
      </c>
      <c r="X49" s="539">
        <f t="shared" si="54"/>
        <v>-669275.24177190254</v>
      </c>
      <c r="Y49" s="539">
        <f t="shared" si="54"/>
        <v>-610882.24266902648</v>
      </c>
      <c r="Z49" s="539">
        <f t="shared" si="54"/>
        <v>-574943.04011245095</v>
      </c>
      <c r="AA49" s="539">
        <f t="shared" si="54"/>
        <v>-537511.27700320142</v>
      </c>
      <c r="AB49" s="539">
        <f t="shared" si="54"/>
        <v>-503286.03358886426</v>
      </c>
      <c r="AC49" s="539">
        <f t="shared" si="54"/>
        <v>-446057.56644618412</v>
      </c>
      <c r="AD49" s="539">
        <f t="shared" si="54"/>
        <v>-360318.05653003836</v>
      </c>
      <c r="AE49" s="539">
        <f t="shared" si="54"/>
        <v>-2966848.8846008489</v>
      </c>
      <c r="AF49" s="539">
        <f t="shared" si="54"/>
        <v>-2400830.7877258095</v>
      </c>
      <c r="AG49" s="539">
        <f t="shared" si="54"/>
        <v>-1799942.4443073752</v>
      </c>
      <c r="AH49" s="539">
        <f t="shared" si="54"/>
        <v>-1367080.388300563</v>
      </c>
      <c r="AI49" s="539">
        <f t="shared" si="54"/>
        <v>-991269.16134300514</v>
      </c>
      <c r="AJ49" s="539">
        <f t="shared" si="54"/>
        <v>-820633.96798459429</v>
      </c>
      <c r="AK49" s="539">
        <f t="shared" si="54"/>
        <v>-706831.28344430251</v>
      </c>
      <c r="AL49" s="539">
        <f t="shared" si="54"/>
        <v>-615740.82707996247</v>
      </c>
      <c r="AM49" s="539">
        <f>SUM(AM44:AM48)</f>
        <v>-539081.43298013532</v>
      </c>
      <c r="AN49" s="539">
        <f t="shared" si="54"/>
        <v>-459570.5002163836</v>
      </c>
      <c r="AO49" s="539">
        <f t="shared" si="54"/>
        <v>-353667.8760235564</v>
      </c>
      <c r="AP49" s="539">
        <f t="shared" si="54"/>
        <v>-123445.19123732927</v>
      </c>
      <c r="AQ49" s="539">
        <f>SUM(AQ44:AQ48)</f>
        <v>-12794629.54065969</v>
      </c>
      <c r="AR49" s="539">
        <f t="shared" si="54"/>
        <v>-9990002.7430699486</v>
      </c>
      <c r="AS49" s="539">
        <f>SUM(AS44:AS48)</f>
        <v>-6863930.3518781429</v>
      </c>
      <c r="AT49" s="539">
        <f t="shared" ref="AT49:AX49" si="55">SUM(AT44:AT48)</f>
        <v>-4576506.6383892084</v>
      </c>
      <c r="AU49" s="539">
        <f>SUM(AU44:AU48)</f>
        <v>-2850780.7220049934</v>
      </c>
      <c r="AV49" s="539">
        <f t="shared" si="55"/>
        <v>-1667508.1164393995</v>
      </c>
      <c r="AW49" s="539">
        <f t="shared" si="55"/>
        <v>-1028322.8285985981</v>
      </c>
      <c r="AX49" s="539">
        <f t="shared" si="55"/>
        <v>-938630.98606859811</v>
      </c>
      <c r="AY49" s="539">
        <f>SUM(AY44:AY48)</f>
        <v>-866940.78425859811</v>
      </c>
      <c r="AZ49" s="539">
        <f t="shared" ref="AZ49:BB49" si="56">SUM(AZ44:AZ48)</f>
        <v>-794842.24426859815</v>
      </c>
      <c r="BA49" s="539">
        <f t="shared" si="56"/>
        <v>-766877.2385285981</v>
      </c>
      <c r="BB49" s="539">
        <f t="shared" si="56"/>
        <v>-718030.99090859806</v>
      </c>
      <c r="BC49" s="539">
        <f>SUM(BC44:BC48)</f>
        <v>-13349751.6809086</v>
      </c>
      <c r="BD49" s="539">
        <f t="shared" ref="BD49" si="57">SUM(BD44:BD48)</f>
        <v>-10511945.6809086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8">E49-E50</f>
        <v>-0.22028744451381499</v>
      </c>
      <c r="F51" s="480">
        <f t="shared" si="58"/>
        <v>-0.22532317816512659</v>
      </c>
      <c r="G51" s="480">
        <f t="shared" si="58"/>
        <v>-0.22712650219909847</v>
      </c>
      <c r="H51" s="480">
        <f t="shared" si="58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59">V49-V50</f>
        <v>-0.21769356494769454</v>
      </c>
      <c r="W51" s="480">
        <f t="shared" si="59"/>
        <v>-0.21791263925842941</v>
      </c>
      <c r="X51" s="480">
        <f t="shared" si="59"/>
        <v>-0.22177190252114087</v>
      </c>
      <c r="Y51" s="480">
        <f t="shared" si="59"/>
        <v>-0.22266902646515518</v>
      </c>
      <c r="Z51" s="480">
        <f t="shared" si="59"/>
        <v>-0.22011245100293308</v>
      </c>
      <c r="AA51" s="480">
        <f t="shared" si="59"/>
        <v>-0.21700320136733353</v>
      </c>
      <c r="AB51" s="480">
        <f t="shared" si="59"/>
        <v>-0.21358886425150558</v>
      </c>
      <c r="AC51" s="480">
        <f t="shared" si="59"/>
        <v>-0.21644618414575234</v>
      </c>
      <c r="AD51" s="480">
        <f t="shared" si="59"/>
        <v>-0.21653003833489493</v>
      </c>
      <c r="AE51" s="480">
        <f t="shared" si="59"/>
        <v>-0.21460084896534681</v>
      </c>
      <c r="AF51" s="480">
        <f t="shared" si="59"/>
        <v>-0.21772580966353416</v>
      </c>
      <c r="AG51" s="480">
        <f t="shared" si="59"/>
        <v>-0.22430737526156008</v>
      </c>
      <c r="AH51" s="480">
        <f t="shared" si="59"/>
        <v>-0.21830056305043399</v>
      </c>
      <c r="AI51" s="480">
        <f t="shared" si="59"/>
        <v>-0.22134300519246608</v>
      </c>
      <c r="AJ51" s="480">
        <f t="shared" si="59"/>
        <v>-0.2179845942882821</v>
      </c>
      <c r="AK51" s="480">
        <f>AK49-AK50</f>
        <v>-0.21344430255703628</v>
      </c>
      <c r="AL51" s="480">
        <f t="shared" si="59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59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0">AT49-AT50</f>
        <v>-0.20838920865207911</v>
      </c>
      <c r="AU51" s="480">
        <f>AU49-AU50</f>
        <v>-0.21200499357655644</v>
      </c>
      <c r="AV51" s="480">
        <f t="shared" si="60"/>
        <v>-0.21643939963541925</v>
      </c>
      <c r="AW51" s="480">
        <f>AW49-AW50</f>
        <v>-0.21859859814867377</v>
      </c>
      <c r="AX51" s="480">
        <f t="shared" ref="AX51" si="61">AX49-AX50</f>
        <v>-290282.50606859813</v>
      </c>
      <c r="AY51" s="480">
        <f>AY49-AY50</f>
        <v>-524210.66425859812</v>
      </c>
      <c r="AZ51" s="480">
        <f>AZ49-AZ50</f>
        <v>-761693.22426859813</v>
      </c>
      <c r="BA51" s="480">
        <f t="shared" ref="BA51" si="62">BA49-BA50</f>
        <v>-1195934.8385285982</v>
      </c>
      <c r="BB51" s="480">
        <f>BB49-BB50</f>
        <v>-1147088.5909085982</v>
      </c>
      <c r="BC51" s="480">
        <f>BC49-BC50</f>
        <v>-13778809.280908599</v>
      </c>
      <c r="BD51" s="480">
        <f>BD49-BD50</f>
        <v>-10511945.6809086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3">U54+1</f>
        <v>201502</v>
      </c>
      <c r="W54" s="482">
        <f t="shared" si="63"/>
        <v>201503</v>
      </c>
      <c r="X54" s="482">
        <f t="shared" si="63"/>
        <v>201504</v>
      </c>
      <c r="Y54" s="482">
        <f t="shared" si="63"/>
        <v>201505</v>
      </c>
      <c r="Z54" s="482">
        <f t="shared" si="63"/>
        <v>201506</v>
      </c>
      <c r="AA54" s="482">
        <f t="shared" si="63"/>
        <v>201507</v>
      </c>
      <c r="AB54" s="482">
        <f t="shared" si="63"/>
        <v>201508</v>
      </c>
      <c r="AC54" s="482">
        <f t="shared" si="63"/>
        <v>201509</v>
      </c>
      <c r="AD54" s="482">
        <f t="shared" si="63"/>
        <v>201510</v>
      </c>
      <c r="AE54" s="482">
        <f>AD54+1</f>
        <v>201511</v>
      </c>
      <c r="AF54" s="482">
        <f t="shared" ref="AF54" si="64">AE54+1</f>
        <v>201512</v>
      </c>
      <c r="AG54" s="482">
        <v>201601</v>
      </c>
      <c r="AH54" s="482">
        <f>AG54+1</f>
        <v>201602</v>
      </c>
      <c r="AI54" s="482">
        <f t="shared" ref="AI54:AR54" si="65">AH54+1</f>
        <v>201603</v>
      </c>
      <c r="AJ54" s="482">
        <f t="shared" si="65"/>
        <v>201604</v>
      </c>
      <c r="AK54" s="482">
        <f t="shared" si="65"/>
        <v>201605</v>
      </c>
      <c r="AL54" s="482">
        <f t="shared" si="65"/>
        <v>201606</v>
      </c>
      <c r="AM54" s="482">
        <f t="shared" si="65"/>
        <v>201607</v>
      </c>
      <c r="AN54" s="482">
        <f t="shared" si="65"/>
        <v>201608</v>
      </c>
      <c r="AO54" s="482">
        <f t="shared" si="65"/>
        <v>201609</v>
      </c>
      <c r="AP54" s="482">
        <f t="shared" si="65"/>
        <v>201610</v>
      </c>
      <c r="AQ54" s="482">
        <f t="shared" si="65"/>
        <v>201611</v>
      </c>
      <c r="AR54" s="482">
        <f t="shared" si="65"/>
        <v>201612</v>
      </c>
      <c r="AS54" s="482">
        <f>AS3</f>
        <v>201701</v>
      </c>
      <c r="AT54" s="482">
        <f>AS54+1</f>
        <v>201702</v>
      </c>
      <c r="AU54" s="482">
        <f t="shared" ref="AU54:BD54" si="66">AT54+1</f>
        <v>201703</v>
      </c>
      <c r="AV54" s="482">
        <f t="shared" si="66"/>
        <v>201704</v>
      </c>
      <c r="AW54" s="482">
        <f t="shared" si="66"/>
        <v>201705</v>
      </c>
      <c r="AX54" s="482">
        <f t="shared" si="66"/>
        <v>201706</v>
      </c>
      <c r="AY54" s="482">
        <f t="shared" si="66"/>
        <v>201707</v>
      </c>
      <c r="AZ54" s="482">
        <f t="shared" si="66"/>
        <v>201708</v>
      </c>
      <c r="BA54" s="482">
        <f t="shared" si="66"/>
        <v>201709</v>
      </c>
      <c r="BB54" s="482">
        <f t="shared" si="66"/>
        <v>201710</v>
      </c>
      <c r="BC54" s="482">
        <f t="shared" si="66"/>
        <v>201711</v>
      </c>
      <c r="BD54" s="482">
        <f t="shared" si="66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620">
        <f>May!$G23</f>
        <v>4941679</v>
      </c>
      <c r="AX55" s="541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7">SUM(AG56:AR56)</f>
        <v>197284</v>
      </c>
      <c r="D56" s="489">
        <f t="shared" ref="D56:D63" si="68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620">
        <f>May!$G24</f>
        <v>8078</v>
      </c>
      <c r="AX56" s="541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7"/>
        <v>51323965</v>
      </c>
      <c r="D57" s="489">
        <f t="shared" si="68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620">
        <f>May!$G25</f>
        <v>2425238</v>
      </c>
      <c r="AX57" s="541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7"/>
        <v>0</v>
      </c>
      <c r="D58" s="489">
        <f t="shared" si="68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620">
        <f>May!$G26</f>
        <v>0</v>
      </c>
      <c r="AX58" s="541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7"/>
        <v>3609942</v>
      </c>
      <c r="D59" s="489">
        <f t="shared" si="68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620">
        <f>May!$G27</f>
        <v>302382</v>
      </c>
      <c r="AX59" s="541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7"/>
        <v>506146</v>
      </c>
      <c r="D60" s="489">
        <f t="shared" si="68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620">
        <f>May!$G28</f>
        <v>29064</v>
      </c>
      <c r="AX60" s="541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7"/>
        <v>0</v>
      </c>
      <c r="D61" s="489">
        <f t="shared" si="68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620">
        <f>May!$G29</f>
        <v>0</v>
      </c>
      <c r="AX61" s="541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7"/>
        <v>970005</v>
      </c>
      <c r="D62" s="489">
        <f t="shared" si="68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620">
        <f>May!$G30</f>
        <v>71877</v>
      </c>
      <c r="AX62" s="541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7"/>
        <v>35395192</v>
      </c>
      <c r="D63" s="489">
        <f t="shared" si="68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620">
        <f>May!$G31</f>
        <v>2501903</v>
      </c>
      <c r="AX63" s="541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69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0">SUM(G55:G63)</f>
        <v>24248041</v>
      </c>
      <c r="H64" s="540">
        <f t="shared" si="70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1">SUM(V55:V63)</f>
        <v>22001617</v>
      </c>
      <c r="W64" s="540">
        <f t="shared" si="71"/>
        <v>17611817</v>
      </c>
      <c r="X64" s="540">
        <f t="shared" si="71"/>
        <v>14163392</v>
      </c>
      <c r="Y64" s="540">
        <f t="shared" si="71"/>
        <v>7782410</v>
      </c>
      <c r="Z64" s="540">
        <f t="shared" si="71"/>
        <v>5881684</v>
      </c>
      <c r="AA64" s="540">
        <f t="shared" si="71"/>
        <v>5669948</v>
      </c>
      <c r="AB64" s="540">
        <f t="shared" si="71"/>
        <v>5554978</v>
      </c>
      <c r="AC64" s="540">
        <f t="shared" si="71"/>
        <v>7484702</v>
      </c>
      <c r="AD64" s="540">
        <f t="shared" si="71"/>
        <v>10158046</v>
      </c>
      <c r="AE64" s="540">
        <f t="shared" si="71"/>
        <v>24566038</v>
      </c>
      <c r="AF64" s="540">
        <f t="shared" si="71"/>
        <v>29412416</v>
      </c>
      <c r="AG64" s="540">
        <f t="shared" si="71"/>
        <v>40809304</v>
      </c>
      <c r="AH64" s="540">
        <f t="shared" si="71"/>
        <v>30544975</v>
      </c>
      <c r="AI64" s="540">
        <f t="shared" si="71"/>
        <v>23815117</v>
      </c>
      <c r="AJ64" s="540">
        <f t="shared" si="71"/>
        <v>16958956</v>
      </c>
      <c r="AK64" s="540">
        <f t="shared" si="71"/>
        <v>10280221</v>
      </c>
      <c r="AL64" s="540">
        <f t="shared" si="71"/>
        <v>7316509</v>
      </c>
      <c r="AM64" s="540">
        <f>SUM(AM55:AM63)</f>
        <v>6050612</v>
      </c>
      <c r="AN64" s="540">
        <f t="shared" si="71"/>
        <v>6226148</v>
      </c>
      <c r="AO64" s="540">
        <f t="shared" si="71"/>
        <v>7933229</v>
      </c>
      <c r="AP64" s="540">
        <f>SUM(AP55:AP63)</f>
        <v>15888438</v>
      </c>
      <c r="AQ64" s="540">
        <f t="shared" si="71"/>
        <v>18689959</v>
      </c>
      <c r="AR64" s="540">
        <f t="shared" si="71"/>
        <v>37042905</v>
      </c>
      <c r="AS64" s="540">
        <f t="shared" si="71"/>
        <v>40809304</v>
      </c>
      <c r="AT64" s="540">
        <f t="shared" si="71"/>
        <v>30544975</v>
      </c>
      <c r="AU64" s="540">
        <f t="shared" si="71"/>
        <v>23815117</v>
      </c>
      <c r="AV64" s="540">
        <f t="shared" si="71"/>
        <v>16958956</v>
      </c>
      <c r="AW64" s="540">
        <f t="shared" si="71"/>
        <v>10280221</v>
      </c>
      <c r="AX64" s="540">
        <f t="shared" si="71"/>
        <v>7316509</v>
      </c>
      <c r="AY64" s="540">
        <f>SUM(AY55:AY63)</f>
        <v>6050612</v>
      </c>
      <c r="AZ64" s="540">
        <f t="shared" ref="AZ64:BA64" si="72">SUM(AZ55:AZ63)</f>
        <v>6226148</v>
      </c>
      <c r="BA64" s="540">
        <f t="shared" si="72"/>
        <v>7933229</v>
      </c>
      <c r="BB64" s="540">
        <f>SUM(BB55:BB63)</f>
        <v>15888438</v>
      </c>
      <c r="BC64" s="540">
        <f t="shared" ref="BC64:BD64" si="73">SUM(BC55:BC63)</f>
        <v>18689959</v>
      </c>
      <c r="BD64" s="540">
        <f t="shared" si="73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69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621">
        <v>10280221</v>
      </c>
      <c r="AX65" s="489">
        <v>6906569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4">U67+1</f>
        <v>201502</v>
      </c>
      <c r="W67" s="482">
        <f t="shared" si="74"/>
        <v>201503</v>
      </c>
      <c r="X67" s="482">
        <f t="shared" si="74"/>
        <v>201504</v>
      </c>
      <c r="Y67" s="482">
        <f t="shared" si="74"/>
        <v>201505</v>
      </c>
      <c r="Z67" s="482">
        <f t="shared" si="74"/>
        <v>201506</v>
      </c>
      <c r="AA67" s="482">
        <f t="shared" si="74"/>
        <v>201507</v>
      </c>
      <c r="AB67" s="482">
        <f t="shared" si="74"/>
        <v>201508</v>
      </c>
      <c r="AC67" s="482">
        <f t="shared" si="74"/>
        <v>201509</v>
      </c>
      <c r="AD67" s="482">
        <f t="shared" si="74"/>
        <v>201510</v>
      </c>
      <c r="AE67" s="482">
        <f>AD67+1</f>
        <v>201511</v>
      </c>
      <c r="AF67" s="482">
        <f t="shared" ref="AF67" si="75">AE67+1</f>
        <v>201512</v>
      </c>
      <c r="AG67" s="482">
        <v>201601</v>
      </c>
      <c r="AH67" s="482">
        <f>AG67+1</f>
        <v>201602</v>
      </c>
      <c r="AI67" s="482">
        <f t="shared" ref="AI67:AR67" si="76">AH67+1</f>
        <v>201603</v>
      </c>
      <c r="AJ67" s="482">
        <f t="shared" si="76"/>
        <v>201604</v>
      </c>
      <c r="AK67" s="482">
        <f t="shared" si="76"/>
        <v>201605</v>
      </c>
      <c r="AL67" s="482">
        <f t="shared" si="76"/>
        <v>201606</v>
      </c>
      <c r="AM67" s="482">
        <f t="shared" si="76"/>
        <v>201607</v>
      </c>
      <c r="AN67" s="482">
        <f t="shared" si="76"/>
        <v>201608</v>
      </c>
      <c r="AO67" s="482">
        <f t="shared" si="76"/>
        <v>201609</v>
      </c>
      <c r="AP67" s="482">
        <f t="shared" si="76"/>
        <v>201610</v>
      </c>
      <c r="AQ67" s="482">
        <f t="shared" si="76"/>
        <v>201611</v>
      </c>
      <c r="AR67" s="482">
        <f t="shared" si="76"/>
        <v>201612</v>
      </c>
      <c r="AS67" s="482">
        <f>AS3</f>
        <v>201701</v>
      </c>
      <c r="AT67" s="482">
        <f>AS67+1</f>
        <v>201702</v>
      </c>
      <c r="AU67" s="482">
        <f t="shared" ref="AU67:BD67" si="77">AT67+1</f>
        <v>201703</v>
      </c>
      <c r="AV67" s="482">
        <f t="shared" si="77"/>
        <v>201704</v>
      </c>
      <c r="AW67" s="482">
        <f t="shared" si="77"/>
        <v>201705</v>
      </c>
      <c r="AX67" s="482">
        <f t="shared" si="77"/>
        <v>201706</v>
      </c>
      <c r="AY67" s="482">
        <f t="shared" si="77"/>
        <v>201707</v>
      </c>
      <c r="AZ67" s="482">
        <f t="shared" si="77"/>
        <v>201708</v>
      </c>
      <c r="BA67" s="482">
        <f t="shared" si="77"/>
        <v>201709</v>
      </c>
      <c r="BB67" s="482">
        <f t="shared" si="77"/>
        <v>201710</v>
      </c>
      <c r="BC67" s="482">
        <f t="shared" si="77"/>
        <v>201711</v>
      </c>
      <c r="BD67" s="482">
        <f t="shared" si="77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6">
        <v>1.0000000000000001E-5</v>
      </c>
      <c r="AX68" s="612">
        <v>1.2999999999999999E-4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6">
        <v>1.0000000000000001E-5</v>
      </c>
      <c r="AX69" s="612">
        <v>1.2999999999999999E-4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6">
        <v>1.0000000000000001E-5</v>
      </c>
      <c r="AX70" s="612">
        <v>1.2999999999999999E-4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6">
        <v>1.0000000000000001E-5</v>
      </c>
      <c r="AX71" s="612">
        <v>1.2999999999999999E-4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6">
        <v>1.0000000000000001E-5</v>
      </c>
      <c r="AX72" s="612">
        <v>1.2999999999999999E-4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6">
        <v>1.0000000000000001E-5</v>
      </c>
      <c r="AX73" s="612">
        <v>1.2999999999999999E-4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6">
        <v>1.0000000000000001E-5</v>
      </c>
      <c r="AX74" s="612">
        <v>1.2999999999999999E-4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6">
        <v>1.0000000000000001E-5</v>
      </c>
      <c r="AX75" s="612">
        <v>1.2999999999999999E-4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201705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6">
        <v>0</v>
      </c>
      <c r="AX76" s="612">
        <v>2.0000000000000002E-5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77.783180000000016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77.783180000000016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8">U78+1</f>
        <v>201502</v>
      </c>
      <c r="W78" s="482">
        <f t="shared" si="78"/>
        <v>201503</v>
      </c>
      <c r="X78" s="482">
        <f t="shared" si="78"/>
        <v>201504</v>
      </c>
      <c r="Y78" s="482">
        <f t="shared" si="78"/>
        <v>201505</v>
      </c>
      <c r="Z78" s="482">
        <f t="shared" si="78"/>
        <v>201506</v>
      </c>
      <c r="AA78" s="482">
        <f t="shared" si="78"/>
        <v>201507</v>
      </c>
      <c r="AB78" s="482">
        <f t="shared" si="78"/>
        <v>201508</v>
      </c>
      <c r="AC78" s="482">
        <f t="shared" si="78"/>
        <v>201509</v>
      </c>
      <c r="AD78" s="482">
        <f t="shared" si="78"/>
        <v>201510</v>
      </c>
      <c r="AE78" s="482">
        <f>AD78+1</f>
        <v>201511</v>
      </c>
      <c r="AF78" s="482">
        <f t="shared" ref="AF78" si="79">AE78+1</f>
        <v>201512</v>
      </c>
      <c r="AG78" s="482">
        <v>201601</v>
      </c>
      <c r="AH78" s="482">
        <f>AG78+1</f>
        <v>201602</v>
      </c>
      <c r="AI78" s="482">
        <f t="shared" ref="AI78:AR78" si="80">AH78+1</f>
        <v>201603</v>
      </c>
      <c r="AJ78" s="482">
        <f t="shared" si="80"/>
        <v>201604</v>
      </c>
      <c r="AK78" s="482">
        <f t="shared" si="80"/>
        <v>201605</v>
      </c>
      <c r="AL78" s="482">
        <f t="shared" si="80"/>
        <v>201606</v>
      </c>
      <c r="AM78" s="482">
        <f t="shared" si="80"/>
        <v>201607</v>
      </c>
      <c r="AN78" s="482">
        <f t="shared" si="80"/>
        <v>201608</v>
      </c>
      <c r="AO78" s="482">
        <f t="shared" si="80"/>
        <v>201609</v>
      </c>
      <c r="AP78" s="482">
        <f t="shared" si="80"/>
        <v>201610</v>
      </c>
      <c r="AQ78" s="482">
        <f t="shared" si="80"/>
        <v>201611</v>
      </c>
      <c r="AR78" s="482">
        <f t="shared" si="80"/>
        <v>201612</v>
      </c>
      <c r="AS78" s="482">
        <f>AS3</f>
        <v>201701</v>
      </c>
      <c r="AT78" s="482">
        <f>AS78+1</f>
        <v>201702</v>
      </c>
      <c r="AU78" s="482">
        <f t="shared" ref="AU78:BD78" si="81">AT78+1</f>
        <v>201703</v>
      </c>
      <c r="AV78" s="482">
        <f t="shared" si="81"/>
        <v>201704</v>
      </c>
      <c r="AW78" s="482">
        <f t="shared" si="81"/>
        <v>201705</v>
      </c>
      <c r="AX78" s="482">
        <f t="shared" si="81"/>
        <v>201706</v>
      </c>
      <c r="AY78" s="482">
        <f t="shared" si="81"/>
        <v>201707</v>
      </c>
      <c r="AZ78" s="482">
        <f t="shared" si="81"/>
        <v>201708</v>
      </c>
      <c r="BA78" s="482">
        <f t="shared" si="81"/>
        <v>201709</v>
      </c>
      <c r="BB78" s="482">
        <f t="shared" si="81"/>
        <v>201710</v>
      </c>
      <c r="BC78" s="482">
        <f t="shared" si="81"/>
        <v>201711</v>
      </c>
      <c r="BD78" s="482">
        <f t="shared" si="81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2">AF82</f>
        <v>-18146.93566000001</v>
      </c>
      <c r="AH79" s="480">
        <f t="shared" si="82"/>
        <v>-14523.147320000011</v>
      </c>
      <c r="AI79" s="480">
        <f t="shared" si="82"/>
        <v>-11852.264220000012</v>
      </c>
      <c r="AJ79" s="480">
        <f t="shared" si="82"/>
        <v>-9512.6003600000113</v>
      </c>
      <c r="AK79" s="480">
        <f t="shared" si="82"/>
        <v>-8373.7282900000118</v>
      </c>
      <c r="AL79" s="480">
        <f t="shared" si="82"/>
        <v>-7543.4780600000122</v>
      </c>
      <c r="AM79" s="480">
        <f t="shared" si="82"/>
        <v>-6882.1108900000127</v>
      </c>
      <c r="AN79" s="480">
        <f t="shared" si="82"/>
        <v>-6303.9779800000124</v>
      </c>
      <c r="AO79" s="480">
        <f t="shared" si="82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3">AT82</f>
        <v>-3265.0261600000117</v>
      </c>
      <c r="AV79" s="480">
        <f t="shared" si="83"/>
        <v>-3060.6942200000117</v>
      </c>
      <c r="AW79" s="480">
        <f t="shared" si="83"/>
        <v>-2919.7909600000116</v>
      </c>
      <c r="AX79" s="480">
        <f t="shared" si="83"/>
        <v>-2842.0077800000117</v>
      </c>
      <c r="AY79" s="480">
        <f t="shared" si="83"/>
        <v>-2169.3643400000119</v>
      </c>
      <c r="AZ79" s="480">
        <f t="shared" si="83"/>
        <v>-1618.6725200000119</v>
      </c>
      <c r="BA79" s="480">
        <f t="shared" si="83"/>
        <v>-1066.556680000012</v>
      </c>
      <c r="BB79" s="480">
        <f>BA82</f>
        <v>-278.32162000001199</v>
      </c>
      <c r="BC79" s="480">
        <f>BB82</f>
        <v>1447.7240099999879</v>
      </c>
      <c r="BD79" s="480">
        <f>BC82</f>
        <v>688.72400999998786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4">SUMPRODUCT(AW55:AW63,AW68:AW76)</f>
        <v>77.783180000000016</v>
      </c>
      <c r="AX80" s="558">
        <f>SUMPRODUCT(AX55:AX63,AX68:AX76)</f>
        <v>672.64343999999971</v>
      </c>
      <c r="AY80" s="558">
        <f t="shared" ref="AY80" si="85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6">SUM(E79:E81)</f>
        <v>38932.729789999998</v>
      </c>
      <c r="F82" s="539">
        <f t="shared" si="86"/>
        <v>8140.2385399999985</v>
      </c>
      <c r="G82" s="539">
        <f t="shared" si="86"/>
        <v>-693.68146000000161</v>
      </c>
      <c r="H82" s="539">
        <f t="shared" si="86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7">SUM(V79:V81)</f>
        <v>-38138.117780000015</v>
      </c>
      <c r="W82" s="539">
        <f t="shared" si="87"/>
        <v>-34282.961340000016</v>
      </c>
      <c r="X82" s="539">
        <f t="shared" si="87"/>
        <v>-31253.873050000017</v>
      </c>
      <c r="Y82" s="539">
        <f t="shared" si="87"/>
        <v>-29770.929110000015</v>
      </c>
      <c r="Z82" s="539">
        <f t="shared" si="87"/>
        <v>-28708.282540000015</v>
      </c>
      <c r="AA82" s="539">
        <f t="shared" si="87"/>
        <v>-27692.487530000013</v>
      </c>
      <c r="AB82" s="539">
        <f t="shared" si="87"/>
        <v>-26711.886850000014</v>
      </c>
      <c r="AC82" s="539">
        <f t="shared" si="87"/>
        <v>-25249.174790000012</v>
      </c>
      <c r="AD82" s="539">
        <f t="shared" si="87"/>
        <v>-23171.93566000001</v>
      </c>
      <c r="AE82" s="539">
        <f t="shared" si="87"/>
        <v>-21380.93566000001</v>
      </c>
      <c r="AF82" s="539">
        <f t="shared" si="87"/>
        <v>-18146.93566000001</v>
      </c>
      <c r="AG82" s="539">
        <f t="shared" si="87"/>
        <v>-14523.147320000011</v>
      </c>
      <c r="AH82" s="539">
        <f t="shared" si="87"/>
        <v>-11852.264220000012</v>
      </c>
      <c r="AI82" s="539">
        <f t="shared" si="87"/>
        <v>-9512.6003600000113</v>
      </c>
      <c r="AJ82" s="539">
        <f t="shared" si="87"/>
        <v>-8373.7282900000118</v>
      </c>
      <c r="AK82" s="539">
        <f t="shared" si="87"/>
        <v>-7543.4780600000122</v>
      </c>
      <c r="AL82" s="539">
        <f t="shared" si="87"/>
        <v>-6882.1108900000127</v>
      </c>
      <c r="AM82" s="539">
        <f t="shared" si="87"/>
        <v>-6303.9779800000124</v>
      </c>
      <c r="AN82" s="539">
        <f t="shared" si="87"/>
        <v>-5710.3492900000119</v>
      </c>
      <c r="AO82" s="539">
        <f t="shared" si="87"/>
        <v>-4950.5876300000118</v>
      </c>
      <c r="AP82" s="539">
        <f t="shared" si="87"/>
        <v>-3439.8164200000119</v>
      </c>
      <c r="AQ82" s="539">
        <f t="shared" si="87"/>
        <v>-4198.8164200000119</v>
      </c>
      <c r="AR82" s="539">
        <f t="shared" si="87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8">SUM(AU79:AU81)</f>
        <v>-3060.6942200000117</v>
      </c>
      <c r="AV82" s="539">
        <f t="shared" si="88"/>
        <v>-2919.7909600000116</v>
      </c>
      <c r="AW82" s="539">
        <f t="shared" si="88"/>
        <v>-2842.0077800000117</v>
      </c>
      <c r="AX82" s="539">
        <f t="shared" si="88"/>
        <v>-2169.3643400000119</v>
      </c>
      <c r="AY82" s="539">
        <f t="shared" si="88"/>
        <v>-1618.6725200000119</v>
      </c>
      <c r="AZ82" s="539">
        <f t="shared" si="88"/>
        <v>-1066.556680000012</v>
      </c>
      <c r="BA82" s="539">
        <f t="shared" si="88"/>
        <v>-278.32162000001199</v>
      </c>
      <c r="BB82" s="539">
        <f t="shared" si="88"/>
        <v>1447.7240099999879</v>
      </c>
      <c r="BC82" s="539">
        <f t="shared" si="88"/>
        <v>688.72400999998786</v>
      </c>
      <c r="BD82" s="539">
        <f t="shared" si="88"/>
        <v>390.72400999998786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9">E82-E83</f>
        <v>-2.1000000560889021E-4</v>
      </c>
      <c r="F84" s="480">
        <f t="shared" si="89"/>
        <v>-1.4600000013160752E-3</v>
      </c>
      <c r="G84" s="480">
        <f t="shared" si="89"/>
        <v>-1.4600000016571357E-3</v>
      </c>
      <c r="H84" s="480">
        <f t="shared" si="89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0">V82-V83</f>
        <v>1.2219999982335139E-2</v>
      </c>
      <c r="W84" s="480">
        <f t="shared" si="90"/>
        <v>8.6599999849568121E-3</v>
      </c>
      <c r="X84" s="480">
        <f t="shared" si="90"/>
        <v>6.9499999844992999E-3</v>
      </c>
      <c r="Y84" s="480">
        <f t="shared" si="90"/>
        <v>1.0889999983191956E-2</v>
      </c>
      <c r="Z84" s="480">
        <f t="shared" si="90"/>
        <v>7.4599999861675315E-3</v>
      </c>
      <c r="AA84" s="480">
        <f t="shared" si="90"/>
        <v>2.469999988534255E-3</v>
      </c>
      <c r="AB84" s="480">
        <f t="shared" si="90"/>
        <v>3.1499999859079253E-3</v>
      </c>
      <c r="AC84" s="480">
        <f t="shared" si="90"/>
        <v>5.2099999884376302E-3</v>
      </c>
      <c r="AD84" s="480">
        <f t="shared" si="90"/>
        <v>4.339999988587806E-3</v>
      </c>
      <c r="AE84" s="480">
        <f t="shared" si="90"/>
        <v>4.339999988587806E-3</v>
      </c>
      <c r="AF84" s="480">
        <f t="shared" si="90"/>
        <v>4.339999988587806E-3</v>
      </c>
      <c r="AG84" s="480">
        <f t="shared" si="90"/>
        <v>2.6799999886861769E-3</v>
      </c>
      <c r="AH84" s="480">
        <f t="shared" si="90"/>
        <v>5.7799999885901343E-3</v>
      </c>
      <c r="AI84" s="480">
        <f t="shared" si="90"/>
        <v>9.6399999893037602E-3</v>
      </c>
      <c r="AJ84" s="480">
        <f t="shared" si="90"/>
        <v>1.1709999987942865E-2</v>
      </c>
      <c r="AK84" s="480">
        <f t="shared" si="90"/>
        <v>1.1939999987589545E-2</v>
      </c>
      <c r="AL84" s="480">
        <f t="shared" si="90"/>
        <v>9.1099999872312765E-3</v>
      </c>
      <c r="AM84" s="480">
        <f t="shared" si="90"/>
        <v>1.2019999987387564E-2</v>
      </c>
      <c r="AN84" s="480">
        <f t="shared" si="90"/>
        <v>1.0709999987739138E-2</v>
      </c>
      <c r="AO84" s="480">
        <f t="shared" si="90"/>
        <v>1.2369999988550262E-2</v>
      </c>
      <c r="AP84" s="480">
        <f t="shared" si="90"/>
        <v>1.3579999987996416E-2</v>
      </c>
      <c r="AQ84" s="480">
        <f t="shared" si="90"/>
        <v>1.3579999987996416E-2</v>
      </c>
      <c r="AR84" s="480">
        <f t="shared" si="90"/>
        <v>1.3579999987996416E-2</v>
      </c>
      <c r="AS84" s="480">
        <f>AS82-AS83</f>
        <v>1.0319999988041673E-2</v>
      </c>
      <c r="AT84" s="480">
        <f t="shared" ref="AT84:BD84" si="91">AT82-AT83</f>
        <v>1.3839999988249474E-2</v>
      </c>
      <c r="AU84" s="480">
        <f t="shared" si="91"/>
        <v>1.5779999988353666E-2</v>
      </c>
      <c r="AV84" s="480">
        <f t="shared" si="91"/>
        <v>1.9039999988308409E-2</v>
      </c>
      <c r="AW84" s="480">
        <f t="shared" si="91"/>
        <v>2.2219999988465133E-2</v>
      </c>
      <c r="AX84" s="480">
        <f t="shared" si="91"/>
        <v>624.81565999998793</v>
      </c>
      <c r="AY84" s="480">
        <f t="shared" si="91"/>
        <v>1136.447479999988</v>
      </c>
      <c r="AZ84" s="480">
        <f t="shared" si="91"/>
        <v>1649.693319999988</v>
      </c>
      <c r="BA84" s="480">
        <f t="shared" si="91"/>
        <v>2380.698379999988</v>
      </c>
      <c r="BB84" s="480">
        <f t="shared" si="91"/>
        <v>4106.7440099999876</v>
      </c>
      <c r="BC84" s="480">
        <f t="shared" si="91"/>
        <v>3347.7440099999876</v>
      </c>
      <c r="BD84" s="480">
        <f t="shared" si="91"/>
        <v>390.72400999998786</v>
      </c>
    </row>
  </sheetData>
  <conditionalFormatting sqref="E29 L65:AR65 K29:AK29 AN29:AR29 BE29 BE65">
    <cfRule type="cellIs" dxfId="442" priority="28" operator="notEqual">
      <formula>E28</formula>
    </cfRule>
  </conditionalFormatting>
  <conditionalFormatting sqref="F29">
    <cfRule type="cellIs" dxfId="441" priority="27" operator="notEqual">
      <formula>F28</formula>
    </cfRule>
  </conditionalFormatting>
  <conditionalFormatting sqref="G29">
    <cfRule type="cellIs" dxfId="440" priority="26" operator="notEqual">
      <formula>G28</formula>
    </cfRule>
  </conditionalFormatting>
  <conditionalFormatting sqref="H29">
    <cfRule type="cellIs" dxfId="439" priority="25" operator="notEqual">
      <formula>H28</formula>
    </cfRule>
  </conditionalFormatting>
  <conditionalFormatting sqref="G65">
    <cfRule type="cellIs" dxfId="438" priority="22" operator="notEqual">
      <formula>G64</formula>
    </cfRule>
  </conditionalFormatting>
  <conditionalFormatting sqref="H65">
    <cfRule type="cellIs" dxfId="437" priority="21" operator="notEqual">
      <formula>H64</formula>
    </cfRule>
  </conditionalFormatting>
  <conditionalFormatting sqref="E65">
    <cfRule type="cellIs" dxfId="436" priority="24" operator="notEqual">
      <formula>E64</formula>
    </cfRule>
  </conditionalFormatting>
  <conditionalFormatting sqref="F65">
    <cfRule type="cellIs" dxfId="435" priority="23" operator="notEqual">
      <formula>F64</formula>
    </cfRule>
  </conditionalFormatting>
  <conditionalFormatting sqref="BK80 BK47 BK11">
    <cfRule type="cellIs" dxfId="434" priority="20" operator="notEqual">
      <formula>0</formula>
    </cfRule>
  </conditionalFormatting>
  <conditionalFormatting sqref="D65">
    <cfRule type="cellIs" dxfId="433" priority="19" operator="notEqual">
      <formula>D64</formula>
    </cfRule>
  </conditionalFormatting>
  <conditionalFormatting sqref="C65">
    <cfRule type="cellIs" dxfId="432" priority="18" operator="notEqual">
      <formula>C64</formula>
    </cfRule>
  </conditionalFormatting>
  <conditionalFormatting sqref="D29">
    <cfRule type="cellIs" dxfId="431" priority="17" operator="notEqual">
      <formula>D28</formula>
    </cfRule>
  </conditionalFormatting>
  <conditionalFormatting sqref="C29">
    <cfRule type="cellIs" dxfId="430" priority="16" operator="notEqual">
      <formula>C28</formula>
    </cfRule>
  </conditionalFormatting>
  <conditionalFormatting sqref="I29">
    <cfRule type="cellIs" dxfId="429" priority="15" operator="notEqual">
      <formula>I28</formula>
    </cfRule>
  </conditionalFormatting>
  <conditionalFormatting sqref="I65">
    <cfRule type="cellIs" dxfId="428" priority="14" operator="notEqual">
      <formula>I64</formula>
    </cfRule>
  </conditionalFormatting>
  <conditionalFormatting sqref="J29">
    <cfRule type="cellIs" dxfId="427" priority="13" operator="notEqual">
      <formula>J28</formula>
    </cfRule>
  </conditionalFormatting>
  <conditionalFormatting sqref="J65">
    <cfRule type="cellIs" dxfId="426" priority="12" operator="notEqual">
      <formula>J64</formula>
    </cfRule>
  </conditionalFormatting>
  <conditionalFormatting sqref="K65">
    <cfRule type="cellIs" dxfId="425" priority="11" operator="notEqual">
      <formula>K64</formula>
    </cfRule>
  </conditionalFormatting>
  <conditionalFormatting sqref="U29">
    <cfRule type="cellIs" dxfId="424" priority="10" operator="notEqual">
      <formula>U28</formula>
    </cfRule>
  </conditionalFormatting>
  <conditionalFormatting sqref="U65">
    <cfRule type="cellIs" dxfId="423" priority="9" operator="notEqual">
      <formula>U64</formula>
    </cfRule>
  </conditionalFormatting>
  <conditionalFormatting sqref="V29">
    <cfRule type="cellIs" dxfId="422" priority="8" operator="notEqual">
      <formula>V28</formula>
    </cfRule>
  </conditionalFormatting>
  <conditionalFormatting sqref="V65">
    <cfRule type="cellIs" dxfId="421" priority="7" operator="notEqual">
      <formula>V64</formula>
    </cfRule>
  </conditionalFormatting>
  <conditionalFormatting sqref="W65">
    <cfRule type="cellIs" dxfId="420" priority="6" operator="notEqual">
      <formula>W64</formula>
    </cfRule>
  </conditionalFormatting>
  <conditionalFormatting sqref="AL29">
    <cfRule type="cellIs" dxfId="419" priority="5" operator="notEqual">
      <formula>AL28</formula>
    </cfRule>
  </conditionalFormatting>
  <conditionalFormatting sqref="AM29">
    <cfRule type="cellIs" dxfId="418" priority="4" operator="notEqual">
      <formula>AM28</formula>
    </cfRule>
  </conditionalFormatting>
  <conditionalFormatting sqref="AS65:BD65 AS29:AW29 AZ29:BD29">
    <cfRule type="cellIs" dxfId="417" priority="3" operator="notEqual">
      <formula>AS28</formula>
    </cfRule>
  </conditionalFormatting>
  <conditionalFormatting sqref="AX29">
    <cfRule type="cellIs" dxfId="416" priority="2" operator="notEqual">
      <formula>AX28</formula>
    </cfRule>
  </conditionalFormatting>
  <conditionalFormatting sqref="AY29">
    <cfRule type="cellIs" dxfId="415" priority="1" operator="notEqual">
      <formula>AY28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R58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50" width="16.28515625" style="480" customWidth="1"/>
    <col min="51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  <c r="BJ1" s="481" t="s">
        <v>333</v>
      </c>
      <c r="BK1" s="481"/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617">
        <v>0.01</v>
      </c>
      <c r="AY4" s="617">
        <v>0.01</v>
      </c>
      <c r="AZ4" s="617">
        <v>0.01</v>
      </c>
      <c r="BA4" s="617">
        <v>0.01</v>
      </c>
      <c r="BB4" s="617">
        <v>0.01</v>
      </c>
      <c r="BC4" s="617">
        <v>0.01</v>
      </c>
      <c r="BD4" s="617">
        <v>0.01</v>
      </c>
      <c r="BE4" s="617">
        <v>0.01</v>
      </c>
      <c r="BF4" s="577"/>
      <c r="BG4" s="542">
        <v>201705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558">
        <f t="shared" si="6"/>
        <v>-7026045.6393119935</v>
      </c>
      <c r="AY5" s="480">
        <f>AX13</f>
        <v>-7071536.7636179933</v>
      </c>
      <c r="AZ5" s="480">
        <f>AY13</f>
        <v>-7053819.2194839949</v>
      </c>
      <c r="BA5" s="480">
        <f t="shared" ref="BA5" si="7">AZ13</f>
        <v>-7812887.4760229951</v>
      </c>
      <c r="BB5" s="480">
        <f>BA13</f>
        <v>-8761725.2078779954</v>
      </c>
      <c r="BC5" s="480">
        <f>BB13</f>
        <v>-9608353.2693189941</v>
      </c>
      <c r="BD5" s="480">
        <f t="shared" ref="BD5" si="8">BC13</f>
        <v>-11285498.572050994</v>
      </c>
      <c r="BE5" s="480">
        <f>BD13</f>
        <v>-4617153.1893939953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5871.55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45491.124305999969</v>
      </c>
    </row>
    <row r="8" spans="1:64">
      <c r="C8" s="479" t="s">
        <v>255</v>
      </c>
      <c r="D8" s="480">
        <f t="shared" si="9"/>
        <v>-126081.61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:AY8" si="10">ROUND(((AW5+AW9+AW10+AW11)*(AW4/12))+((SUM(AW6:AW7)/2)*(AW4/12)),2)</f>
        <v>-5614.37</v>
      </c>
      <c r="AX8" s="555">
        <f>ROUND(((AX5+AX9+AX10+AX11)*(AX4/12))+((SUM(AX6:AX7)/2)*(AX4/12)),2)</f>
        <v>-5871.55</v>
      </c>
      <c r="AY8" s="555">
        <f t="shared" si="10"/>
        <v>-5883.11</v>
      </c>
      <c r="AZ8" s="555">
        <f>ROUND(((AZ5+AZ9+AZ10+AZ11)*(AZ4/12))+((SUM(AZ6:AZ7)/2)*(AZ4/12)),2)</f>
        <v>-6191.88</v>
      </c>
      <c r="BA8" s="555">
        <f t="shared" ref="BA8" si="11">ROUND(((BA5+BA9+BA10+BA11)*(BA4/12))+((SUM(BA6:BA7)/2)*(BA4/12)),2)</f>
        <v>-6903.21</v>
      </c>
      <c r="BB8" s="555">
        <f>ROUND(((BB5+BB9+BB10+BB11)*(BB4/12))+((SUM(BB6:BB7)/2)*(BB4/12)),2)</f>
        <v>-7651.01</v>
      </c>
      <c r="BC8" s="555">
        <f>ROUND(((BC5+BC9+BC10+BC11)*(BC4/12))+((SUM(BC6:BC7)/2)*(BC4/12)),2)</f>
        <v>-8702.15</v>
      </c>
      <c r="BD8" s="555">
        <f>ROUND(((BD5+BD9+BD10+BD11)*(BD4/12))+((SUM(BD6:BD7)/2)*(BD4/12)),2)</f>
        <v>-3685.48</v>
      </c>
      <c r="BE8" s="555">
        <f>ROUND(((BE5+BE9+BE10+BE11)*(BE4/12))+((SUM(BE6:BE7)/2)*(BE4/12)),2)</f>
        <v>-4535.7700000000004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39619.574305999966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101517.03000000001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61771.350000000013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-7071536.7636179933</v>
      </c>
      <c r="AY13" s="608">
        <f t="shared" ref="AY13:BD13" si="15">SUM(AY5:AY12)</f>
        <v>-7053819.2194839949</v>
      </c>
      <c r="AZ13" s="539">
        <f t="shared" si="15"/>
        <v>-7812887.4760229951</v>
      </c>
      <c r="BA13" s="539">
        <f t="shared" si="15"/>
        <v>-8761725.2078779954</v>
      </c>
      <c r="BB13" s="539">
        <f t="shared" si="15"/>
        <v>-9608353.2693189941</v>
      </c>
      <c r="BC13" s="539">
        <f t="shared" si="15"/>
        <v>-11285498.572050994</v>
      </c>
      <c r="BD13" s="602">
        <f t="shared" si="15"/>
        <v>-4617153.1893939953</v>
      </c>
      <c r="BE13" s="539">
        <f>SUM(BE5:BE12)</f>
        <v>-6273239.7125399932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601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-1.3617993332445621E-2</v>
      </c>
      <c r="AY15" s="480">
        <f t="shared" si="18"/>
        <v>-9.4839949160814285E-3</v>
      </c>
      <c r="AZ15" s="480">
        <f>AZ13-AZ14</f>
        <v>-6.022995337843895E-3</v>
      </c>
      <c r="BA15" s="480">
        <f t="shared" ref="BA15:BE15" si="19">BA13-BA14</f>
        <v>-7.8779961913824081E-3</v>
      </c>
      <c r="BB15" s="480">
        <f t="shared" si="19"/>
        <v>-9.3189943581819534E-3</v>
      </c>
      <c r="BC15" s="480">
        <f t="shared" si="19"/>
        <v>-1677145.3120509945</v>
      </c>
      <c r="BD15" s="480">
        <f t="shared" si="19"/>
        <v>4991200.0706060044</v>
      </c>
      <c r="BE15" s="480">
        <f t="shared" si="19"/>
        <v>-6273239.7125399932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621">
        <f>May!$K36</f>
        <v>2613793</v>
      </c>
      <c r="AY19" s="489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621">
        <f>May!$K37</f>
        <v>1315495</v>
      </c>
      <c r="AY20" s="489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621"/>
      <c r="AY21" s="489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621"/>
      <c r="AY22" s="489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621"/>
      <c r="AY23" s="489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621">
        <f>May!$K41</f>
        <v>0</v>
      </c>
      <c r="AY24" s="489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8">
        <v>9.3079999999999996E-2</v>
      </c>
      <c r="AY31" s="613">
        <v>2.8709999999999999E-2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8">
        <v>9.3079999999999996E-2</v>
      </c>
      <c r="AY32" s="613">
        <v>2.8709999999999999E-2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8"/>
      <c r="AY33" s="613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8"/>
      <c r="AY34" s="613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8"/>
      <c r="AY35" s="613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8">
        <v>9.665E-2</v>
      </c>
      <c r="AY36" s="613">
        <v>3.0040000000000001E-2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617">
        <v>0.01</v>
      </c>
      <c r="AY41" s="486"/>
      <c r="AZ41" s="486"/>
      <c r="BA41" s="586"/>
      <c r="BB41" s="486"/>
      <c r="BC41" s="486"/>
      <c r="BD41" s="486"/>
      <c r="BE41" s="486"/>
      <c r="BF41" s="577"/>
      <c r="BG41" s="511">
        <f>BG4</f>
        <v>201705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558">
        <f t="shared" si="38"/>
        <v>-841900.16822978447</v>
      </c>
      <c r="AY42" s="480">
        <f t="shared" si="38"/>
        <v>-476711.23377704265</v>
      </c>
      <c r="AZ42" s="480">
        <f t="shared" si="38"/>
        <v>-403421.29320704262</v>
      </c>
      <c r="BA42" s="480">
        <f t="shared" si="38"/>
        <v>-345455.37255704263</v>
      </c>
      <c r="BB42" s="480">
        <f>BA47</f>
        <v>-277903.15419704263</v>
      </c>
      <c r="BC42" s="480">
        <f>BB47</f>
        <v>-207925.65858704265</v>
      </c>
      <c r="BD42" s="480">
        <f>BC47</f>
        <v>-13792.88766704264</v>
      </c>
      <c r="BE42" s="480">
        <f t="shared" ref="BE42" si="39">BD47</f>
        <v>-6432223.5076670423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>SUMPRODUCT(AX19:AX24,AX31:AX36)</f>
        <v>365738.12703999999</v>
      </c>
      <c r="AY43" s="558">
        <f t="shared" si="43"/>
        <v>73289.940570000006</v>
      </c>
      <c r="AZ43" s="558">
        <f t="shared" si="43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549.19258725815371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 t="shared" ref="AS44:BB44" si="47">((AS42*(AS41/12))+((AS43/2)*(AS41/12)))</f>
        <v>-4655.8898418244135</v>
      </c>
      <c r="AT44" s="487">
        <f t="shared" si="47"/>
        <v>-3444.5647273259347</v>
      </c>
      <c r="AU44" s="487">
        <f t="shared" si="47"/>
        <v>-2394.9101769820395</v>
      </c>
      <c r="AV44" s="487">
        <f t="shared" si="47"/>
        <v>-1591.9685951128577</v>
      </c>
      <c r="AW44" s="487">
        <f t="shared" si="47"/>
        <v>-961.31825924211853</v>
      </c>
      <c r="AX44" s="487">
        <f t="shared" si="47"/>
        <v>-549.19258725815371</v>
      </c>
      <c r="AY44" s="487">
        <f t="shared" si="47"/>
        <v>0</v>
      </c>
      <c r="AZ44" s="487">
        <f t="shared" si="47"/>
        <v>0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365188.93445274181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365738.12703999999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-476711.23377704265</v>
      </c>
      <c r="AY47" s="539">
        <f t="shared" si="51"/>
        <v>-403421.29320704262</v>
      </c>
      <c r="AZ47" s="539">
        <f t="shared" si="51"/>
        <v>-345455.37255704263</v>
      </c>
      <c r="BA47" s="539">
        <f t="shared" si="51"/>
        <v>-277903.15419704263</v>
      </c>
      <c r="BB47" s="539">
        <f t="shared" si="51"/>
        <v>-207925.65858704265</v>
      </c>
      <c r="BC47" s="539">
        <f t="shared" si="51"/>
        <v>-13792.88766704264</v>
      </c>
      <c r="BD47" s="539">
        <f t="shared" si="51"/>
        <v>-6432223.5076670423</v>
      </c>
      <c r="BE47" s="539">
        <f>SUM(BE42:BE46)</f>
        <v>-5001400.5076670423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>AX47-AX48</f>
        <v>6.2229573377408087E-3</v>
      </c>
      <c r="AY49" s="480">
        <f t="shared" si="54"/>
        <v>-164023.35320704262</v>
      </c>
      <c r="AZ49" s="480">
        <f t="shared" si="54"/>
        <v>-293866.15255704266</v>
      </c>
      <c r="BA49" s="480">
        <f t="shared" si="54"/>
        <v>-445371.61419704265</v>
      </c>
      <c r="BB49" s="480">
        <f t="shared" si="54"/>
        <v>-602500.55858704261</v>
      </c>
      <c r="BC49" s="480">
        <f>BC47-BC48</f>
        <v>-408367.78766704269</v>
      </c>
      <c r="BD49" s="480">
        <f t="shared" ref="BD49" si="55">BD47-BD48</f>
        <v>-6826798.4076670427</v>
      </c>
      <c r="BE49" s="480">
        <f>BE47-BE48</f>
        <v>-5001400.5076670423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621">
        <f>May!$K36</f>
        <v>2613793</v>
      </c>
      <c r="AY52" s="489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621">
        <f>May!$K37</f>
        <v>1315495</v>
      </c>
      <c r="AY53" s="489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621">
        <f>May!$K38</f>
        <v>29168</v>
      </c>
      <c r="AY54" s="489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621">
        <f>May!$K39</f>
        <v>0</v>
      </c>
      <c r="AY55" s="489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621"/>
      <c r="AY56" s="489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621"/>
      <c r="AY57" s="489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621">
        <f>May!$K42</f>
        <v>0</v>
      </c>
      <c r="AY58" s="489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8">
        <v>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8">
        <v>0</v>
      </c>
      <c r="AY65" s="613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8">
        <v>0</v>
      </c>
      <c r="AY66" s="613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8">
        <v>0</v>
      </c>
      <c r="AY67" s="613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8"/>
      <c r="AY68" s="613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8"/>
      <c r="AY69" s="613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8">
        <v>0</v>
      </c>
      <c r="AY70" s="613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617">
        <v>0.01</v>
      </c>
      <c r="AY74" s="486"/>
      <c r="AZ74" s="486"/>
      <c r="BA74" s="586"/>
      <c r="BB74" s="486"/>
      <c r="BC74" s="486"/>
      <c r="BD74" s="486"/>
      <c r="BE74" s="486"/>
      <c r="BF74" s="577"/>
      <c r="BG74" s="511">
        <f>BG4</f>
        <v>201705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558">
        <f t="shared" si="74"/>
        <v>-12162.103611547136</v>
      </c>
      <c r="AY75" s="480">
        <f t="shared" si="74"/>
        <v>-12172.238697890092</v>
      </c>
      <c r="AZ75" s="480">
        <f>AY79</f>
        <v>-12172.238697890092</v>
      </c>
      <c r="BA75" s="480">
        <f t="shared" ref="BA75:BB75" si="75">AZ79</f>
        <v>-12172.238697890092</v>
      </c>
      <c r="BB75" s="480">
        <f t="shared" si="75"/>
        <v>-12172.238697890092</v>
      </c>
      <c r="BC75" s="480">
        <f>BB79</f>
        <v>-12172.238697890092</v>
      </c>
      <c r="BD75" s="480">
        <f t="shared" ref="BD75:BE75" si="76">BC79</f>
        <v>-12172.238697890092</v>
      </c>
      <c r="BE75" s="480">
        <f t="shared" si="76"/>
        <v>-12172.238697890092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10.135086342955947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>((AX75*(AX74/12))+((AX76/2)*(AX74/12)))</f>
        <v>-10.135086342955947</v>
      </c>
      <c r="AY77" s="487">
        <f t="shared" ref="AY77:BC77" si="81">((AY75*(AY74/12))+((AY76/2)*(AY74/12)))</f>
        <v>0</v>
      </c>
      <c r="AZ77" s="487">
        <f t="shared" si="81"/>
        <v>0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10.135086342955947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-12172.238697890092</v>
      </c>
      <c r="AY79" s="539">
        <f t="shared" si="83"/>
        <v>-12172.238697890092</v>
      </c>
      <c r="AZ79" s="539">
        <f t="shared" si="83"/>
        <v>-12172.238697890092</v>
      </c>
      <c r="BA79" s="539">
        <f t="shared" si="83"/>
        <v>-12172.238697890092</v>
      </c>
      <c r="BB79" s="539">
        <f t="shared" si="83"/>
        <v>-12172.238697890092</v>
      </c>
      <c r="BC79" s="539">
        <f t="shared" si="83"/>
        <v>-12172.238697890092</v>
      </c>
      <c r="BD79" s="539">
        <f t="shared" si="83"/>
        <v>-12172.238697890092</v>
      </c>
      <c r="BE79" s="539">
        <f>SUM(BE75:BE78)</f>
        <v>-12172.238697890092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2.1302109907992417E-2</v>
      </c>
      <c r="AY81" s="480">
        <f t="shared" si="84"/>
        <v>10.16130210990741</v>
      </c>
      <c r="AZ81" s="480">
        <f t="shared" si="84"/>
        <v>20.311302109907047</v>
      </c>
      <c r="BA81" s="480">
        <f t="shared" si="84"/>
        <v>30.471302109906901</v>
      </c>
      <c r="BB81" s="480">
        <f t="shared" si="84"/>
        <v>40.641302109906974</v>
      </c>
      <c r="BC81" s="480">
        <f t="shared" si="84"/>
        <v>40.641302109906974</v>
      </c>
      <c r="BD81" s="480">
        <f t="shared" si="84"/>
        <v>40.641302109906974</v>
      </c>
      <c r="BE81" s="480">
        <f t="shared" si="84"/>
        <v>-12172.238697890092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414" priority="26" operator="notEqual">
      <formula>F27</formula>
    </cfRule>
  </conditionalFormatting>
  <conditionalFormatting sqref="G28">
    <cfRule type="cellIs" dxfId="413" priority="25" operator="notEqual">
      <formula>G27</formula>
    </cfRule>
  </conditionalFormatting>
  <conditionalFormatting sqref="H28">
    <cfRule type="cellIs" dxfId="412" priority="24" operator="notEqual">
      <formula>H27</formula>
    </cfRule>
  </conditionalFormatting>
  <conditionalFormatting sqref="I28">
    <cfRule type="cellIs" dxfId="411" priority="23" operator="notEqual">
      <formula>I27</formula>
    </cfRule>
  </conditionalFormatting>
  <conditionalFormatting sqref="D28">
    <cfRule type="cellIs" dxfId="410" priority="22" operator="notEqual">
      <formula>D27</formula>
    </cfRule>
  </conditionalFormatting>
  <conditionalFormatting sqref="G61">
    <cfRule type="cellIs" dxfId="409" priority="21" operator="notEqual">
      <formula>G60</formula>
    </cfRule>
  </conditionalFormatting>
  <conditionalFormatting sqref="H61">
    <cfRule type="cellIs" dxfId="408" priority="20" operator="notEqual">
      <formula>H60</formula>
    </cfRule>
  </conditionalFormatting>
  <conditionalFormatting sqref="I61">
    <cfRule type="cellIs" dxfId="407" priority="19" operator="notEqual">
      <formula>I60</formula>
    </cfRule>
  </conditionalFormatting>
  <conditionalFormatting sqref="D61">
    <cfRule type="cellIs" dxfId="406" priority="18" operator="notEqual">
      <formula>D60</formula>
    </cfRule>
  </conditionalFormatting>
  <conditionalFormatting sqref="J61">
    <cfRule type="cellIs" dxfId="405" priority="17" operator="notEqual">
      <formula>J60</formula>
    </cfRule>
  </conditionalFormatting>
  <conditionalFormatting sqref="BL81 BL48 BL11">
    <cfRule type="cellIs" dxfId="404" priority="16" operator="notEqual">
      <formula>0</formula>
    </cfRule>
  </conditionalFormatting>
  <conditionalFormatting sqref="J28">
    <cfRule type="cellIs" dxfId="403" priority="15" operator="notEqual">
      <formula>J27</formula>
    </cfRule>
  </conditionalFormatting>
  <conditionalFormatting sqref="K28">
    <cfRule type="cellIs" dxfId="402" priority="14" operator="notEqual">
      <formula>K27</formula>
    </cfRule>
  </conditionalFormatting>
  <conditionalFormatting sqref="K61">
    <cfRule type="cellIs" dxfId="401" priority="13" operator="notEqual">
      <formula>K60</formula>
    </cfRule>
  </conditionalFormatting>
  <conditionalFormatting sqref="L28">
    <cfRule type="cellIs" dxfId="400" priority="12" operator="notEqual">
      <formula>L27</formula>
    </cfRule>
  </conditionalFormatting>
  <conditionalFormatting sqref="L61">
    <cfRule type="cellIs" dxfId="399" priority="11" operator="notEqual">
      <formula>L60</formula>
    </cfRule>
  </conditionalFormatting>
  <conditionalFormatting sqref="M28:N28">
    <cfRule type="cellIs" dxfId="398" priority="10" operator="notEqual">
      <formula>M27</formula>
    </cfRule>
  </conditionalFormatting>
  <conditionalFormatting sqref="O28">
    <cfRule type="cellIs" dxfId="397" priority="9" operator="notEqual">
      <formula>O27</formula>
    </cfRule>
  </conditionalFormatting>
  <conditionalFormatting sqref="V61">
    <cfRule type="cellIs" dxfId="396" priority="8" operator="notEqual">
      <formula>V60</formula>
    </cfRule>
  </conditionalFormatting>
  <conditionalFormatting sqref="V28:W28">
    <cfRule type="cellIs" dxfId="395" priority="7" operator="notEqual">
      <formula>V27</formula>
    </cfRule>
  </conditionalFormatting>
  <conditionalFormatting sqref="W28">
    <cfRule type="cellIs" dxfId="394" priority="6" operator="notEqual">
      <formula>W27</formula>
    </cfRule>
  </conditionalFormatting>
  <conditionalFormatting sqref="W61">
    <cfRule type="cellIs" dxfId="393" priority="5" operator="notEqual">
      <formula>W60</formula>
    </cfRule>
  </conditionalFormatting>
  <conditionalFormatting sqref="X28">
    <cfRule type="cellIs" dxfId="392" priority="4" operator="notEqual">
      <formula>X27</formula>
    </cfRule>
  </conditionalFormatting>
  <conditionalFormatting sqref="X61">
    <cfRule type="cellIs" dxfId="391" priority="3" operator="notEqual">
      <formula>X60</formula>
    </cfRule>
  </conditionalFormatting>
  <conditionalFormatting sqref="Y28:Z28">
    <cfRule type="cellIs" dxfId="390" priority="2" operator="notEqual">
      <formula>Y27</formula>
    </cfRule>
  </conditionalFormatting>
  <conditionalFormatting sqref="AA28">
    <cfRule type="cellIs" dxfId="389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P53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6.7109375" style="480" customWidth="1"/>
    <col min="49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  <c r="BI1" s="480" t="s">
        <v>333</v>
      </c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617">
        <v>3.7100000000000001E-2</v>
      </c>
      <c r="AW4" s="486"/>
      <c r="AX4" s="486"/>
      <c r="AY4" s="486"/>
      <c r="AZ4" s="586"/>
      <c r="BA4" s="486"/>
      <c r="BB4" s="486"/>
      <c r="BC4" s="486"/>
      <c r="BD4" s="486"/>
      <c r="BE4" s="577"/>
      <c r="BF4" s="542">
        <v>201704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480">
        <f t="shared" si="5"/>
        <v>-15173451.409781789</v>
      </c>
      <c r="AX5" s="480">
        <f t="shared" si="5"/>
        <v>-15051394.39234579</v>
      </c>
      <c r="AY5" s="480">
        <f>AX13</f>
        <v>-14678353.12731979</v>
      </c>
      <c r="AZ5" s="480">
        <f t="shared" ref="AZ5" si="6">AY13</f>
        <v>-15766408.26255079</v>
      </c>
      <c r="BA5" s="480">
        <f>AZ13</f>
        <v>-16779730.227435786</v>
      </c>
      <c r="BB5" s="480">
        <f t="shared" ref="BB5" si="7">BA13</f>
        <v>-18705673.338894788</v>
      </c>
      <c r="BC5" s="480">
        <f>BB13</f>
        <v>-21626518.983472787</v>
      </c>
      <c r="BD5" s="480">
        <f t="shared" ref="BD5" si="8">BC13</f>
        <v>-7662853.1729997825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45012.82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1183084.3281150013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>ROUND(((AR5)*(AR4/12))+((SUM(AR6:AR7)/2)*(AR4/12)),2)</f>
        <v>-14406.68</v>
      </c>
      <c r="AS8" s="555">
        <f>ROUND(((AS5)*(AS4/12))+((SUM(AS6:AS7)/2)*(AS4/12)),2)</f>
        <v>-24852.09</v>
      </c>
      <c r="AT8" s="555">
        <f>ROUND(((AT5)*(AT4/12))+((SUM(AT6:AT7)/2)*(AT4/12)),2)</f>
        <v>-32890.959999999999</v>
      </c>
      <c r="AU8" s="555">
        <f>ROUND(((AU5)*(AU4/12))+((SUM(AU6:AU7)/2)*(AU4/12)),2)</f>
        <v>-38340.61</v>
      </c>
      <c r="AV8" s="555">
        <f>ROUND(((AV5)*(AV4/12))+((SUM(AV6:AV7)/2)*(AV4/12)),2)</f>
        <v>-45012.82</v>
      </c>
      <c r="AW8" s="555">
        <f t="shared" ref="AW8:BA8" si="11">ROUND(((AW5)*(AW4/12))+((SUM(AW6:AW7)/2)*(AW4/12)),2)</f>
        <v>0</v>
      </c>
      <c r="AX8" s="555">
        <f t="shared" si="11"/>
        <v>0</v>
      </c>
      <c r="AY8" s="555">
        <f t="shared" si="11"/>
        <v>0</v>
      </c>
      <c r="AZ8" s="555">
        <f t="shared" si="11"/>
        <v>0</v>
      </c>
      <c r="BA8" s="555">
        <f t="shared" si="11"/>
        <v>0</v>
      </c>
      <c r="BB8" s="555">
        <f>ROUND(((BB5)*(BB4/12))+((SUM(BB6:BB7)/2)*(BB4/12)),2)</f>
        <v>0</v>
      </c>
      <c r="BC8" s="555">
        <f>ROUND(((BC5+BC9+BC10+BC11)*(BC4/12))+((SUM(BC6:BC7)/2)*(BC4/12)),2)</f>
        <v>0</v>
      </c>
      <c r="BD8" s="487">
        <f>ROUND(((BD5)*(BD4/12))+((SUM(BD6:BD7)/2)*(BD4/12)),2)</f>
        <v>0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1138071.5081150013</v>
      </c>
      <c r="BK8" s="498">
        <f>IF((SUMIF(AG3:BD3,BF4,AG6:BD6)+SUMIF(AG3:BD3,BF4,AG7:BD7))&gt;0,(SUMIF(AG3:BD3,BF4,AG6:BD6)+SUMIF(AG3:BD3,BF4,AG7:BD7)),0)</f>
        <v>0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345302.41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2">SUM(F5:F12)</f>
        <v>2255013.9900000002</v>
      </c>
      <c r="G13" s="539">
        <f>SUM(G5:G12)</f>
        <v>-33498.738666789999</v>
      </c>
      <c r="H13" s="539">
        <f t="shared" si="12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3">SUM(V5:V12)</f>
        <v>-1694440.0214187815</v>
      </c>
      <c r="W13" s="539">
        <f t="shared" si="13"/>
        <v>-683405.33395377884</v>
      </c>
      <c r="X13" s="539">
        <f t="shared" si="13"/>
        <v>-2769396.4708657796</v>
      </c>
      <c r="Y13" s="539">
        <f>SUM(Y5:Y12)</f>
        <v>-2940906.6891037785</v>
      </c>
      <c r="Z13" s="539">
        <f t="shared" ref="Z13:AE13" si="14">SUM(Z5:Z12)</f>
        <v>-3112721.2246137792</v>
      </c>
      <c r="AA13" s="539">
        <f t="shared" si="14"/>
        <v>-3464489.8670317773</v>
      </c>
      <c r="AB13" s="539">
        <f t="shared" si="14"/>
        <v>-3555298.2266717753</v>
      </c>
      <c r="AC13" s="539">
        <f t="shared" si="14"/>
        <v>-4755858.0107337767</v>
      </c>
      <c r="AD13" s="539">
        <f t="shared" si="14"/>
        <v>-5900360.3440987766</v>
      </c>
      <c r="AE13" s="539">
        <f t="shared" si="14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5">SUM(AI5:AI12)</f>
        <v>-10398819.535470769</v>
      </c>
      <c r="AJ13" s="539">
        <f t="shared" si="15"/>
        <v>-12153304.785960769</v>
      </c>
      <c r="AK13" s="539">
        <f t="shared" si="15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5"/>
        <v>-15660034.00335677</v>
      </c>
      <c r="AO13" s="539">
        <f>SUM(AO5:AO12)</f>
        <v>-16306032.832939774</v>
      </c>
      <c r="AP13" s="539">
        <f t="shared" si="15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6">SUM(AV5:AV12)</f>
        <v>-15173451.409781789</v>
      </c>
      <c r="AW13" s="539">
        <f t="shared" si="16"/>
        <v>-15051394.39234579</v>
      </c>
      <c r="AX13" s="539">
        <f>SUM(AX5:AX12)</f>
        <v>-14678353.12731979</v>
      </c>
      <c r="AY13" s="539">
        <f t="shared" ref="AY13:AZ13" si="17">SUM(AY5:AY12)</f>
        <v>-15766408.26255079</v>
      </c>
      <c r="AZ13" s="539">
        <f t="shared" si="17"/>
        <v>-16779730.227435786</v>
      </c>
      <c r="BA13" s="539">
        <f>SUM(BA5:BA12)</f>
        <v>-18705673.338894788</v>
      </c>
      <c r="BB13" s="539">
        <f t="shared" ref="BB13" si="18">SUM(BB5:BB12)</f>
        <v>-21626518.983472787</v>
      </c>
      <c r="BC13" s="602">
        <f>SUM(BC5:BC12)</f>
        <v>-7662853.1729997825</v>
      </c>
      <c r="BD13" s="539">
        <f>SUM(BD5:BD12)</f>
        <v>-11391710.959853781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601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19">E13-E14</f>
        <v>1.0000000242143869E-2</v>
      </c>
      <c r="F15" s="480">
        <f t="shared" si="19"/>
        <v>1.0000000242143869E-2</v>
      </c>
      <c r="G15" s="480">
        <f t="shared" si="19"/>
        <v>1.1333210000884719E-2</v>
      </c>
      <c r="H15" s="480">
        <f t="shared" si="19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0">V13-V14</f>
        <v>-1.418781466782093E-3</v>
      </c>
      <c r="W15" s="480">
        <f t="shared" si="20"/>
        <v>-3.9537788834422827E-3</v>
      </c>
      <c r="X15" s="480">
        <f t="shared" si="20"/>
        <v>-8.6577935144305229E-4</v>
      </c>
      <c r="Y15" s="480">
        <f t="shared" si="20"/>
        <v>8.9622149243950844E-4</v>
      </c>
      <c r="Z15" s="480">
        <f t="shared" si="20"/>
        <v>5.3862207569181919E-3</v>
      </c>
      <c r="AA15" s="480">
        <f t="shared" si="20"/>
        <v>2.9682228341698647E-3</v>
      </c>
      <c r="AB15" s="480">
        <f t="shared" si="20"/>
        <v>3.3282246440649033E-3</v>
      </c>
      <c r="AC15" s="480">
        <f t="shared" si="20"/>
        <v>-7.3377694934606552E-4</v>
      </c>
      <c r="AD15" s="480">
        <f t="shared" si="20"/>
        <v>-4.0987767279148102E-3</v>
      </c>
      <c r="AE15" s="480">
        <f t="shared" si="20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1">AH13-AH14</f>
        <v>5.9522874653339386E-4</v>
      </c>
      <c r="AI15" s="480">
        <f t="shared" si="21"/>
        <v>4.5292302966117859E-3</v>
      </c>
      <c r="AJ15" s="480">
        <f t="shared" si="21"/>
        <v>4.0392298251390457E-3</v>
      </c>
      <c r="AK15" s="480">
        <f t="shared" si="21"/>
        <v>7.895229384303093E-3</v>
      </c>
      <c r="AL15" s="480">
        <f t="shared" si="21"/>
        <v>5.0072316080331802E-3</v>
      </c>
      <c r="AM15" s="480">
        <f>AM13-AM14</f>
        <v>2.2832304239273071E-3</v>
      </c>
      <c r="AN15" s="480">
        <f t="shared" si="21"/>
        <v>6.6432300955057144E-3</v>
      </c>
      <c r="AO15" s="480">
        <f t="shared" si="21"/>
        <v>7.0602260529994965E-3</v>
      </c>
      <c r="AP15" s="480">
        <f t="shared" si="21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2">AT13-AT14</f>
        <v>1.8762214109301567E-2</v>
      </c>
      <c r="AU15" s="480">
        <f t="shared" si="22"/>
        <v>1.8333211541175842E-2</v>
      </c>
      <c r="AV15" s="480">
        <f t="shared" si="22"/>
        <v>2.021821029484272E-2</v>
      </c>
      <c r="AW15" s="480">
        <f t="shared" si="22"/>
        <v>46722.587654210627</v>
      </c>
      <c r="AX15" s="480">
        <f t="shared" si="22"/>
        <v>92824.27268020995</v>
      </c>
      <c r="AY15" s="480">
        <f t="shared" si="22"/>
        <v>143364.45744921081</v>
      </c>
      <c r="AZ15" s="480">
        <f t="shared" si="22"/>
        <v>197538.68256421387</v>
      </c>
      <c r="BA15" s="480">
        <f t="shared" si="22"/>
        <v>256741.47110521048</v>
      </c>
      <c r="BB15" s="480">
        <f t="shared" si="22"/>
        <v>-2664104.1734727882</v>
      </c>
      <c r="BC15" s="480">
        <f>BC13-BC14</f>
        <v>11299561.637000216</v>
      </c>
      <c r="BD15" s="480">
        <f>BD13-BD14</f>
        <v>-11391710.959853781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3">U18+1</f>
        <v>201502</v>
      </c>
      <c r="W18" s="482">
        <f t="shared" si="23"/>
        <v>201503</v>
      </c>
      <c r="X18" s="482">
        <f t="shared" si="23"/>
        <v>201504</v>
      </c>
      <c r="Y18" s="482">
        <f t="shared" si="23"/>
        <v>201505</v>
      </c>
      <c r="Z18" s="482">
        <f t="shared" si="23"/>
        <v>201506</v>
      </c>
      <c r="AA18" s="482">
        <f t="shared" si="23"/>
        <v>201507</v>
      </c>
      <c r="AB18" s="482">
        <f t="shared" si="23"/>
        <v>201508</v>
      </c>
      <c r="AC18" s="482">
        <f t="shared" si="23"/>
        <v>201509</v>
      </c>
      <c r="AD18" s="482">
        <f t="shared" si="23"/>
        <v>201510</v>
      </c>
      <c r="AE18" s="482">
        <f>AD18+1</f>
        <v>201511</v>
      </c>
      <c r="AF18" s="482">
        <f t="shared" ref="AF18" si="24">AE18+1</f>
        <v>201512</v>
      </c>
      <c r="AG18" s="482">
        <v>201601</v>
      </c>
      <c r="AH18" s="482">
        <f>AG18+1</f>
        <v>201602</v>
      </c>
      <c r="AI18" s="482">
        <f t="shared" ref="AI18:AR18" si="25">AH18+1</f>
        <v>201603</v>
      </c>
      <c r="AJ18" s="482">
        <f t="shared" si="25"/>
        <v>201604</v>
      </c>
      <c r="AK18" s="482">
        <f t="shared" si="25"/>
        <v>201605</v>
      </c>
      <c r="AL18" s="482">
        <f t="shared" si="25"/>
        <v>201606</v>
      </c>
      <c r="AM18" s="482">
        <f t="shared" si="25"/>
        <v>201607</v>
      </c>
      <c r="AN18" s="482">
        <f t="shared" si="25"/>
        <v>201608</v>
      </c>
      <c r="AO18" s="482">
        <f t="shared" si="25"/>
        <v>201609</v>
      </c>
      <c r="AP18" s="482">
        <f t="shared" si="25"/>
        <v>201610</v>
      </c>
      <c r="AQ18" s="482">
        <f t="shared" si="25"/>
        <v>201611</v>
      </c>
      <c r="AR18" s="482">
        <f t="shared" si="25"/>
        <v>201612</v>
      </c>
      <c r="AS18" s="482">
        <f>AS3</f>
        <v>201701</v>
      </c>
      <c r="AT18" s="482">
        <f>AS18+1</f>
        <v>201702</v>
      </c>
      <c r="AU18" s="482">
        <f t="shared" ref="AU18:BD18" si="26">AT18+1</f>
        <v>201703</v>
      </c>
      <c r="AV18" s="482">
        <f t="shared" si="26"/>
        <v>201704</v>
      </c>
      <c r="AW18" s="482">
        <f t="shared" si="26"/>
        <v>201705</v>
      </c>
      <c r="AX18" s="482">
        <f t="shared" si="26"/>
        <v>201706</v>
      </c>
      <c r="AY18" s="482">
        <f t="shared" si="26"/>
        <v>201707</v>
      </c>
      <c r="AZ18" s="482">
        <f t="shared" si="26"/>
        <v>201708</v>
      </c>
      <c r="BA18" s="482">
        <f t="shared" si="26"/>
        <v>201709</v>
      </c>
      <c r="BB18" s="482">
        <f t="shared" si="26"/>
        <v>201710</v>
      </c>
      <c r="BC18" s="482">
        <f t="shared" si="26"/>
        <v>201711</v>
      </c>
      <c r="BD18" s="482">
        <f t="shared" si="26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620">
        <f>Apr!$G23</f>
        <v>9641125</v>
      </c>
      <c r="AW19" s="541">
        <f>May!$G23</f>
        <v>4941679</v>
      </c>
      <c r="AX19" s="541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7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620">
        <f>Apr!$G24</f>
        <v>15697</v>
      </c>
      <c r="AW20" s="541">
        <f>May!$G24</f>
        <v>8078</v>
      </c>
      <c r="AX20" s="541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7"/>
        <v>51323965</v>
      </c>
      <c r="D21" s="489">
        <f t="shared" ref="D21:D27" si="28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620">
        <f>Apr!$G25</f>
        <v>4021494</v>
      </c>
      <c r="AW21" s="541">
        <f>May!$G25</f>
        <v>2425238</v>
      </c>
      <c r="AX21" s="541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620"/>
      <c r="AW22" s="541"/>
      <c r="AX22" s="541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7"/>
        <v>3609942</v>
      </c>
      <c r="D23" s="489">
        <f t="shared" si="28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620">
        <f>Apr!$G27</f>
        <v>288026</v>
      </c>
      <c r="AW23" s="541">
        <f>May!$G27</f>
        <v>302382</v>
      </c>
      <c r="AX23" s="541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7"/>
        <v>0</v>
      </c>
      <c r="D24" s="489">
        <f t="shared" si="28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620"/>
      <c r="AW24" s="541"/>
      <c r="AX24" s="541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7"/>
        <v>0</v>
      </c>
      <c r="D25" s="489">
        <f t="shared" si="28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620">
        <f>Apr!$G29</f>
        <v>0</v>
      </c>
      <c r="AW25" s="541">
        <f>May!$G29</f>
        <v>0</v>
      </c>
      <c r="AX25" s="541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7"/>
        <v>0</v>
      </c>
      <c r="D26" s="489">
        <f t="shared" si="28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620"/>
      <c r="AW26" s="541"/>
      <c r="AX26" s="541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7"/>
        <v>35395192</v>
      </c>
      <c r="D27" s="489">
        <f t="shared" si="28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620">
        <f>Apr!$G31</f>
        <v>2868630</v>
      </c>
      <c r="AW27" s="541">
        <f>May!$G31</f>
        <v>2501903</v>
      </c>
      <c r="AX27" s="541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29">SUM(G19:G27)</f>
        <v>24054373</v>
      </c>
      <c r="H28" s="540">
        <f t="shared" si="29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0">SUM(V19:V27)</f>
        <v>21809394</v>
      </c>
      <c r="W28" s="540">
        <f t="shared" si="30"/>
        <v>17454090</v>
      </c>
      <c r="X28" s="540">
        <f t="shared" si="30"/>
        <v>14032685</v>
      </c>
      <c r="Y28" s="540">
        <f t="shared" si="30"/>
        <v>7651890</v>
      </c>
      <c r="Z28" s="540">
        <f t="shared" si="30"/>
        <v>5795038</v>
      </c>
      <c r="AA28" s="540">
        <f t="shared" si="30"/>
        <v>5628267</v>
      </c>
      <c r="AB28" s="540">
        <f t="shared" si="30"/>
        <v>5459507</v>
      </c>
      <c r="AC28" s="540">
        <f t="shared" si="30"/>
        <v>7409442</v>
      </c>
      <c r="AD28" s="540">
        <f t="shared" si="30"/>
        <v>10025335</v>
      </c>
      <c r="AE28" s="540">
        <f t="shared" si="30"/>
        <v>24443601</v>
      </c>
      <c r="AF28" s="540">
        <f t="shared" si="30"/>
        <v>29286544</v>
      </c>
      <c r="AG28" s="540">
        <f>SUM(AG19:AG27)</f>
        <v>40584714</v>
      </c>
      <c r="AH28" s="540">
        <f t="shared" si="30"/>
        <v>30357660</v>
      </c>
      <c r="AI28" s="540">
        <f t="shared" si="30"/>
        <v>23658883</v>
      </c>
      <c r="AJ28" s="540">
        <f t="shared" si="30"/>
        <v>16834972</v>
      </c>
      <c r="AK28" s="540">
        <f t="shared" si="30"/>
        <v>10179280</v>
      </c>
      <c r="AL28" s="540">
        <f>SUM(AL19:AL27)</f>
        <v>7244961</v>
      </c>
      <c r="AM28" s="540">
        <f>SUM(AM19:AM27)</f>
        <v>5938596</v>
      </c>
      <c r="AN28" s="540">
        <f t="shared" si="30"/>
        <v>6177700</v>
      </c>
      <c r="AO28" s="540">
        <f>SUM(AO19:AO27)</f>
        <v>7874888</v>
      </c>
      <c r="AP28" s="540">
        <f t="shared" si="30"/>
        <v>15813981</v>
      </c>
      <c r="AQ28" s="540">
        <f t="shared" si="30"/>
        <v>18553428</v>
      </c>
      <c r="AR28" s="540">
        <f t="shared" si="30"/>
        <v>36861159</v>
      </c>
      <c r="AS28" s="540">
        <f>SUM(AS19:AS27)</f>
        <v>40584714</v>
      </c>
      <c r="AT28" s="540">
        <f t="shared" ref="AT28:AW28" si="31">SUM(AT19:AT27)</f>
        <v>30357660</v>
      </c>
      <c r="AU28" s="540">
        <f t="shared" si="31"/>
        <v>23658883</v>
      </c>
      <c r="AV28" s="540">
        <f t="shared" si="31"/>
        <v>16834972</v>
      </c>
      <c r="AW28" s="540">
        <f t="shared" si="31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2">SUM(AZ19:AZ27)</f>
        <v>6177700</v>
      </c>
      <c r="BA28" s="540">
        <f>SUM(BA19:BA27)</f>
        <v>4727652</v>
      </c>
      <c r="BB28" s="540">
        <f t="shared" ref="BB28:BD28" si="33">SUM(BB19:BB27)</f>
        <v>6978145</v>
      </c>
      <c r="BC28" s="540">
        <f t="shared" si="33"/>
        <v>7201032</v>
      </c>
      <c r="BD28" s="540">
        <f t="shared" si="33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16834972</v>
      </c>
      <c r="AW29" s="489">
        <v>8282555</v>
      </c>
      <c r="AX29" s="489">
        <v>6819717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4">U31+1</f>
        <v>201502</v>
      </c>
      <c r="W31" s="482">
        <f t="shared" si="34"/>
        <v>201503</v>
      </c>
      <c r="X31" s="482">
        <f t="shared" si="34"/>
        <v>201504</v>
      </c>
      <c r="Y31" s="482">
        <f t="shared" si="34"/>
        <v>201505</v>
      </c>
      <c r="Z31" s="482">
        <f t="shared" si="34"/>
        <v>201506</v>
      </c>
      <c r="AA31" s="482">
        <f t="shared" si="34"/>
        <v>201507</v>
      </c>
      <c r="AB31" s="482">
        <f t="shared" si="34"/>
        <v>201508</v>
      </c>
      <c r="AC31" s="482">
        <f t="shared" si="34"/>
        <v>201509</v>
      </c>
      <c r="AD31" s="482">
        <f t="shared" si="34"/>
        <v>201510</v>
      </c>
      <c r="AE31" s="482">
        <f>AD31+1</f>
        <v>201511</v>
      </c>
      <c r="AF31" s="482">
        <f t="shared" ref="AF31" si="35">AE31+1</f>
        <v>201512</v>
      </c>
      <c r="AG31" s="482">
        <v>201601</v>
      </c>
      <c r="AH31" s="482">
        <f>AG31+1</f>
        <v>201602</v>
      </c>
      <c r="AI31" s="482">
        <f t="shared" ref="AI31:AR31" si="36">AH31+1</f>
        <v>201603</v>
      </c>
      <c r="AJ31" s="482">
        <f t="shared" si="36"/>
        <v>201604</v>
      </c>
      <c r="AK31" s="482">
        <f t="shared" si="36"/>
        <v>201605</v>
      </c>
      <c r="AL31" s="482">
        <f t="shared" si="36"/>
        <v>201606</v>
      </c>
      <c r="AM31" s="482">
        <f t="shared" si="36"/>
        <v>201607</v>
      </c>
      <c r="AN31" s="482">
        <f t="shared" si="36"/>
        <v>201608</v>
      </c>
      <c r="AO31" s="482">
        <f t="shared" si="36"/>
        <v>201609</v>
      </c>
      <c r="AP31" s="482">
        <f t="shared" si="36"/>
        <v>201610</v>
      </c>
      <c r="AQ31" s="482">
        <f t="shared" si="36"/>
        <v>201611</v>
      </c>
      <c r="AR31" s="482">
        <f t="shared" si="36"/>
        <v>201612</v>
      </c>
      <c r="AS31" s="482">
        <f>AS3</f>
        <v>201701</v>
      </c>
      <c r="AT31" s="482">
        <f>AS31+1</f>
        <v>201702</v>
      </c>
      <c r="AU31" s="482">
        <f t="shared" ref="AU31:BD31" si="37">AT31+1</f>
        <v>201703</v>
      </c>
      <c r="AV31" s="482">
        <f t="shared" si="37"/>
        <v>201704</v>
      </c>
      <c r="AW31" s="482">
        <f t="shared" si="37"/>
        <v>201705</v>
      </c>
      <c r="AX31" s="482">
        <f t="shared" si="37"/>
        <v>201706</v>
      </c>
      <c r="AY31" s="482">
        <f t="shared" si="37"/>
        <v>201707</v>
      </c>
      <c r="AZ31" s="482">
        <f t="shared" si="37"/>
        <v>201708</v>
      </c>
      <c r="BA31" s="482">
        <f t="shared" si="37"/>
        <v>201709</v>
      </c>
      <c r="BB31" s="482">
        <f t="shared" si="37"/>
        <v>201710</v>
      </c>
      <c r="BC31" s="482">
        <f t="shared" si="37"/>
        <v>201711</v>
      </c>
      <c r="BD31" s="482">
        <f t="shared" si="37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6">
        <v>9.1740000000000002E-2</v>
      </c>
      <c r="AW32" s="612">
        <v>2.571E-2</v>
      </c>
      <c r="AX32" s="612">
        <v>2.571E-2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6">
        <v>9.1740000000000002E-2</v>
      </c>
      <c r="AW33" s="612">
        <v>2.571E-2</v>
      </c>
      <c r="AX33" s="612">
        <v>2.571E-2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6">
        <v>7.2489999999999999E-2</v>
      </c>
      <c r="AW34" s="612">
        <v>1.372E-2</v>
      </c>
      <c r="AX34" s="612">
        <v>1.372E-2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6"/>
      <c r="AW35" s="612"/>
      <c r="AX35" s="612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6">
        <v>4.4479999999999999E-2</v>
      </c>
      <c r="AW36" s="612">
        <v>-5.2900000000000004E-3</v>
      </c>
      <c r="AX36" s="612">
        <v>-5.2900000000000004E-3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6"/>
      <c r="AW37" s="612"/>
      <c r="AX37" s="612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6">
        <v>8.8340000000000002E-2</v>
      </c>
      <c r="AW38" s="612">
        <v>1.635E-2</v>
      </c>
      <c r="AX38" s="612">
        <v>1.635E-2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6"/>
      <c r="AW39" s="612"/>
      <c r="AX39" s="612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6">
        <v>0</v>
      </c>
      <c r="AW40" s="612">
        <v>0</v>
      </c>
      <c r="AX40" s="612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201704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8">U42+1</f>
        <v>201502</v>
      </c>
      <c r="W42" s="482">
        <f t="shared" si="38"/>
        <v>201503</v>
      </c>
      <c r="X42" s="482">
        <f t="shared" si="38"/>
        <v>201504</v>
      </c>
      <c r="Y42" s="482">
        <f t="shared" si="38"/>
        <v>201505</v>
      </c>
      <c r="Z42" s="482">
        <f t="shared" si="38"/>
        <v>201506</v>
      </c>
      <c r="AA42" s="482">
        <f t="shared" si="38"/>
        <v>201507</v>
      </c>
      <c r="AB42" s="482">
        <f t="shared" si="38"/>
        <v>201508</v>
      </c>
      <c r="AC42" s="482">
        <f t="shared" si="38"/>
        <v>201509</v>
      </c>
      <c r="AD42" s="482">
        <f t="shared" si="38"/>
        <v>201510</v>
      </c>
      <c r="AE42" s="482">
        <f>AD42+1</f>
        <v>201511</v>
      </c>
      <c r="AF42" s="482">
        <f t="shared" ref="AF42" si="39">AE42+1</f>
        <v>201512</v>
      </c>
      <c r="AG42" s="482">
        <v>201601</v>
      </c>
      <c r="AH42" s="482">
        <f>AG42+1</f>
        <v>201602</v>
      </c>
      <c r="AI42" s="482">
        <f t="shared" ref="AI42:AR42" si="40">AH42+1</f>
        <v>201603</v>
      </c>
      <c r="AJ42" s="482">
        <f t="shared" si="40"/>
        <v>201604</v>
      </c>
      <c r="AK42" s="482">
        <f t="shared" si="40"/>
        <v>201605</v>
      </c>
      <c r="AL42" s="482">
        <f t="shared" si="40"/>
        <v>201606</v>
      </c>
      <c r="AM42" s="482">
        <f t="shared" si="40"/>
        <v>201607</v>
      </c>
      <c r="AN42" s="482">
        <f t="shared" si="40"/>
        <v>201608</v>
      </c>
      <c r="AO42" s="482">
        <f t="shared" si="40"/>
        <v>201609</v>
      </c>
      <c r="AP42" s="482">
        <f t="shared" si="40"/>
        <v>201610</v>
      </c>
      <c r="AQ42" s="482">
        <f t="shared" si="40"/>
        <v>201611</v>
      </c>
      <c r="AR42" s="482">
        <f t="shared" si="40"/>
        <v>201612</v>
      </c>
      <c r="AS42" s="482">
        <f>AS3</f>
        <v>201701</v>
      </c>
      <c r="AT42" s="482">
        <f>AS42+1</f>
        <v>201702</v>
      </c>
      <c r="AU42" s="482">
        <f t="shared" ref="AU42:BD42" si="41">AT42+1</f>
        <v>201703</v>
      </c>
      <c r="AV42" s="482">
        <f t="shared" si="41"/>
        <v>201704</v>
      </c>
      <c r="AW42" s="482">
        <f t="shared" si="41"/>
        <v>201705</v>
      </c>
      <c r="AX42" s="482">
        <f t="shared" si="41"/>
        <v>201706</v>
      </c>
      <c r="AY42" s="482">
        <f t="shared" si="41"/>
        <v>201707</v>
      </c>
      <c r="AZ42" s="482">
        <f t="shared" si="41"/>
        <v>201708</v>
      </c>
      <c r="BA42" s="482">
        <f t="shared" si="41"/>
        <v>201709</v>
      </c>
      <c r="BB42" s="482">
        <f t="shared" si="41"/>
        <v>201710</v>
      </c>
      <c r="BC42" s="482">
        <f t="shared" si="41"/>
        <v>201711</v>
      </c>
      <c r="BD42" s="482">
        <f t="shared" si="41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6973.7412544061872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617">
        <v>3.7100000000000001E-2</v>
      </c>
      <c r="AW43" s="486"/>
      <c r="AX43" s="486"/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1183272.6055655938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2">AE49</f>
        <v>-2966848.8846008489</v>
      </c>
      <c r="AG44" s="480">
        <f t="shared" si="42"/>
        <v>-2400830.7877258095</v>
      </c>
      <c r="AH44" s="480">
        <f t="shared" si="42"/>
        <v>-1799942.4443073752</v>
      </c>
      <c r="AI44" s="480">
        <f t="shared" si="42"/>
        <v>-1367080.388300563</v>
      </c>
      <c r="AJ44" s="480">
        <f t="shared" si="42"/>
        <v>-991269.16134300514</v>
      </c>
      <c r="AK44" s="480">
        <f t="shared" si="42"/>
        <v>-820633.96798459429</v>
      </c>
      <c r="AL44" s="480">
        <f>AK49</f>
        <v>-706831.28344430251</v>
      </c>
      <c r="AM44" s="480">
        <f t="shared" ref="AM44:AT44" si="43">AL49</f>
        <v>-615740.82707996247</v>
      </c>
      <c r="AN44" s="480">
        <f t="shared" si="43"/>
        <v>-539081.43298013532</v>
      </c>
      <c r="AO44" s="480">
        <f t="shared" si="43"/>
        <v>-459570.5002163836</v>
      </c>
      <c r="AP44" s="480">
        <f t="shared" si="43"/>
        <v>-353667.8760235564</v>
      </c>
      <c r="AQ44" s="558">
        <f t="shared" si="43"/>
        <v>-123445.19123732927</v>
      </c>
      <c r="AR44" s="480">
        <f t="shared" si="43"/>
        <v>-12794629.54065969</v>
      </c>
      <c r="AS44" s="480">
        <f t="shared" si="43"/>
        <v>-9990002.7430699486</v>
      </c>
      <c r="AT44" s="480">
        <f t="shared" si="43"/>
        <v>-6863930.3518781429</v>
      </c>
      <c r="AU44" s="480">
        <f>AT49</f>
        <v>-4576506.6383892084</v>
      </c>
      <c r="AV44" s="480">
        <f t="shared" ref="AV44:AW44" si="44">AU49</f>
        <v>-2850780.7220049934</v>
      </c>
      <c r="AW44" s="480">
        <f t="shared" si="44"/>
        <v>-1667508.1164393995</v>
      </c>
      <c r="AX44" s="480">
        <f>AW49</f>
        <v>-1508575.1993893995</v>
      </c>
      <c r="AY44" s="480">
        <f t="shared" ref="AY44:AZ44" si="45">AX49</f>
        <v>-1418883.3568593995</v>
      </c>
      <c r="AZ44" s="480">
        <f t="shared" si="45"/>
        <v>-1347193.1550493995</v>
      </c>
      <c r="BA44" s="480">
        <f>AZ49</f>
        <v>-1275094.6150593995</v>
      </c>
      <c r="BB44" s="480">
        <f>BA49</f>
        <v>-1247129.6093193996</v>
      </c>
      <c r="BC44" s="558">
        <f>BB49</f>
        <v>-1198283.3616993995</v>
      </c>
      <c r="BD44" s="480">
        <f>BC49</f>
        <v>-13830004.0516994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1190246.3468200001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>SUMPRODUCT(AS19:AS27,AS32:AS40)</f>
        <v>3150615.2519499999</v>
      </c>
      <c r="AT45" s="480">
        <f>SUMPRODUCT(AT19:AT27,AT32:AT40)</f>
        <v>2304083.3887400003</v>
      </c>
      <c r="AU45" s="480">
        <f>SUMPRODUCT(AU19:AU27,AU32:AU40)</f>
        <v>1736541.60424</v>
      </c>
      <c r="AV45" s="480">
        <f>SUMPRODUCT(AV19:AV27,AV32:AV40)</f>
        <v>1190246.3468200001</v>
      </c>
      <c r="AW45" s="480">
        <f t="shared" ref="AW45" si="46">SUMPRODUCT(AW19:AW27,AW32:AW40)</f>
        <v>158932.91704999999</v>
      </c>
      <c r="AX45" s="480">
        <f>SUMPRODUCT(AX19:AX27,AX32:AX40)</f>
        <v>89691.842529999994</v>
      </c>
      <c r="AY45" s="480">
        <f t="shared" ref="AY45:AZ45" si="47">SUMPRODUCT(AY19:AY27,AY32:AY40)</f>
        <v>71690.201809999999</v>
      </c>
      <c r="AZ45" s="480">
        <f t="shared" si="47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8">BH43</f>
        <v>GD</v>
      </c>
      <c r="BI45" s="208" t="str">
        <f t="shared" si="48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49">SUM(AG46:AR46)</f>
        <v>-97522.093694136056</v>
      </c>
      <c r="D46" s="492">
        <f t="shared" ref="D46" si="50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 t="shared" ref="AQ46:AY46" si="51">((AQ44+AQ47)*(AQ43/12))+(((AQ45+AQ48)/2)*(AQ43/12))</f>
        <v>-39463.659422358884</v>
      </c>
      <c r="AR46" s="487">
        <f t="shared" si="51"/>
        <v>-33179.202410257429</v>
      </c>
      <c r="AS46" s="487">
        <f t="shared" si="51"/>
        <v>-24542.860758193601</v>
      </c>
      <c r="AT46" s="487">
        <f t="shared" si="51"/>
        <v>-16659.675251065419</v>
      </c>
      <c r="AU46" s="487">
        <f t="shared" si="51"/>
        <v>-10815.687855785192</v>
      </c>
      <c r="AV46" s="487">
        <f t="shared" si="51"/>
        <v>-6973.7412544061872</v>
      </c>
      <c r="AW46" s="487">
        <f t="shared" si="51"/>
        <v>0</v>
      </c>
      <c r="AX46" s="487">
        <f t="shared" si="51"/>
        <v>0</v>
      </c>
      <c r="AY46" s="487">
        <f t="shared" si="51"/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8"/>
        <v>GD</v>
      </c>
      <c r="BI46" s="556" t="str">
        <f t="shared" si="48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49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49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2">SUM(F44:F48)</f>
        <v>404885.58467682183</v>
      </c>
      <c r="G49" s="539">
        <f t="shared" si="52"/>
        <v>1486369.5928734979</v>
      </c>
      <c r="H49" s="539">
        <f t="shared" si="52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3">SUM(V44:V48)</f>
        <v>-978605.01769356499</v>
      </c>
      <c r="W49" s="539">
        <f t="shared" si="53"/>
        <v>-801445.32791263924</v>
      </c>
      <c r="X49" s="539">
        <f t="shared" si="53"/>
        <v>-669275.24177190254</v>
      </c>
      <c r="Y49" s="539">
        <f t="shared" si="53"/>
        <v>-610882.24266902648</v>
      </c>
      <c r="Z49" s="539">
        <f t="shared" si="53"/>
        <v>-574943.04011245095</v>
      </c>
      <c r="AA49" s="539">
        <f t="shared" si="53"/>
        <v>-537511.27700320142</v>
      </c>
      <c r="AB49" s="539">
        <f t="shared" si="53"/>
        <v>-503286.03358886426</v>
      </c>
      <c r="AC49" s="539">
        <f t="shared" si="53"/>
        <v>-446057.56644618412</v>
      </c>
      <c r="AD49" s="539">
        <f t="shared" si="53"/>
        <v>-360318.05653003836</v>
      </c>
      <c r="AE49" s="539">
        <f t="shared" si="53"/>
        <v>-2966848.8846008489</v>
      </c>
      <c r="AF49" s="539">
        <f t="shared" si="53"/>
        <v>-2400830.7877258095</v>
      </c>
      <c r="AG49" s="539">
        <f t="shared" si="53"/>
        <v>-1799942.4443073752</v>
      </c>
      <c r="AH49" s="539">
        <f t="shared" si="53"/>
        <v>-1367080.388300563</v>
      </c>
      <c r="AI49" s="539">
        <f t="shared" si="53"/>
        <v>-991269.16134300514</v>
      </c>
      <c r="AJ49" s="539">
        <f t="shared" si="53"/>
        <v>-820633.96798459429</v>
      </c>
      <c r="AK49" s="539">
        <f t="shared" si="53"/>
        <v>-706831.28344430251</v>
      </c>
      <c r="AL49" s="539">
        <f t="shared" si="53"/>
        <v>-615740.82707996247</v>
      </c>
      <c r="AM49" s="539">
        <f>SUM(AM44:AM48)</f>
        <v>-539081.43298013532</v>
      </c>
      <c r="AN49" s="539">
        <f t="shared" si="53"/>
        <v>-459570.5002163836</v>
      </c>
      <c r="AO49" s="539">
        <f t="shared" si="53"/>
        <v>-353667.8760235564</v>
      </c>
      <c r="AP49" s="539">
        <f t="shared" si="53"/>
        <v>-123445.19123732927</v>
      </c>
      <c r="AQ49" s="539">
        <f>SUM(AQ44:AQ48)</f>
        <v>-12794629.54065969</v>
      </c>
      <c r="AR49" s="539">
        <f t="shared" si="53"/>
        <v>-9990002.7430699486</v>
      </c>
      <c r="AS49" s="539">
        <f>SUM(AS44:AS48)</f>
        <v>-6863930.3518781429</v>
      </c>
      <c r="AT49" s="539">
        <f t="shared" ref="AT49:AX49" si="54">SUM(AT44:AT48)</f>
        <v>-4576506.6383892084</v>
      </c>
      <c r="AU49" s="539">
        <f>SUM(AU44:AU48)</f>
        <v>-2850780.7220049934</v>
      </c>
      <c r="AV49" s="539">
        <f t="shared" si="54"/>
        <v>-1667508.1164393995</v>
      </c>
      <c r="AW49" s="539">
        <f t="shared" si="54"/>
        <v>-1508575.1993893995</v>
      </c>
      <c r="AX49" s="539">
        <f t="shared" si="54"/>
        <v>-1418883.3568593995</v>
      </c>
      <c r="AY49" s="539">
        <f>SUM(AY44:AY48)</f>
        <v>-1347193.1550493995</v>
      </c>
      <c r="AZ49" s="539">
        <f t="shared" ref="AZ49:BB49" si="55">SUM(AZ44:AZ48)</f>
        <v>-1275094.6150593995</v>
      </c>
      <c r="BA49" s="539">
        <f t="shared" si="55"/>
        <v>-1247129.6093193996</v>
      </c>
      <c r="BB49" s="539">
        <f t="shared" si="55"/>
        <v>-1198283.3616993995</v>
      </c>
      <c r="BC49" s="539">
        <f>SUM(BC44:BC48)</f>
        <v>-13830004.0516994</v>
      </c>
      <c r="BD49" s="539">
        <f t="shared" ref="BD49" si="56">SUM(BD44:BD48)</f>
        <v>-10992198.0516994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7">E49-E50</f>
        <v>-0.22028744451381499</v>
      </c>
      <c r="F51" s="480">
        <f t="shared" si="57"/>
        <v>-0.22532317816512659</v>
      </c>
      <c r="G51" s="480">
        <f t="shared" si="57"/>
        <v>-0.22712650219909847</v>
      </c>
      <c r="H51" s="480">
        <f t="shared" si="57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58">V49-V50</f>
        <v>-0.21769356494769454</v>
      </c>
      <c r="W51" s="480">
        <f t="shared" si="58"/>
        <v>-0.21791263925842941</v>
      </c>
      <c r="X51" s="480">
        <f t="shared" si="58"/>
        <v>-0.22177190252114087</v>
      </c>
      <c r="Y51" s="480">
        <f t="shared" si="58"/>
        <v>-0.22266902646515518</v>
      </c>
      <c r="Z51" s="480">
        <f t="shared" si="58"/>
        <v>-0.22011245100293308</v>
      </c>
      <c r="AA51" s="480">
        <f t="shared" si="58"/>
        <v>-0.21700320136733353</v>
      </c>
      <c r="AB51" s="480">
        <f t="shared" si="58"/>
        <v>-0.21358886425150558</v>
      </c>
      <c r="AC51" s="480">
        <f t="shared" si="58"/>
        <v>-0.21644618414575234</v>
      </c>
      <c r="AD51" s="480">
        <f t="shared" si="58"/>
        <v>-0.21653003833489493</v>
      </c>
      <c r="AE51" s="480">
        <f t="shared" si="58"/>
        <v>-0.21460084896534681</v>
      </c>
      <c r="AF51" s="480">
        <f t="shared" si="58"/>
        <v>-0.21772580966353416</v>
      </c>
      <c r="AG51" s="480">
        <f t="shared" si="58"/>
        <v>-0.22430737526156008</v>
      </c>
      <c r="AH51" s="480">
        <f t="shared" si="58"/>
        <v>-0.21830056305043399</v>
      </c>
      <c r="AI51" s="480">
        <f t="shared" si="58"/>
        <v>-0.22134300519246608</v>
      </c>
      <c r="AJ51" s="480">
        <f t="shared" si="58"/>
        <v>-0.2179845942882821</v>
      </c>
      <c r="AK51" s="480">
        <f>AK49-AK50</f>
        <v>-0.21344430255703628</v>
      </c>
      <c r="AL51" s="480">
        <f t="shared" si="58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58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59">AT49-AT50</f>
        <v>-0.20838920865207911</v>
      </c>
      <c r="AU51" s="480">
        <f>AU49-AU50</f>
        <v>-0.21200499357655644</v>
      </c>
      <c r="AV51" s="480">
        <f t="shared" si="59"/>
        <v>-0.21643939963541925</v>
      </c>
      <c r="AW51" s="480">
        <f>AW49-AW50</f>
        <v>-480252.58938939951</v>
      </c>
      <c r="AX51" s="480">
        <f t="shared" ref="AX51" si="60">AX49-AX50</f>
        <v>-770534.87685939949</v>
      </c>
      <c r="AY51" s="480">
        <f>AY49-AY50</f>
        <v>-1004463.0350493995</v>
      </c>
      <c r="AZ51" s="480">
        <f>AZ49-AZ50</f>
        <v>-1241945.5950593995</v>
      </c>
      <c r="BA51" s="480">
        <f t="shared" ref="BA51" si="61">BA49-BA50</f>
        <v>-1676187.2093193997</v>
      </c>
      <c r="BB51" s="480">
        <f>BB49-BB50</f>
        <v>-1627340.9616993996</v>
      </c>
      <c r="BC51" s="480">
        <f>BC49-BC50</f>
        <v>-14259061.6516994</v>
      </c>
      <c r="BD51" s="480">
        <f>BD49-BD50</f>
        <v>-10992198.0516994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2">U54+1</f>
        <v>201502</v>
      </c>
      <c r="W54" s="482">
        <f t="shared" si="62"/>
        <v>201503</v>
      </c>
      <c r="X54" s="482">
        <f t="shared" si="62"/>
        <v>201504</v>
      </c>
      <c r="Y54" s="482">
        <f t="shared" si="62"/>
        <v>201505</v>
      </c>
      <c r="Z54" s="482">
        <f t="shared" si="62"/>
        <v>201506</v>
      </c>
      <c r="AA54" s="482">
        <f t="shared" si="62"/>
        <v>201507</v>
      </c>
      <c r="AB54" s="482">
        <f t="shared" si="62"/>
        <v>201508</v>
      </c>
      <c r="AC54" s="482">
        <f t="shared" si="62"/>
        <v>201509</v>
      </c>
      <c r="AD54" s="482">
        <f t="shared" si="62"/>
        <v>201510</v>
      </c>
      <c r="AE54" s="482">
        <f>AD54+1</f>
        <v>201511</v>
      </c>
      <c r="AF54" s="482">
        <f t="shared" ref="AF54" si="63">AE54+1</f>
        <v>201512</v>
      </c>
      <c r="AG54" s="482">
        <v>201601</v>
      </c>
      <c r="AH54" s="482">
        <f>AG54+1</f>
        <v>201602</v>
      </c>
      <c r="AI54" s="482">
        <f t="shared" ref="AI54:AR54" si="64">AH54+1</f>
        <v>201603</v>
      </c>
      <c r="AJ54" s="482">
        <f t="shared" si="64"/>
        <v>201604</v>
      </c>
      <c r="AK54" s="482">
        <f t="shared" si="64"/>
        <v>201605</v>
      </c>
      <c r="AL54" s="482">
        <f t="shared" si="64"/>
        <v>201606</v>
      </c>
      <c r="AM54" s="482">
        <f t="shared" si="64"/>
        <v>201607</v>
      </c>
      <c r="AN54" s="482">
        <f t="shared" si="64"/>
        <v>201608</v>
      </c>
      <c r="AO54" s="482">
        <f t="shared" si="64"/>
        <v>201609</v>
      </c>
      <c r="AP54" s="482">
        <f t="shared" si="64"/>
        <v>201610</v>
      </c>
      <c r="AQ54" s="482">
        <f t="shared" si="64"/>
        <v>201611</v>
      </c>
      <c r="AR54" s="482">
        <f t="shared" si="64"/>
        <v>201612</v>
      </c>
      <c r="AS54" s="482">
        <f>AS3</f>
        <v>201701</v>
      </c>
      <c r="AT54" s="482">
        <f>AS54+1</f>
        <v>201702</v>
      </c>
      <c r="AU54" s="482">
        <f t="shared" ref="AU54:BD54" si="65">AT54+1</f>
        <v>201703</v>
      </c>
      <c r="AV54" s="482">
        <f t="shared" si="65"/>
        <v>201704</v>
      </c>
      <c r="AW54" s="482">
        <f t="shared" si="65"/>
        <v>201705</v>
      </c>
      <c r="AX54" s="482">
        <f t="shared" si="65"/>
        <v>201706</v>
      </c>
      <c r="AY54" s="482">
        <f t="shared" si="65"/>
        <v>201707</v>
      </c>
      <c r="AZ54" s="482">
        <f t="shared" si="65"/>
        <v>201708</v>
      </c>
      <c r="BA54" s="482">
        <f t="shared" si="65"/>
        <v>201709</v>
      </c>
      <c r="BB54" s="482">
        <f t="shared" si="65"/>
        <v>201710</v>
      </c>
      <c r="BC54" s="482">
        <f t="shared" si="65"/>
        <v>201711</v>
      </c>
      <c r="BD54" s="482">
        <f t="shared" si="65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620">
        <f>Apr!$G23</f>
        <v>9641125</v>
      </c>
      <c r="AW55" s="541">
        <f>May!$G23</f>
        <v>4941679</v>
      </c>
      <c r="AX55" s="541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6">SUM(AG56:AR56)</f>
        <v>197284</v>
      </c>
      <c r="D56" s="489">
        <f t="shared" ref="D56:D63" si="67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620">
        <f>Apr!$G24</f>
        <v>15697</v>
      </c>
      <c r="AW56" s="541">
        <f>May!$G24</f>
        <v>8078</v>
      </c>
      <c r="AX56" s="541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6"/>
        <v>51323965</v>
      </c>
      <c r="D57" s="489">
        <f t="shared" si="67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620">
        <f>Apr!$G25</f>
        <v>4021494</v>
      </c>
      <c r="AW57" s="541">
        <f>May!$G25</f>
        <v>2425238</v>
      </c>
      <c r="AX57" s="541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6"/>
        <v>0</v>
      </c>
      <c r="D58" s="489">
        <f t="shared" si="67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620">
        <f>Apr!$G26</f>
        <v>0</v>
      </c>
      <c r="AW58" s="541">
        <f>May!$G26</f>
        <v>0</v>
      </c>
      <c r="AX58" s="541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6"/>
        <v>3609942</v>
      </c>
      <c r="D59" s="489">
        <f t="shared" si="67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620">
        <f>Apr!$G27</f>
        <v>288026</v>
      </c>
      <c r="AW59" s="541">
        <f>May!$G27</f>
        <v>302382</v>
      </c>
      <c r="AX59" s="541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6"/>
        <v>506146</v>
      </c>
      <c r="D60" s="489">
        <f t="shared" si="67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620">
        <f>Apr!$G28</f>
        <v>35134</v>
      </c>
      <c r="AW60" s="541">
        <f>May!$G28</f>
        <v>29064</v>
      </c>
      <c r="AX60" s="541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6"/>
        <v>0</v>
      </c>
      <c r="D61" s="489">
        <f t="shared" si="67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620">
        <f>Apr!$G29</f>
        <v>0</v>
      </c>
      <c r="AW61" s="541">
        <f>May!$G29</f>
        <v>0</v>
      </c>
      <c r="AX61" s="541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6"/>
        <v>970005</v>
      </c>
      <c r="D62" s="489">
        <f t="shared" si="67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620">
        <f>Apr!$G30</f>
        <v>88850</v>
      </c>
      <c r="AW62" s="541">
        <f>May!$G30</f>
        <v>71877</v>
      </c>
      <c r="AX62" s="541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6"/>
        <v>35395192</v>
      </c>
      <c r="D63" s="489">
        <f t="shared" si="67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620">
        <f>Apr!$G31</f>
        <v>2868630</v>
      </c>
      <c r="AW63" s="541">
        <f>May!$G31</f>
        <v>2501903</v>
      </c>
      <c r="AX63" s="541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68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69">SUM(G55:G63)</f>
        <v>24248041</v>
      </c>
      <c r="H64" s="540">
        <f t="shared" si="69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0">SUM(V55:V63)</f>
        <v>22001617</v>
      </c>
      <c r="W64" s="540">
        <f t="shared" si="70"/>
        <v>17611817</v>
      </c>
      <c r="X64" s="540">
        <f t="shared" si="70"/>
        <v>14163392</v>
      </c>
      <c r="Y64" s="540">
        <f t="shared" si="70"/>
        <v>7782410</v>
      </c>
      <c r="Z64" s="540">
        <f t="shared" si="70"/>
        <v>5881684</v>
      </c>
      <c r="AA64" s="540">
        <f t="shared" si="70"/>
        <v>5669948</v>
      </c>
      <c r="AB64" s="540">
        <f t="shared" si="70"/>
        <v>5554978</v>
      </c>
      <c r="AC64" s="540">
        <f t="shared" si="70"/>
        <v>7484702</v>
      </c>
      <c r="AD64" s="540">
        <f t="shared" si="70"/>
        <v>10158046</v>
      </c>
      <c r="AE64" s="540">
        <f t="shared" si="70"/>
        <v>24566038</v>
      </c>
      <c r="AF64" s="540">
        <f t="shared" si="70"/>
        <v>29412416</v>
      </c>
      <c r="AG64" s="540">
        <f t="shared" si="70"/>
        <v>40809304</v>
      </c>
      <c r="AH64" s="540">
        <f t="shared" si="70"/>
        <v>30544975</v>
      </c>
      <c r="AI64" s="540">
        <f t="shared" si="70"/>
        <v>23815117</v>
      </c>
      <c r="AJ64" s="540">
        <f t="shared" si="70"/>
        <v>16958956</v>
      </c>
      <c r="AK64" s="540">
        <f t="shared" si="70"/>
        <v>10280221</v>
      </c>
      <c r="AL64" s="540">
        <f t="shared" si="70"/>
        <v>7316509</v>
      </c>
      <c r="AM64" s="540">
        <f>SUM(AM55:AM63)</f>
        <v>6050612</v>
      </c>
      <c r="AN64" s="540">
        <f t="shared" si="70"/>
        <v>6226148</v>
      </c>
      <c r="AO64" s="540">
        <f t="shared" si="70"/>
        <v>7933229</v>
      </c>
      <c r="AP64" s="540">
        <f>SUM(AP55:AP63)</f>
        <v>15888438</v>
      </c>
      <c r="AQ64" s="540">
        <f t="shared" si="70"/>
        <v>18689959</v>
      </c>
      <c r="AR64" s="540">
        <f t="shared" si="70"/>
        <v>37042905</v>
      </c>
      <c r="AS64" s="540">
        <f t="shared" si="70"/>
        <v>40809304</v>
      </c>
      <c r="AT64" s="540">
        <f t="shared" si="70"/>
        <v>30544975</v>
      </c>
      <c r="AU64" s="540">
        <f t="shared" si="70"/>
        <v>23815117</v>
      </c>
      <c r="AV64" s="540">
        <f t="shared" si="70"/>
        <v>16958956</v>
      </c>
      <c r="AW64" s="540">
        <f t="shared" si="70"/>
        <v>10280221</v>
      </c>
      <c r="AX64" s="540">
        <f t="shared" si="70"/>
        <v>7316509</v>
      </c>
      <c r="AY64" s="540">
        <f>SUM(AY55:AY63)</f>
        <v>6050612</v>
      </c>
      <c r="AZ64" s="540">
        <f t="shared" ref="AZ64:BA64" si="71">SUM(AZ55:AZ63)</f>
        <v>6226148</v>
      </c>
      <c r="BA64" s="540">
        <f t="shared" si="71"/>
        <v>7933229</v>
      </c>
      <c r="BB64" s="540">
        <f>SUM(BB55:BB63)</f>
        <v>15888438</v>
      </c>
      <c r="BC64" s="540">
        <f t="shared" ref="BC64:BD64" si="72">SUM(BC55:BC63)</f>
        <v>18689959</v>
      </c>
      <c r="BD64" s="540">
        <f t="shared" si="72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68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621">
        <v>16958956</v>
      </c>
      <c r="AW65" s="489">
        <v>8382838</v>
      </c>
      <c r="AX65" s="489">
        <v>6906569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3">U67+1</f>
        <v>201502</v>
      </c>
      <c r="W67" s="482">
        <f t="shared" si="73"/>
        <v>201503</v>
      </c>
      <c r="X67" s="482">
        <f t="shared" si="73"/>
        <v>201504</v>
      </c>
      <c r="Y67" s="482">
        <f t="shared" si="73"/>
        <v>201505</v>
      </c>
      <c r="Z67" s="482">
        <f t="shared" si="73"/>
        <v>201506</v>
      </c>
      <c r="AA67" s="482">
        <f t="shared" si="73"/>
        <v>201507</v>
      </c>
      <c r="AB67" s="482">
        <f t="shared" si="73"/>
        <v>201508</v>
      </c>
      <c r="AC67" s="482">
        <f t="shared" si="73"/>
        <v>201509</v>
      </c>
      <c r="AD67" s="482">
        <f t="shared" si="73"/>
        <v>201510</v>
      </c>
      <c r="AE67" s="482">
        <f>AD67+1</f>
        <v>201511</v>
      </c>
      <c r="AF67" s="482">
        <f t="shared" ref="AF67" si="74">AE67+1</f>
        <v>201512</v>
      </c>
      <c r="AG67" s="482">
        <v>201601</v>
      </c>
      <c r="AH67" s="482">
        <f>AG67+1</f>
        <v>201602</v>
      </c>
      <c r="AI67" s="482">
        <f t="shared" ref="AI67:AR67" si="75">AH67+1</f>
        <v>201603</v>
      </c>
      <c r="AJ67" s="482">
        <f t="shared" si="75"/>
        <v>201604</v>
      </c>
      <c r="AK67" s="482">
        <f t="shared" si="75"/>
        <v>201605</v>
      </c>
      <c r="AL67" s="482">
        <f t="shared" si="75"/>
        <v>201606</v>
      </c>
      <c r="AM67" s="482">
        <f t="shared" si="75"/>
        <v>201607</v>
      </c>
      <c r="AN67" s="482">
        <f t="shared" si="75"/>
        <v>201608</v>
      </c>
      <c r="AO67" s="482">
        <f t="shared" si="75"/>
        <v>201609</v>
      </c>
      <c r="AP67" s="482">
        <f t="shared" si="75"/>
        <v>201610</v>
      </c>
      <c r="AQ67" s="482">
        <f t="shared" si="75"/>
        <v>201611</v>
      </c>
      <c r="AR67" s="482">
        <f t="shared" si="75"/>
        <v>201612</v>
      </c>
      <c r="AS67" s="482">
        <f>AS3</f>
        <v>201701</v>
      </c>
      <c r="AT67" s="482">
        <f>AS67+1</f>
        <v>201702</v>
      </c>
      <c r="AU67" s="482">
        <f t="shared" ref="AU67:BD67" si="76">AT67+1</f>
        <v>201703</v>
      </c>
      <c r="AV67" s="482">
        <f t="shared" si="76"/>
        <v>201704</v>
      </c>
      <c r="AW67" s="482">
        <f t="shared" si="76"/>
        <v>201705</v>
      </c>
      <c r="AX67" s="482">
        <f t="shared" si="76"/>
        <v>201706</v>
      </c>
      <c r="AY67" s="482">
        <f t="shared" si="76"/>
        <v>201707</v>
      </c>
      <c r="AZ67" s="482">
        <f t="shared" si="76"/>
        <v>201708</v>
      </c>
      <c r="BA67" s="482">
        <f t="shared" si="76"/>
        <v>201709</v>
      </c>
      <c r="BB67" s="482">
        <f t="shared" si="76"/>
        <v>201710</v>
      </c>
      <c r="BC67" s="482">
        <f t="shared" si="76"/>
        <v>201711</v>
      </c>
      <c r="BD67" s="482">
        <f t="shared" si="76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6">
        <v>1.0000000000000001E-5</v>
      </c>
      <c r="AW68" s="612">
        <v>1.2999999999999999E-4</v>
      </c>
      <c r="AX68" s="612">
        <v>1.2999999999999999E-4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6">
        <v>1.0000000000000001E-5</v>
      </c>
      <c r="AW69" s="612">
        <v>1.2999999999999999E-4</v>
      </c>
      <c r="AX69" s="612">
        <v>1.2999999999999999E-4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6">
        <v>1.0000000000000001E-5</v>
      </c>
      <c r="AW70" s="612">
        <v>1.2999999999999999E-4</v>
      </c>
      <c r="AX70" s="612">
        <v>1.2999999999999999E-4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6">
        <v>1.0000000000000001E-5</v>
      </c>
      <c r="AW71" s="612">
        <v>1.2999999999999999E-4</v>
      </c>
      <c r="AX71" s="612">
        <v>1.2999999999999999E-4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6">
        <v>1.0000000000000001E-5</v>
      </c>
      <c r="AW72" s="612">
        <v>1.2999999999999999E-4</v>
      </c>
      <c r="AX72" s="612">
        <v>1.2999999999999999E-4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6">
        <v>1.0000000000000001E-5</v>
      </c>
      <c r="AW73" s="612">
        <v>1.2999999999999999E-4</v>
      </c>
      <c r="AX73" s="612">
        <v>1.2999999999999999E-4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6">
        <v>1.0000000000000001E-5</v>
      </c>
      <c r="AW74" s="612">
        <v>1.2999999999999999E-4</v>
      </c>
      <c r="AX74" s="612">
        <v>1.2999999999999999E-4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6">
        <v>1.0000000000000001E-5</v>
      </c>
      <c r="AW75" s="612">
        <v>1.2999999999999999E-4</v>
      </c>
      <c r="AX75" s="612">
        <v>1.2999999999999999E-4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201704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6">
        <v>0</v>
      </c>
      <c r="AW76" s="612">
        <v>2.0000000000000002E-5</v>
      </c>
      <c r="AX76" s="612">
        <v>2.0000000000000002E-5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140.90325999999999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140.90325999999999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7">U78+1</f>
        <v>201502</v>
      </c>
      <c r="W78" s="482">
        <f t="shared" si="77"/>
        <v>201503</v>
      </c>
      <c r="X78" s="482">
        <f t="shared" si="77"/>
        <v>201504</v>
      </c>
      <c r="Y78" s="482">
        <f t="shared" si="77"/>
        <v>201505</v>
      </c>
      <c r="Z78" s="482">
        <f t="shared" si="77"/>
        <v>201506</v>
      </c>
      <c r="AA78" s="482">
        <f t="shared" si="77"/>
        <v>201507</v>
      </c>
      <c r="AB78" s="482">
        <f t="shared" si="77"/>
        <v>201508</v>
      </c>
      <c r="AC78" s="482">
        <f t="shared" si="77"/>
        <v>201509</v>
      </c>
      <c r="AD78" s="482">
        <f t="shared" si="77"/>
        <v>201510</v>
      </c>
      <c r="AE78" s="482">
        <f>AD78+1</f>
        <v>201511</v>
      </c>
      <c r="AF78" s="482">
        <f t="shared" ref="AF78" si="78">AE78+1</f>
        <v>201512</v>
      </c>
      <c r="AG78" s="482">
        <v>201601</v>
      </c>
      <c r="AH78" s="482">
        <f>AG78+1</f>
        <v>201602</v>
      </c>
      <c r="AI78" s="482">
        <f t="shared" ref="AI78:AR78" si="79">AH78+1</f>
        <v>201603</v>
      </c>
      <c r="AJ78" s="482">
        <f t="shared" si="79"/>
        <v>201604</v>
      </c>
      <c r="AK78" s="482">
        <f t="shared" si="79"/>
        <v>201605</v>
      </c>
      <c r="AL78" s="482">
        <f t="shared" si="79"/>
        <v>201606</v>
      </c>
      <c r="AM78" s="482">
        <f t="shared" si="79"/>
        <v>201607</v>
      </c>
      <c r="AN78" s="482">
        <f t="shared" si="79"/>
        <v>201608</v>
      </c>
      <c r="AO78" s="482">
        <f t="shared" si="79"/>
        <v>201609</v>
      </c>
      <c r="AP78" s="482">
        <f t="shared" si="79"/>
        <v>201610</v>
      </c>
      <c r="AQ78" s="482">
        <f t="shared" si="79"/>
        <v>201611</v>
      </c>
      <c r="AR78" s="482">
        <f t="shared" si="79"/>
        <v>201612</v>
      </c>
      <c r="AS78" s="482">
        <f>AS3</f>
        <v>201701</v>
      </c>
      <c r="AT78" s="482">
        <f>AS78+1</f>
        <v>201702</v>
      </c>
      <c r="AU78" s="482">
        <f t="shared" ref="AU78:BD78" si="80">AT78+1</f>
        <v>201703</v>
      </c>
      <c r="AV78" s="482">
        <f t="shared" si="80"/>
        <v>201704</v>
      </c>
      <c r="AW78" s="482">
        <f t="shared" si="80"/>
        <v>201705</v>
      </c>
      <c r="AX78" s="482">
        <f t="shared" si="80"/>
        <v>201706</v>
      </c>
      <c r="AY78" s="482">
        <f t="shared" si="80"/>
        <v>201707</v>
      </c>
      <c r="AZ78" s="482">
        <f t="shared" si="80"/>
        <v>201708</v>
      </c>
      <c r="BA78" s="482">
        <f t="shared" si="80"/>
        <v>201709</v>
      </c>
      <c r="BB78" s="482">
        <f t="shared" si="80"/>
        <v>201710</v>
      </c>
      <c r="BC78" s="482">
        <f t="shared" si="80"/>
        <v>201711</v>
      </c>
      <c r="BD78" s="482">
        <f t="shared" si="80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1">AF82</f>
        <v>-18146.93566000001</v>
      </c>
      <c r="AH79" s="480">
        <f t="shared" si="81"/>
        <v>-14523.147320000011</v>
      </c>
      <c r="AI79" s="480">
        <f t="shared" si="81"/>
        <v>-11852.264220000012</v>
      </c>
      <c r="AJ79" s="480">
        <f t="shared" si="81"/>
        <v>-9512.6003600000113</v>
      </c>
      <c r="AK79" s="480">
        <f t="shared" si="81"/>
        <v>-8373.7282900000118</v>
      </c>
      <c r="AL79" s="480">
        <f t="shared" si="81"/>
        <v>-7543.4780600000122</v>
      </c>
      <c r="AM79" s="480">
        <f t="shared" si="81"/>
        <v>-6882.1108900000127</v>
      </c>
      <c r="AN79" s="480">
        <f t="shared" si="81"/>
        <v>-6303.9779800000124</v>
      </c>
      <c r="AO79" s="480">
        <f t="shared" si="81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2">AT82</f>
        <v>-3265.0261600000117</v>
      </c>
      <c r="AV79" s="480">
        <f t="shared" si="82"/>
        <v>-3060.6942200000117</v>
      </c>
      <c r="AW79" s="480">
        <f t="shared" si="82"/>
        <v>-2919.7909600000116</v>
      </c>
      <c r="AX79" s="480">
        <f t="shared" si="82"/>
        <v>-1858.5715600000117</v>
      </c>
      <c r="AY79" s="480">
        <f t="shared" si="82"/>
        <v>-1185.9281200000119</v>
      </c>
      <c r="AZ79" s="480">
        <f t="shared" si="82"/>
        <v>-635.23630000001197</v>
      </c>
      <c r="BA79" s="480">
        <f t="shared" si="82"/>
        <v>-83.120460000012031</v>
      </c>
      <c r="BB79" s="480">
        <f>BA82</f>
        <v>705.11459999998795</v>
      </c>
      <c r="BC79" s="480">
        <f>BB82</f>
        <v>2431.1602299999877</v>
      </c>
      <c r="BD79" s="480">
        <f>BC82</f>
        <v>1672.1602299999877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>SUMPRODUCT(AV55:AV63,AV68:AV76)</f>
        <v>140.90325999999999</v>
      </c>
      <c r="AW80" s="558">
        <f t="shared" ref="AW80" si="83">SUMPRODUCT(AW55:AW63,AW68:AW76)</f>
        <v>1061.2194</v>
      </c>
      <c r="AX80" s="558">
        <f>SUMPRODUCT(AX55:AX63,AX68:AX76)</f>
        <v>672.64343999999971</v>
      </c>
      <c r="AY80" s="558">
        <f t="shared" ref="AY80" si="84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5">SUM(E79:E81)</f>
        <v>38932.729789999998</v>
      </c>
      <c r="F82" s="539">
        <f t="shared" si="85"/>
        <v>8140.2385399999985</v>
      </c>
      <c r="G82" s="539">
        <f t="shared" si="85"/>
        <v>-693.68146000000161</v>
      </c>
      <c r="H82" s="539">
        <f t="shared" si="85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6">SUM(V79:V81)</f>
        <v>-38138.117780000015</v>
      </c>
      <c r="W82" s="539">
        <f t="shared" si="86"/>
        <v>-34282.961340000016</v>
      </c>
      <c r="X82" s="539">
        <f t="shared" si="86"/>
        <v>-31253.873050000017</v>
      </c>
      <c r="Y82" s="539">
        <f t="shared" si="86"/>
        <v>-29770.929110000015</v>
      </c>
      <c r="Z82" s="539">
        <f t="shared" si="86"/>
        <v>-28708.282540000015</v>
      </c>
      <c r="AA82" s="539">
        <f t="shared" si="86"/>
        <v>-27692.487530000013</v>
      </c>
      <c r="AB82" s="539">
        <f t="shared" si="86"/>
        <v>-26711.886850000014</v>
      </c>
      <c r="AC82" s="539">
        <f t="shared" si="86"/>
        <v>-25249.174790000012</v>
      </c>
      <c r="AD82" s="539">
        <f t="shared" si="86"/>
        <v>-23171.93566000001</v>
      </c>
      <c r="AE82" s="539">
        <f t="shared" si="86"/>
        <v>-21380.93566000001</v>
      </c>
      <c r="AF82" s="539">
        <f t="shared" si="86"/>
        <v>-18146.93566000001</v>
      </c>
      <c r="AG82" s="539">
        <f t="shared" si="86"/>
        <v>-14523.147320000011</v>
      </c>
      <c r="AH82" s="539">
        <f t="shared" si="86"/>
        <v>-11852.264220000012</v>
      </c>
      <c r="AI82" s="539">
        <f t="shared" si="86"/>
        <v>-9512.6003600000113</v>
      </c>
      <c r="AJ82" s="539">
        <f t="shared" si="86"/>
        <v>-8373.7282900000118</v>
      </c>
      <c r="AK82" s="539">
        <f t="shared" si="86"/>
        <v>-7543.4780600000122</v>
      </c>
      <c r="AL82" s="539">
        <f t="shared" si="86"/>
        <v>-6882.1108900000127</v>
      </c>
      <c r="AM82" s="539">
        <f t="shared" si="86"/>
        <v>-6303.9779800000124</v>
      </c>
      <c r="AN82" s="539">
        <f t="shared" si="86"/>
        <v>-5710.3492900000119</v>
      </c>
      <c r="AO82" s="539">
        <f t="shared" si="86"/>
        <v>-4950.5876300000118</v>
      </c>
      <c r="AP82" s="539">
        <f t="shared" si="86"/>
        <v>-3439.8164200000119</v>
      </c>
      <c r="AQ82" s="539">
        <f t="shared" si="86"/>
        <v>-4198.8164200000119</v>
      </c>
      <c r="AR82" s="539">
        <f t="shared" si="86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7">SUM(AU79:AU81)</f>
        <v>-3060.6942200000117</v>
      </c>
      <c r="AV82" s="539">
        <f t="shared" si="87"/>
        <v>-2919.7909600000116</v>
      </c>
      <c r="AW82" s="539">
        <f t="shared" si="87"/>
        <v>-1858.5715600000117</v>
      </c>
      <c r="AX82" s="539">
        <f t="shared" si="87"/>
        <v>-1185.9281200000119</v>
      </c>
      <c r="AY82" s="539">
        <f t="shared" si="87"/>
        <v>-635.23630000001197</v>
      </c>
      <c r="AZ82" s="539">
        <f t="shared" si="87"/>
        <v>-83.120460000012031</v>
      </c>
      <c r="BA82" s="539">
        <f t="shared" si="87"/>
        <v>705.11459999998795</v>
      </c>
      <c r="BB82" s="539">
        <f t="shared" si="87"/>
        <v>2431.1602299999877</v>
      </c>
      <c r="BC82" s="539">
        <f t="shared" si="87"/>
        <v>1672.1602299999877</v>
      </c>
      <c r="BD82" s="539">
        <f t="shared" si="87"/>
        <v>1374.1602299999877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8">E82-E83</f>
        <v>-2.1000000560889021E-4</v>
      </c>
      <c r="F84" s="480">
        <f t="shared" si="88"/>
        <v>-1.4600000013160752E-3</v>
      </c>
      <c r="G84" s="480">
        <f t="shared" si="88"/>
        <v>-1.4600000016571357E-3</v>
      </c>
      <c r="H84" s="480">
        <f t="shared" si="88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89">V82-V83</f>
        <v>1.2219999982335139E-2</v>
      </c>
      <c r="W84" s="480">
        <f t="shared" si="89"/>
        <v>8.6599999849568121E-3</v>
      </c>
      <c r="X84" s="480">
        <f t="shared" si="89"/>
        <v>6.9499999844992999E-3</v>
      </c>
      <c r="Y84" s="480">
        <f t="shared" si="89"/>
        <v>1.0889999983191956E-2</v>
      </c>
      <c r="Z84" s="480">
        <f t="shared" si="89"/>
        <v>7.4599999861675315E-3</v>
      </c>
      <c r="AA84" s="480">
        <f t="shared" si="89"/>
        <v>2.469999988534255E-3</v>
      </c>
      <c r="AB84" s="480">
        <f t="shared" si="89"/>
        <v>3.1499999859079253E-3</v>
      </c>
      <c r="AC84" s="480">
        <f t="shared" si="89"/>
        <v>5.2099999884376302E-3</v>
      </c>
      <c r="AD84" s="480">
        <f t="shared" si="89"/>
        <v>4.339999988587806E-3</v>
      </c>
      <c r="AE84" s="480">
        <f t="shared" si="89"/>
        <v>4.339999988587806E-3</v>
      </c>
      <c r="AF84" s="480">
        <f t="shared" si="89"/>
        <v>4.339999988587806E-3</v>
      </c>
      <c r="AG84" s="480">
        <f t="shared" si="89"/>
        <v>2.6799999886861769E-3</v>
      </c>
      <c r="AH84" s="480">
        <f t="shared" si="89"/>
        <v>5.7799999885901343E-3</v>
      </c>
      <c r="AI84" s="480">
        <f t="shared" si="89"/>
        <v>9.6399999893037602E-3</v>
      </c>
      <c r="AJ84" s="480">
        <f t="shared" si="89"/>
        <v>1.1709999987942865E-2</v>
      </c>
      <c r="AK84" s="480">
        <f t="shared" si="89"/>
        <v>1.1939999987589545E-2</v>
      </c>
      <c r="AL84" s="480">
        <f t="shared" si="89"/>
        <v>9.1099999872312765E-3</v>
      </c>
      <c r="AM84" s="480">
        <f t="shared" si="89"/>
        <v>1.2019999987387564E-2</v>
      </c>
      <c r="AN84" s="480">
        <f t="shared" si="89"/>
        <v>1.0709999987739138E-2</v>
      </c>
      <c r="AO84" s="480">
        <f t="shared" si="89"/>
        <v>1.2369999988550262E-2</v>
      </c>
      <c r="AP84" s="480">
        <f t="shared" si="89"/>
        <v>1.3579999987996416E-2</v>
      </c>
      <c r="AQ84" s="480">
        <f t="shared" si="89"/>
        <v>1.3579999987996416E-2</v>
      </c>
      <c r="AR84" s="480">
        <f t="shared" si="89"/>
        <v>1.3579999987996416E-2</v>
      </c>
      <c r="AS84" s="480">
        <f>AS82-AS83</f>
        <v>1.0319999988041673E-2</v>
      </c>
      <c r="AT84" s="480">
        <f t="shared" ref="AT84:BD84" si="90">AT82-AT83</f>
        <v>1.3839999988249474E-2</v>
      </c>
      <c r="AU84" s="480">
        <f t="shared" si="90"/>
        <v>1.5779999988353666E-2</v>
      </c>
      <c r="AV84" s="480">
        <f t="shared" si="90"/>
        <v>1.9039999988308409E-2</v>
      </c>
      <c r="AW84" s="480">
        <f t="shared" si="90"/>
        <v>983.45843999998851</v>
      </c>
      <c r="AX84" s="480">
        <f t="shared" si="90"/>
        <v>1608.251879999988</v>
      </c>
      <c r="AY84" s="480">
        <f t="shared" si="90"/>
        <v>2119.883699999988</v>
      </c>
      <c r="AZ84" s="480">
        <f t="shared" si="90"/>
        <v>2633.1295399999881</v>
      </c>
      <c r="BA84" s="480">
        <f t="shared" si="90"/>
        <v>3364.134599999988</v>
      </c>
      <c r="BB84" s="480">
        <f t="shared" si="90"/>
        <v>5090.1802299999872</v>
      </c>
      <c r="BC84" s="480">
        <f t="shared" si="90"/>
        <v>4331.1802299999872</v>
      </c>
      <c r="BD84" s="480">
        <f t="shared" si="90"/>
        <v>1374.1602299999877</v>
      </c>
    </row>
  </sheetData>
  <conditionalFormatting sqref="E29 L65:AR65 K29:AK29 AN29:AR29 BE29 BE65">
    <cfRule type="cellIs" dxfId="388" priority="28" operator="notEqual">
      <formula>E28</formula>
    </cfRule>
  </conditionalFormatting>
  <conditionalFormatting sqref="F29">
    <cfRule type="cellIs" dxfId="387" priority="27" operator="notEqual">
      <formula>F28</formula>
    </cfRule>
  </conditionalFormatting>
  <conditionalFormatting sqref="G29">
    <cfRule type="cellIs" dxfId="386" priority="26" operator="notEqual">
      <formula>G28</formula>
    </cfRule>
  </conditionalFormatting>
  <conditionalFormatting sqref="H29">
    <cfRule type="cellIs" dxfId="385" priority="25" operator="notEqual">
      <formula>H28</formula>
    </cfRule>
  </conditionalFormatting>
  <conditionalFormatting sqref="G65">
    <cfRule type="cellIs" dxfId="384" priority="22" operator="notEqual">
      <formula>G64</formula>
    </cfRule>
  </conditionalFormatting>
  <conditionalFormatting sqref="H65">
    <cfRule type="cellIs" dxfId="383" priority="21" operator="notEqual">
      <formula>H64</formula>
    </cfRule>
  </conditionalFormatting>
  <conditionalFormatting sqref="E65">
    <cfRule type="cellIs" dxfId="382" priority="24" operator="notEqual">
      <formula>E64</formula>
    </cfRule>
  </conditionalFormatting>
  <conditionalFormatting sqref="F65">
    <cfRule type="cellIs" dxfId="381" priority="23" operator="notEqual">
      <formula>F64</formula>
    </cfRule>
  </conditionalFormatting>
  <conditionalFormatting sqref="BK80 BK47 BK11">
    <cfRule type="cellIs" dxfId="380" priority="20" operator="notEqual">
      <formula>0</formula>
    </cfRule>
  </conditionalFormatting>
  <conditionalFormatting sqref="D65">
    <cfRule type="cellIs" dxfId="379" priority="19" operator="notEqual">
      <formula>D64</formula>
    </cfRule>
  </conditionalFormatting>
  <conditionalFormatting sqref="C65">
    <cfRule type="cellIs" dxfId="378" priority="18" operator="notEqual">
      <formula>C64</formula>
    </cfRule>
  </conditionalFormatting>
  <conditionalFormatting sqref="D29">
    <cfRule type="cellIs" dxfId="377" priority="17" operator="notEqual">
      <formula>D28</formula>
    </cfRule>
  </conditionalFormatting>
  <conditionalFormatting sqref="C29">
    <cfRule type="cellIs" dxfId="376" priority="16" operator="notEqual">
      <formula>C28</formula>
    </cfRule>
  </conditionalFormatting>
  <conditionalFormatting sqref="I29">
    <cfRule type="cellIs" dxfId="375" priority="15" operator="notEqual">
      <formula>I28</formula>
    </cfRule>
  </conditionalFormatting>
  <conditionalFormatting sqref="I65">
    <cfRule type="cellIs" dxfId="374" priority="14" operator="notEqual">
      <formula>I64</formula>
    </cfRule>
  </conditionalFormatting>
  <conditionalFormatting sqref="J29">
    <cfRule type="cellIs" dxfId="373" priority="13" operator="notEqual">
      <formula>J28</formula>
    </cfRule>
  </conditionalFormatting>
  <conditionalFormatting sqref="J65">
    <cfRule type="cellIs" dxfId="372" priority="12" operator="notEqual">
      <formula>J64</formula>
    </cfRule>
  </conditionalFormatting>
  <conditionalFormatting sqref="K65">
    <cfRule type="cellIs" dxfId="371" priority="11" operator="notEqual">
      <formula>K64</formula>
    </cfRule>
  </conditionalFormatting>
  <conditionalFormatting sqref="U29">
    <cfRule type="cellIs" dxfId="370" priority="10" operator="notEqual">
      <formula>U28</formula>
    </cfRule>
  </conditionalFormatting>
  <conditionalFormatting sqref="U65">
    <cfRule type="cellIs" dxfId="369" priority="9" operator="notEqual">
      <formula>U64</formula>
    </cfRule>
  </conditionalFormatting>
  <conditionalFormatting sqref="V29">
    <cfRule type="cellIs" dxfId="368" priority="8" operator="notEqual">
      <formula>V28</formula>
    </cfRule>
  </conditionalFormatting>
  <conditionalFormatting sqref="V65">
    <cfRule type="cellIs" dxfId="367" priority="7" operator="notEqual">
      <formula>V64</formula>
    </cfRule>
  </conditionalFormatting>
  <conditionalFormatting sqref="W65">
    <cfRule type="cellIs" dxfId="366" priority="6" operator="notEqual">
      <formula>W64</formula>
    </cfRule>
  </conditionalFormatting>
  <conditionalFormatting sqref="AL29">
    <cfRule type="cellIs" dxfId="365" priority="5" operator="notEqual">
      <formula>AL28</formula>
    </cfRule>
  </conditionalFormatting>
  <conditionalFormatting sqref="AM29">
    <cfRule type="cellIs" dxfId="364" priority="4" operator="notEqual">
      <formula>AM28</formula>
    </cfRule>
  </conditionalFormatting>
  <conditionalFormatting sqref="AS65:BD65 AS29:AW29 AZ29:BD29">
    <cfRule type="cellIs" dxfId="363" priority="3" operator="notEqual">
      <formula>AS28</formula>
    </cfRule>
  </conditionalFormatting>
  <conditionalFormatting sqref="AX29">
    <cfRule type="cellIs" dxfId="362" priority="2" operator="notEqual">
      <formula>AX28</formula>
    </cfRule>
  </conditionalFormatting>
  <conditionalFormatting sqref="AY29">
    <cfRule type="cellIs" dxfId="361" priority="1" operator="notEqual">
      <formula>AY28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R60" activePane="bottomRight" state="frozen"/>
      <selection activeCell="BG71" sqref="BG71"/>
      <selection pane="topRight" activeCell="BG71" sqref="BG71"/>
      <selection pane="bottomLeft" activeCell="BG71" sqref="BG71"/>
      <selection pane="bottomRight" activeCell="BG67" sqref="BG67:BL72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49" width="16.28515625" style="480" customWidth="1"/>
    <col min="50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  <c r="BJ1" s="480" t="s">
        <v>333</v>
      </c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617">
        <v>0.01</v>
      </c>
      <c r="AX4" s="486"/>
      <c r="AY4" s="486"/>
      <c r="AZ4" s="486"/>
      <c r="BA4" s="586"/>
      <c r="BB4" s="486"/>
      <c r="BC4" s="486"/>
      <c r="BD4" s="486"/>
      <c r="BE4" s="486"/>
      <c r="BF4" s="577"/>
      <c r="BG4" s="542">
        <v>201704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480">
        <f t="shared" si="6"/>
        <v>-7026045.6393119935</v>
      </c>
      <c r="AY5" s="480">
        <f>AX13</f>
        <v>-7065665.2136179935</v>
      </c>
      <c r="AZ5" s="480">
        <f>AY13</f>
        <v>-7042064.5594839938</v>
      </c>
      <c r="BA5" s="480">
        <f t="shared" ref="BA5" si="7">AZ13</f>
        <v>-7794940.9360229941</v>
      </c>
      <c r="BB5" s="480">
        <f>BA13</f>
        <v>-8736875.4578779936</v>
      </c>
      <c r="BC5" s="480">
        <f>BB13</f>
        <v>-9575852.5093189925</v>
      </c>
      <c r="BD5" s="480">
        <f t="shared" ref="BD5" si="8">BC13</f>
        <v>-11244295.662050992</v>
      </c>
      <c r="BE5" s="480">
        <f>BD13</f>
        <v>-4584019.4593939921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328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5614.37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571979.86182499968</v>
      </c>
    </row>
    <row r="8" spans="1:64">
      <c r="C8" s="479" t="s">
        <v>255</v>
      </c>
      <c r="D8" s="480">
        <f t="shared" si="9"/>
        <v>-76657.45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:AY8" si="10">ROUND(((AW5+AW9+AW10+AW11)*(AW4/12))+((SUM(AW6:AW7)/2)*(AW4/12)),2)</f>
        <v>-5614.37</v>
      </c>
      <c r="AX8" s="555">
        <f t="shared" si="10"/>
        <v>0</v>
      </c>
      <c r="AY8" s="555">
        <f t="shared" si="10"/>
        <v>0</v>
      </c>
      <c r="AZ8" s="555">
        <f>ROUND(((AZ5+AZ9+AZ10+AZ11)*(AZ4/12))+((SUM(AZ6:AZ7)/2)*(AZ4/12)),2)</f>
        <v>0</v>
      </c>
      <c r="BA8" s="555">
        <f t="shared" ref="BA8" si="11">ROUND(((BA5+BA9+BA10+BA11)*(BA4/12))+((SUM(BA6:BA7)/2)*(BA4/12)),2)</f>
        <v>0</v>
      </c>
      <c r="BB8" s="555">
        <f>ROUND(((BB5+BB9+BB10+BB11)*(BB4/12))+((SUM(BB6:BB7)/2)*(BB4/12)),2)</f>
        <v>0</v>
      </c>
      <c r="BC8" s="555">
        <f>ROUND(((BC5+BC9+BC10+BC11)*(BC4/12))+((SUM(BC6:BC7)/2)*(BC4/12)),2)</f>
        <v>0</v>
      </c>
      <c r="BD8" s="555">
        <f>ROUND(((BD5+BD9+BD10+BD11)*(BD4/12))+((SUM(BD6:BD7)/2)*(BD4/12)),2)</f>
        <v>0</v>
      </c>
      <c r="BE8" s="555">
        <f>ROUND(((BE5+BE9+BE10+BE11)*(BE4/12))+((SUM(BE6:BE7)/2)*(BE4/12)),2)</f>
        <v>0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566365.49182499968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89762.37000000001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50016.69000000001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-7026045.6393119935</v>
      </c>
      <c r="AX13" s="539">
        <f>SUM(AX5:AX12)</f>
        <v>-7065665.2136179935</v>
      </c>
      <c r="AY13" s="608">
        <f t="shared" ref="AY13:BD13" si="15">SUM(AY5:AY12)</f>
        <v>-7042064.5594839938</v>
      </c>
      <c r="AZ13" s="539">
        <f t="shared" si="15"/>
        <v>-7794940.9360229941</v>
      </c>
      <c r="BA13" s="539">
        <f t="shared" si="15"/>
        <v>-8736875.4578779936</v>
      </c>
      <c r="BB13" s="539">
        <f t="shared" si="15"/>
        <v>-9575852.5093189925</v>
      </c>
      <c r="BC13" s="539">
        <f t="shared" si="15"/>
        <v>-11244295.662050992</v>
      </c>
      <c r="BD13" s="602">
        <f t="shared" si="15"/>
        <v>-4584019.4593939921</v>
      </c>
      <c r="BE13" s="539">
        <f>SUM(BE5:BE12)</f>
        <v>-6235570.2125399904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601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-9.3119936063885689E-3</v>
      </c>
      <c r="AX15" s="480">
        <f t="shared" si="18"/>
        <v>5871.5363820064813</v>
      </c>
      <c r="AY15" s="480">
        <f t="shared" si="18"/>
        <v>11754.650516006164</v>
      </c>
      <c r="AZ15" s="480">
        <f>AZ13-AZ14</f>
        <v>17946.533977005631</v>
      </c>
      <c r="BA15" s="480">
        <f t="shared" ref="BA15:BE15" si="19">BA13-BA14</f>
        <v>24849.742122005671</v>
      </c>
      <c r="BB15" s="480">
        <f t="shared" si="19"/>
        <v>32500.750681007281</v>
      </c>
      <c r="BC15" s="480">
        <f t="shared" si="19"/>
        <v>-1635942.4020509925</v>
      </c>
      <c r="BD15" s="480">
        <f t="shared" si="19"/>
        <v>5024333.8006060077</v>
      </c>
      <c r="BE15" s="480">
        <f t="shared" si="19"/>
        <v>-6235570.2125399904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621">
        <f>Apr!$K36</f>
        <v>4807641</v>
      </c>
      <c r="AX19" s="489">
        <f>May!$K36</f>
        <v>2613793</v>
      </c>
      <c r="AY19" s="489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621">
        <f>Apr!$K37</f>
        <v>1910087</v>
      </c>
      <c r="AX20" s="489">
        <f>May!$K37</f>
        <v>1315495</v>
      </c>
      <c r="AY20" s="489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621"/>
      <c r="AX21" s="489"/>
      <c r="AY21" s="489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621"/>
      <c r="AX22" s="489"/>
      <c r="AY22" s="489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621"/>
      <c r="AX23" s="489"/>
      <c r="AY23" s="489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621">
        <f>Apr!$K41</f>
        <v>0</v>
      </c>
      <c r="AX24" s="489">
        <f>May!$K41</f>
        <v>0</v>
      </c>
      <c r="AY24" s="489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6717728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8">
        <v>9.3079999999999996E-2</v>
      </c>
      <c r="AX31" s="613">
        <v>2.8709999999999999E-2</v>
      </c>
      <c r="AY31" s="613">
        <v>2.8709999999999999E-2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8">
        <v>9.3079999999999996E-2</v>
      </c>
      <c r="AX32" s="613">
        <v>2.8709999999999999E-2</v>
      </c>
      <c r="AY32" s="613">
        <v>2.8709999999999999E-2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8"/>
      <c r="AX33" s="613"/>
      <c r="AY33" s="613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8"/>
      <c r="AX34" s="613"/>
      <c r="AY34" s="613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8"/>
      <c r="AX35" s="613"/>
      <c r="AY35" s="613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8">
        <v>9.665E-2</v>
      </c>
      <c r="AX36" s="613">
        <v>3.0040000000000001E-2</v>
      </c>
      <c r="AY36" s="613">
        <v>3.0040000000000001E-2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617">
        <v>0.01</v>
      </c>
      <c r="AX41" s="486"/>
      <c r="AY41" s="486"/>
      <c r="AZ41" s="486"/>
      <c r="BA41" s="586"/>
      <c r="BB41" s="486"/>
      <c r="BC41" s="486"/>
      <c r="BD41" s="486"/>
      <c r="BE41" s="486"/>
      <c r="BF41" s="577"/>
      <c r="BG41" s="511">
        <f>BG4</f>
        <v>201704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480">
        <f t="shared" si="38"/>
        <v>-841900.16822978447</v>
      </c>
      <c r="AY42" s="480">
        <f t="shared" si="38"/>
        <v>-729090.30974978441</v>
      </c>
      <c r="AZ42" s="480">
        <f t="shared" si="38"/>
        <v>-655800.36917978444</v>
      </c>
      <c r="BA42" s="480">
        <f t="shared" si="38"/>
        <v>-597834.44852978445</v>
      </c>
      <c r="BB42" s="480">
        <f>BA47</f>
        <v>-530282.23016978451</v>
      </c>
      <c r="BC42" s="480">
        <f>BB47</f>
        <v>-460304.73455978453</v>
      </c>
      <c r="BD42" s="480">
        <f>BC47</f>
        <v>-266171.96363978449</v>
      </c>
      <c r="BE42" s="480">
        <f t="shared" ref="BE42" si="39">BD47</f>
        <v>-6684602.5836397847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>SUMPRODUCT(AW19:AW24,AW31:AW36)</f>
        <v>625286.12223999994</v>
      </c>
      <c r="AX43" s="558">
        <f t="shared" si="43"/>
        <v>112809.85848</v>
      </c>
      <c r="AY43" s="558">
        <f t="shared" si="43"/>
        <v>73289.940570000006</v>
      </c>
      <c r="AZ43" s="558">
        <f t="shared" si="43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961.31825924211853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>((AS42*(AS41/12))+((AS43/2)*(AS41/12)))</f>
        <v>-4655.8898418244135</v>
      </c>
      <c r="AT44" s="487">
        <f>((AT42*(AT41/12))+((AT43/2)*(AT41/12)))</f>
        <v>-3444.5647273259347</v>
      </c>
      <c r="AU44" s="487">
        <f>((AU42*(AU41/12))+((AU43/2)*(AU41/12)))</f>
        <v>-2394.9101769820395</v>
      </c>
      <c r="AV44" s="487">
        <f>((AV42*(AV41/12))+((AV43/2)*(AV41/12)))</f>
        <v>-1591.9685951128577</v>
      </c>
      <c r="AW44" s="487">
        <f>((AW42*(AW41/12))+((AW43/2)*(AW41/12)))</f>
        <v>-961.31825924211853</v>
      </c>
      <c r="AX44" s="487">
        <f t="shared" ref="AX44:BB44" si="47">((AX42*(AX41/12))+((AX43/2)*(AX41/12)))</f>
        <v>0</v>
      </c>
      <c r="AY44" s="487">
        <f t="shared" si="47"/>
        <v>0</v>
      </c>
      <c r="AZ44" s="487">
        <f t="shared" si="47"/>
        <v>0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624324.80398075783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625286.12223999994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-841900.16822978447</v>
      </c>
      <c r="AX47" s="539">
        <f t="shared" si="51"/>
        <v>-729090.30974978441</v>
      </c>
      <c r="AY47" s="539">
        <f t="shared" si="51"/>
        <v>-655800.36917978444</v>
      </c>
      <c r="AZ47" s="539">
        <f t="shared" si="51"/>
        <v>-597834.44852978445</v>
      </c>
      <c r="BA47" s="539">
        <f t="shared" si="51"/>
        <v>-530282.23016978451</v>
      </c>
      <c r="BB47" s="539">
        <f t="shared" si="51"/>
        <v>-460304.73455978453</v>
      </c>
      <c r="BC47" s="539">
        <f t="shared" si="51"/>
        <v>-266171.96363978449</v>
      </c>
      <c r="BD47" s="539">
        <f t="shared" si="51"/>
        <v>-6684602.5836397847</v>
      </c>
      <c r="BE47" s="539">
        <f>SUM(BE42:BE46)</f>
        <v>-5253779.5836397847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1.7702155746519566E-3</v>
      </c>
      <c r="AX49" s="480">
        <f t="shared" si="54"/>
        <v>-252379.06974978442</v>
      </c>
      <c r="AY49" s="480">
        <f t="shared" si="54"/>
        <v>-416402.42917978443</v>
      </c>
      <c r="AZ49" s="480">
        <f t="shared" si="54"/>
        <v>-546245.22852978448</v>
      </c>
      <c r="BA49" s="480">
        <f t="shared" si="54"/>
        <v>-697750.69016978447</v>
      </c>
      <c r="BB49" s="480">
        <f t="shared" si="54"/>
        <v>-854879.63455978455</v>
      </c>
      <c r="BC49" s="480">
        <f>BC47-BC48</f>
        <v>-660746.86363978451</v>
      </c>
      <c r="BD49" s="480">
        <f t="shared" ref="BD49" si="55">BD47-BD48</f>
        <v>-7079177.4836397851</v>
      </c>
      <c r="BE49" s="480">
        <f>BE47-BE48</f>
        <v>-5253779.5836397847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621">
        <f>Apr!$K36</f>
        <v>4807641</v>
      </c>
      <c r="AX52" s="489">
        <f>May!$K36</f>
        <v>2613793</v>
      </c>
      <c r="AY52" s="489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621">
        <f>Apr!$K37</f>
        <v>1910087</v>
      </c>
      <c r="AX53" s="489">
        <f>May!$K37</f>
        <v>1315495</v>
      </c>
      <c r="AY53" s="489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621">
        <f>Apr!$K38</f>
        <v>7675</v>
      </c>
      <c r="AX54" s="489">
        <f>May!$K38</f>
        <v>29168</v>
      </c>
      <c r="AY54" s="489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621">
        <f>Apr!$K39</f>
        <v>0</v>
      </c>
      <c r="AX55" s="489">
        <f>May!$K39</f>
        <v>0</v>
      </c>
      <c r="AY55" s="489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621"/>
      <c r="AX56" s="489"/>
      <c r="AY56" s="489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621"/>
      <c r="AX57" s="489"/>
      <c r="AY57" s="489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621">
        <f>Apr!$K42</f>
        <v>0</v>
      </c>
      <c r="AX58" s="489">
        <f>May!$K42</f>
        <v>0</v>
      </c>
      <c r="AY58" s="489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6725403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8">
        <v>0</v>
      </c>
      <c r="AX64" s="613">
        <v>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8">
        <v>0</v>
      </c>
      <c r="AX65" s="613">
        <v>0</v>
      </c>
      <c r="AY65" s="613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8">
        <v>0</v>
      </c>
      <c r="AX66" s="613">
        <v>0</v>
      </c>
      <c r="AY66" s="613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8">
        <v>0</v>
      </c>
      <c r="AX67" s="613">
        <v>0</v>
      </c>
      <c r="AY67" s="613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8"/>
      <c r="AX68" s="613"/>
      <c r="AY68" s="613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8"/>
      <c r="AX69" s="613"/>
      <c r="AY69" s="613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8">
        <v>0</v>
      </c>
      <c r="AX70" s="613">
        <v>0</v>
      </c>
      <c r="AY70" s="613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617">
        <v>0.01</v>
      </c>
      <c r="AX74" s="486"/>
      <c r="AY74" s="486"/>
      <c r="AZ74" s="486"/>
      <c r="BA74" s="586"/>
      <c r="BB74" s="486"/>
      <c r="BC74" s="486"/>
      <c r="BD74" s="486"/>
      <c r="BE74" s="486"/>
      <c r="BF74" s="577"/>
      <c r="BG74" s="511">
        <f>BG4</f>
        <v>201704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480">
        <f t="shared" si="74"/>
        <v>-12162.103611547136</v>
      </c>
      <c r="AY75" s="480">
        <f t="shared" si="74"/>
        <v>-12162.103611547136</v>
      </c>
      <c r="AZ75" s="480">
        <f>AY79</f>
        <v>-12162.103611547136</v>
      </c>
      <c r="BA75" s="480">
        <f t="shared" ref="BA75:BB75" si="75">AZ79</f>
        <v>-12162.103611547136</v>
      </c>
      <c r="BB75" s="480">
        <f t="shared" si="75"/>
        <v>-12162.103611547136</v>
      </c>
      <c r="BC75" s="480">
        <f>BB79</f>
        <v>-12162.103611547136</v>
      </c>
      <c r="BD75" s="480">
        <f t="shared" ref="BD75:BE75" si="76">BC79</f>
        <v>-12162.103611547136</v>
      </c>
      <c r="BE75" s="480">
        <f t="shared" si="76"/>
        <v>-12162.103611547136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10.126647470064228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V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 t="shared" si="80"/>
        <v>-10.084558386746618</v>
      </c>
      <c r="AS77" s="487">
        <f t="shared" si="80"/>
        <v>-10.092962185402241</v>
      </c>
      <c r="AT77" s="487">
        <f t="shared" si="80"/>
        <v>-10.10137298722341</v>
      </c>
      <c r="AU77" s="487">
        <f t="shared" si="80"/>
        <v>-10.109790798046095</v>
      </c>
      <c r="AV77" s="487">
        <f t="shared" si="80"/>
        <v>-10.118215623711134</v>
      </c>
      <c r="AW77" s="487">
        <f>((AW75*(AW74/12))+((AW76/2)*(AW74/12)))</f>
        <v>-10.126647470064228</v>
      </c>
      <c r="AX77" s="487">
        <f t="shared" ref="AX77:BC77" si="81">((AX75*(AX74/12))+((AX76/2)*(AX74/12)))</f>
        <v>0</v>
      </c>
      <c r="AY77" s="487">
        <f t="shared" si="81"/>
        <v>0</v>
      </c>
      <c r="AZ77" s="487">
        <f t="shared" si="81"/>
        <v>0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10.126647470064228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-12162.103611547136</v>
      </c>
      <c r="AX79" s="539">
        <f t="shared" si="83"/>
        <v>-12162.103611547136</v>
      </c>
      <c r="AY79" s="539">
        <f t="shared" si="83"/>
        <v>-12162.103611547136</v>
      </c>
      <c r="AZ79" s="539">
        <f t="shared" si="83"/>
        <v>-12162.103611547136</v>
      </c>
      <c r="BA79" s="539">
        <f t="shared" si="83"/>
        <v>-12162.103611547136</v>
      </c>
      <c r="BB79" s="539">
        <f t="shared" si="83"/>
        <v>-12162.103611547136</v>
      </c>
      <c r="BC79" s="539">
        <f t="shared" si="83"/>
        <v>-12162.103611547136</v>
      </c>
      <c r="BD79" s="539">
        <f t="shared" si="83"/>
        <v>-12162.103611547136</v>
      </c>
      <c r="BE79" s="539">
        <f>SUM(BE75:BE78)</f>
        <v>-12162.103611547136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1.638845286470314E-2</v>
      </c>
      <c r="AX81" s="480">
        <f t="shared" si="84"/>
        <v>10.156388452864121</v>
      </c>
      <c r="AY81" s="480">
        <f t="shared" si="84"/>
        <v>20.296388452863539</v>
      </c>
      <c r="AZ81" s="480">
        <f t="shared" si="84"/>
        <v>30.446388452863175</v>
      </c>
      <c r="BA81" s="480">
        <f t="shared" si="84"/>
        <v>40.60638845286303</v>
      </c>
      <c r="BB81" s="480">
        <f t="shared" si="84"/>
        <v>50.776388452863102</v>
      </c>
      <c r="BC81" s="480">
        <f t="shared" si="84"/>
        <v>50.776388452863102</v>
      </c>
      <c r="BD81" s="480">
        <f t="shared" si="84"/>
        <v>50.776388452863102</v>
      </c>
      <c r="BE81" s="480">
        <f t="shared" si="84"/>
        <v>-12162.103611547136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360" priority="26" operator="notEqual">
      <formula>F27</formula>
    </cfRule>
  </conditionalFormatting>
  <conditionalFormatting sqref="G28">
    <cfRule type="cellIs" dxfId="359" priority="25" operator="notEqual">
      <formula>G27</formula>
    </cfRule>
  </conditionalFormatting>
  <conditionalFormatting sqref="H28">
    <cfRule type="cellIs" dxfId="358" priority="24" operator="notEqual">
      <formula>H27</formula>
    </cfRule>
  </conditionalFormatting>
  <conditionalFormatting sqref="I28">
    <cfRule type="cellIs" dxfId="357" priority="23" operator="notEqual">
      <formula>I27</formula>
    </cfRule>
  </conditionalFormatting>
  <conditionalFormatting sqref="D28">
    <cfRule type="cellIs" dxfId="356" priority="22" operator="notEqual">
      <formula>D27</formula>
    </cfRule>
  </conditionalFormatting>
  <conditionalFormatting sqref="G61">
    <cfRule type="cellIs" dxfId="355" priority="21" operator="notEqual">
      <formula>G60</formula>
    </cfRule>
  </conditionalFormatting>
  <conditionalFormatting sqref="H61">
    <cfRule type="cellIs" dxfId="354" priority="20" operator="notEqual">
      <formula>H60</formula>
    </cfRule>
  </conditionalFormatting>
  <conditionalFormatting sqref="I61">
    <cfRule type="cellIs" dxfId="353" priority="19" operator="notEqual">
      <formula>I60</formula>
    </cfRule>
  </conditionalFormatting>
  <conditionalFormatting sqref="D61">
    <cfRule type="cellIs" dxfId="352" priority="18" operator="notEqual">
      <formula>D60</formula>
    </cfRule>
  </conditionalFormatting>
  <conditionalFormatting sqref="J61">
    <cfRule type="cellIs" dxfId="351" priority="17" operator="notEqual">
      <formula>J60</formula>
    </cfRule>
  </conditionalFormatting>
  <conditionalFormatting sqref="BL81 BL48 BL11">
    <cfRule type="cellIs" dxfId="350" priority="16" operator="notEqual">
      <formula>0</formula>
    </cfRule>
  </conditionalFormatting>
  <conditionalFormatting sqref="J28">
    <cfRule type="cellIs" dxfId="349" priority="15" operator="notEqual">
      <formula>J27</formula>
    </cfRule>
  </conditionalFormatting>
  <conditionalFormatting sqref="K28">
    <cfRule type="cellIs" dxfId="348" priority="14" operator="notEqual">
      <formula>K27</formula>
    </cfRule>
  </conditionalFormatting>
  <conditionalFormatting sqref="K61">
    <cfRule type="cellIs" dxfId="347" priority="13" operator="notEqual">
      <formula>K60</formula>
    </cfRule>
  </conditionalFormatting>
  <conditionalFormatting sqref="L28">
    <cfRule type="cellIs" dxfId="346" priority="12" operator="notEqual">
      <formula>L27</formula>
    </cfRule>
  </conditionalFormatting>
  <conditionalFormatting sqref="L61">
    <cfRule type="cellIs" dxfId="345" priority="11" operator="notEqual">
      <formula>L60</formula>
    </cfRule>
  </conditionalFormatting>
  <conditionalFormatting sqref="M28:N28">
    <cfRule type="cellIs" dxfId="344" priority="10" operator="notEqual">
      <formula>M27</formula>
    </cfRule>
  </conditionalFormatting>
  <conditionalFormatting sqref="O28">
    <cfRule type="cellIs" dxfId="343" priority="9" operator="notEqual">
      <formula>O27</formula>
    </cfRule>
  </conditionalFormatting>
  <conditionalFormatting sqref="V61">
    <cfRule type="cellIs" dxfId="342" priority="8" operator="notEqual">
      <formula>V60</formula>
    </cfRule>
  </conditionalFormatting>
  <conditionalFormatting sqref="V28:W28">
    <cfRule type="cellIs" dxfId="341" priority="7" operator="notEqual">
      <formula>V27</formula>
    </cfRule>
  </conditionalFormatting>
  <conditionalFormatting sqref="W28">
    <cfRule type="cellIs" dxfId="340" priority="6" operator="notEqual">
      <formula>W27</formula>
    </cfRule>
  </conditionalFormatting>
  <conditionalFormatting sqref="W61">
    <cfRule type="cellIs" dxfId="339" priority="5" operator="notEqual">
      <formula>W60</formula>
    </cfRule>
  </conditionalFormatting>
  <conditionalFormatting sqref="X28">
    <cfRule type="cellIs" dxfId="338" priority="4" operator="notEqual">
      <formula>X27</formula>
    </cfRule>
  </conditionalFormatting>
  <conditionalFormatting sqref="X61">
    <cfRule type="cellIs" dxfId="337" priority="3" operator="notEqual">
      <formula>X60</formula>
    </cfRule>
  </conditionalFormatting>
  <conditionalFormatting sqref="Y28:Z28">
    <cfRule type="cellIs" dxfId="336" priority="2" operator="notEqual">
      <formula>Y27</formula>
    </cfRule>
  </conditionalFormatting>
  <conditionalFormatting sqref="AA28">
    <cfRule type="cellIs" dxfId="335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P4" activePane="bottomRight" state="frozen"/>
      <selection activeCell="BG67" sqref="BG67:BL72"/>
      <selection pane="topRight" activeCell="BG67" sqref="BG67:BL72"/>
      <selection pane="bottomLeft" activeCell="BG67" sqref="BG67:BL72"/>
      <selection pane="bottomRight" activeCell="BG67" sqref="BG67:BL72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customWidth="1"/>
    <col min="48" max="48" width="15.5703125" style="480" hidden="1" customWidth="1" outlineLevel="1"/>
    <col min="49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4.4257812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617">
        <v>3.5000000000000003E-2</v>
      </c>
      <c r="AV4" s="486"/>
      <c r="AW4" s="486"/>
      <c r="AX4" s="486"/>
      <c r="AY4" s="486"/>
      <c r="AZ4" s="586"/>
      <c r="BA4" s="486"/>
      <c r="BB4" s="486"/>
      <c r="BC4" s="486"/>
      <c r="BD4" s="486"/>
      <c r="BE4" s="577"/>
      <c r="BF4" s="542">
        <v>201703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>AT13</f>
        <v>-12338677.191237787</v>
      </c>
      <c r="AV5" s="480">
        <f t="shared" ref="AV5:AX5" si="5">AU13</f>
        <v>-13990367.081666788</v>
      </c>
      <c r="AW5" s="480">
        <f t="shared" si="5"/>
        <v>-15128438.589781789</v>
      </c>
      <c r="AX5" s="480">
        <f t="shared" si="5"/>
        <v>-15006381.57234579</v>
      </c>
      <c r="AY5" s="480">
        <f>AX13</f>
        <v>-14633340.30731979</v>
      </c>
      <c r="AZ5" s="480">
        <f t="shared" ref="AZ5" si="6">AY13</f>
        <v>-15721395.44255079</v>
      </c>
      <c r="BA5" s="480">
        <f>AZ13</f>
        <v>-16734717.407435788</v>
      </c>
      <c r="BB5" s="480">
        <f t="shared" ref="BB5" si="7">BA13</f>
        <v>-18660660.518894788</v>
      </c>
      <c r="BC5" s="480">
        <f>BB13</f>
        <v>-21581506.163472787</v>
      </c>
      <c r="BD5" s="480">
        <f t="shared" ref="BD5" si="8">BC13</f>
        <v>-7662853.1729997825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38340.61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1651689.8904290022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>ROUND(((AR5)*(AR4/12))+((SUM(AR6:AR7)/2)*(AR4/12)),2)</f>
        <v>-14406.68</v>
      </c>
      <c r="AS8" s="555">
        <f>ROUND(((AS5)*(AS4/12))+((SUM(AS6:AS7)/2)*(AS4/12)),2)</f>
        <v>-24852.09</v>
      </c>
      <c r="AT8" s="555">
        <f>ROUND(((AT5)*(AT4/12))+((SUM(AT6:AT7)/2)*(AT4/12)),2)</f>
        <v>-32890.959999999999</v>
      </c>
      <c r="AU8" s="555">
        <f>ROUND(((AU5)*(AU4/12))+((SUM(AU6:AU7)/2)*(AU4/12)),2)</f>
        <v>-38340.61</v>
      </c>
      <c r="AV8" s="555">
        <f t="shared" ref="AV8:BA8" si="11">ROUND(((AV5)*(AV4/12))+((SUM(AV6:AV7)/2)*(AV4/12)),2)</f>
        <v>0</v>
      </c>
      <c r="AW8" s="555">
        <f t="shared" si="11"/>
        <v>0</v>
      </c>
      <c r="AX8" s="555">
        <f t="shared" si="11"/>
        <v>0</v>
      </c>
      <c r="AY8" s="555">
        <f t="shared" si="11"/>
        <v>0</v>
      </c>
      <c r="AZ8" s="555">
        <f t="shared" si="11"/>
        <v>0</v>
      </c>
      <c r="BA8" s="555">
        <f t="shared" si="11"/>
        <v>0</v>
      </c>
      <c r="BB8" s="555">
        <f>ROUND(((BB5)*(BB4/12))+((SUM(BB6:BB7)/2)*(BB4/12)),2)</f>
        <v>0</v>
      </c>
      <c r="BC8" s="555">
        <f>ROUND(((BC5+BC9+BC10+BC11)*(BC4/12))+((SUM(BC6:BC7)/2)*(BC4/12)),2)</f>
        <v>0</v>
      </c>
      <c r="BD8" s="487">
        <f>ROUND(((BD5)*(BD4/12))+((SUM(BD6:BD7)/2)*(BD4/12)),2)</f>
        <v>0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1613349.2804290021</v>
      </c>
      <c r="BK8" s="498">
        <f>IF((SUMIF(AG3:BD3,BF4,AG6:BD6)+SUMIF(AG3:BD3,BF4,AG7:BD7))&gt;0,(SUMIF(AG3:BD3,BF4,AG6:BD6)+SUMIF(AG3:BD3,BF4,AG7:BD7)),0)</f>
        <v>0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300289.58999999997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2">SUM(F5:F12)</f>
        <v>2255013.9900000002</v>
      </c>
      <c r="G13" s="539">
        <f>SUM(G5:G12)</f>
        <v>-33498.738666789999</v>
      </c>
      <c r="H13" s="539">
        <f t="shared" si="12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3">SUM(V5:V12)</f>
        <v>-1694440.0214187815</v>
      </c>
      <c r="W13" s="539">
        <f t="shared" si="13"/>
        <v>-683405.33395377884</v>
      </c>
      <c r="X13" s="539">
        <f t="shared" si="13"/>
        <v>-2769396.4708657796</v>
      </c>
      <c r="Y13" s="539">
        <f>SUM(Y5:Y12)</f>
        <v>-2940906.6891037785</v>
      </c>
      <c r="Z13" s="539">
        <f t="shared" ref="Z13:AE13" si="14">SUM(Z5:Z12)</f>
        <v>-3112721.2246137792</v>
      </c>
      <c r="AA13" s="539">
        <f t="shared" si="14"/>
        <v>-3464489.8670317773</v>
      </c>
      <c r="AB13" s="539">
        <f t="shared" si="14"/>
        <v>-3555298.2266717753</v>
      </c>
      <c r="AC13" s="539">
        <f t="shared" si="14"/>
        <v>-4755858.0107337767</v>
      </c>
      <c r="AD13" s="539">
        <f t="shared" si="14"/>
        <v>-5900360.3440987766</v>
      </c>
      <c r="AE13" s="539">
        <f t="shared" si="14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5">SUM(AI5:AI12)</f>
        <v>-10398819.535470769</v>
      </c>
      <c r="AJ13" s="539">
        <f t="shared" si="15"/>
        <v>-12153304.785960769</v>
      </c>
      <c r="AK13" s="539">
        <f t="shared" si="15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5"/>
        <v>-15660034.00335677</v>
      </c>
      <c r="AO13" s="539">
        <f>SUM(AO5:AO12)</f>
        <v>-16306032.832939774</v>
      </c>
      <c r="AP13" s="539">
        <f t="shared" si="15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>SUM(AU5:AU12)</f>
        <v>-13990367.081666788</v>
      </c>
      <c r="AV13" s="539">
        <f t="shared" ref="AV13:AW13" si="16">SUM(AV5:AV12)</f>
        <v>-15128438.589781789</v>
      </c>
      <c r="AW13" s="539">
        <f t="shared" si="16"/>
        <v>-15006381.57234579</v>
      </c>
      <c r="AX13" s="539">
        <f>SUM(AX5:AX12)</f>
        <v>-14633340.30731979</v>
      </c>
      <c r="AY13" s="539">
        <f t="shared" ref="AY13:AZ13" si="17">SUM(AY5:AY12)</f>
        <v>-15721395.44255079</v>
      </c>
      <c r="AZ13" s="539">
        <f t="shared" si="17"/>
        <v>-16734717.407435788</v>
      </c>
      <c r="BA13" s="539">
        <f>SUM(BA5:BA12)</f>
        <v>-18660660.518894788</v>
      </c>
      <c r="BB13" s="539">
        <f t="shared" ref="BB13" si="18">SUM(BB5:BB12)</f>
        <v>-21581506.163472787</v>
      </c>
      <c r="BC13" s="602">
        <f>SUM(BC5:BC12)</f>
        <v>-7662853.1729997825</v>
      </c>
      <c r="BD13" s="539">
        <f>SUM(BD5:BD12)</f>
        <v>-11391710.959853781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601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19">E13-E14</f>
        <v>1.0000000242143869E-2</v>
      </c>
      <c r="F15" s="480">
        <f t="shared" si="19"/>
        <v>1.0000000242143869E-2</v>
      </c>
      <c r="G15" s="480">
        <f t="shared" si="19"/>
        <v>1.1333210000884719E-2</v>
      </c>
      <c r="H15" s="480">
        <f t="shared" si="19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0">V13-V14</f>
        <v>-1.418781466782093E-3</v>
      </c>
      <c r="W15" s="480">
        <f t="shared" si="20"/>
        <v>-3.9537788834422827E-3</v>
      </c>
      <c r="X15" s="480">
        <f t="shared" si="20"/>
        <v>-8.6577935144305229E-4</v>
      </c>
      <c r="Y15" s="480">
        <f t="shared" si="20"/>
        <v>8.9622149243950844E-4</v>
      </c>
      <c r="Z15" s="480">
        <f t="shared" si="20"/>
        <v>5.3862207569181919E-3</v>
      </c>
      <c r="AA15" s="480">
        <f t="shared" si="20"/>
        <v>2.9682228341698647E-3</v>
      </c>
      <c r="AB15" s="480">
        <f t="shared" si="20"/>
        <v>3.3282246440649033E-3</v>
      </c>
      <c r="AC15" s="480">
        <f t="shared" si="20"/>
        <v>-7.3377694934606552E-4</v>
      </c>
      <c r="AD15" s="480">
        <f t="shared" si="20"/>
        <v>-4.0987767279148102E-3</v>
      </c>
      <c r="AE15" s="480">
        <f t="shared" si="20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1">AH13-AH14</f>
        <v>5.9522874653339386E-4</v>
      </c>
      <c r="AI15" s="480">
        <f t="shared" si="21"/>
        <v>4.5292302966117859E-3</v>
      </c>
      <c r="AJ15" s="480">
        <f t="shared" si="21"/>
        <v>4.0392298251390457E-3</v>
      </c>
      <c r="AK15" s="480">
        <f t="shared" si="21"/>
        <v>7.895229384303093E-3</v>
      </c>
      <c r="AL15" s="480">
        <f t="shared" si="21"/>
        <v>5.0072316080331802E-3</v>
      </c>
      <c r="AM15" s="480">
        <f>AM13-AM14</f>
        <v>2.2832304239273071E-3</v>
      </c>
      <c r="AN15" s="480">
        <f t="shared" si="21"/>
        <v>6.6432300955057144E-3</v>
      </c>
      <c r="AO15" s="480">
        <f t="shared" si="21"/>
        <v>7.0602260529994965E-3</v>
      </c>
      <c r="AP15" s="480">
        <f t="shared" si="21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2">AT13-AT14</f>
        <v>1.8762214109301567E-2</v>
      </c>
      <c r="AU15" s="480">
        <f t="shared" si="22"/>
        <v>1.8333211541175842E-2</v>
      </c>
      <c r="AV15" s="480">
        <f t="shared" si="22"/>
        <v>45012.840218210593</v>
      </c>
      <c r="AW15" s="480">
        <f t="shared" si="22"/>
        <v>91735.407654210925</v>
      </c>
      <c r="AX15" s="480">
        <f t="shared" si="22"/>
        <v>137837.09268021025</v>
      </c>
      <c r="AY15" s="480">
        <f t="shared" si="22"/>
        <v>188377.27744921111</v>
      </c>
      <c r="AZ15" s="480">
        <f t="shared" si="22"/>
        <v>242551.50256421231</v>
      </c>
      <c r="BA15" s="480">
        <f t="shared" si="22"/>
        <v>301754.29110521078</v>
      </c>
      <c r="BB15" s="480">
        <f t="shared" si="22"/>
        <v>-2619091.3534727879</v>
      </c>
      <c r="BC15" s="480">
        <f>BC13-BC14</f>
        <v>11299561.637000216</v>
      </c>
      <c r="BD15" s="480">
        <f>BD13-BD14</f>
        <v>-11391710.959853781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3">U18+1</f>
        <v>201502</v>
      </c>
      <c r="W18" s="482">
        <f t="shared" si="23"/>
        <v>201503</v>
      </c>
      <c r="X18" s="482">
        <f t="shared" si="23"/>
        <v>201504</v>
      </c>
      <c r="Y18" s="482">
        <f t="shared" si="23"/>
        <v>201505</v>
      </c>
      <c r="Z18" s="482">
        <f t="shared" si="23"/>
        <v>201506</v>
      </c>
      <c r="AA18" s="482">
        <f t="shared" si="23"/>
        <v>201507</v>
      </c>
      <c r="AB18" s="482">
        <f t="shared" si="23"/>
        <v>201508</v>
      </c>
      <c r="AC18" s="482">
        <f t="shared" si="23"/>
        <v>201509</v>
      </c>
      <c r="AD18" s="482">
        <f t="shared" si="23"/>
        <v>201510</v>
      </c>
      <c r="AE18" s="482">
        <f>AD18+1</f>
        <v>201511</v>
      </c>
      <c r="AF18" s="482">
        <f t="shared" ref="AF18" si="24">AE18+1</f>
        <v>201512</v>
      </c>
      <c r="AG18" s="482">
        <v>201601</v>
      </c>
      <c r="AH18" s="482">
        <f>AG18+1</f>
        <v>201602</v>
      </c>
      <c r="AI18" s="482">
        <f t="shared" ref="AI18:AR18" si="25">AH18+1</f>
        <v>201603</v>
      </c>
      <c r="AJ18" s="482">
        <f t="shared" si="25"/>
        <v>201604</v>
      </c>
      <c r="AK18" s="482">
        <f t="shared" si="25"/>
        <v>201605</v>
      </c>
      <c r="AL18" s="482">
        <f t="shared" si="25"/>
        <v>201606</v>
      </c>
      <c r="AM18" s="482">
        <f t="shared" si="25"/>
        <v>201607</v>
      </c>
      <c r="AN18" s="482">
        <f t="shared" si="25"/>
        <v>201608</v>
      </c>
      <c r="AO18" s="482">
        <f t="shared" si="25"/>
        <v>201609</v>
      </c>
      <c r="AP18" s="482">
        <f t="shared" si="25"/>
        <v>201610</v>
      </c>
      <c r="AQ18" s="482">
        <f t="shared" si="25"/>
        <v>201611</v>
      </c>
      <c r="AR18" s="482">
        <f t="shared" si="25"/>
        <v>201612</v>
      </c>
      <c r="AS18" s="482">
        <f>AS3</f>
        <v>201701</v>
      </c>
      <c r="AT18" s="482">
        <f>AS18+1</f>
        <v>201702</v>
      </c>
      <c r="AU18" s="482">
        <f t="shared" ref="AU18:BD18" si="26">AT18+1</f>
        <v>201703</v>
      </c>
      <c r="AV18" s="482">
        <f t="shared" si="26"/>
        <v>201704</v>
      </c>
      <c r="AW18" s="482">
        <f t="shared" si="26"/>
        <v>201705</v>
      </c>
      <c r="AX18" s="482">
        <f t="shared" si="26"/>
        <v>201706</v>
      </c>
      <c r="AY18" s="482">
        <f t="shared" si="26"/>
        <v>201707</v>
      </c>
      <c r="AZ18" s="482">
        <f t="shared" si="26"/>
        <v>201708</v>
      </c>
      <c r="BA18" s="482">
        <f t="shared" si="26"/>
        <v>201709</v>
      </c>
      <c r="BB18" s="482">
        <f t="shared" si="26"/>
        <v>201710</v>
      </c>
      <c r="BC18" s="482">
        <f t="shared" si="26"/>
        <v>201711</v>
      </c>
      <c r="BD18" s="482">
        <f t="shared" si="26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620">
        <f>Mar!$G23</f>
        <v>14316138</v>
      </c>
      <c r="AV19" s="541">
        <f>Apr!$G23</f>
        <v>9641125</v>
      </c>
      <c r="AW19" s="541">
        <f>May!$G23</f>
        <v>4941679</v>
      </c>
      <c r="AX19" s="541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7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620">
        <f>Mar!$G24</f>
        <v>22738</v>
      </c>
      <c r="AV20" s="541">
        <f>Apr!$G24</f>
        <v>15697</v>
      </c>
      <c r="AW20" s="541">
        <f>May!$G24</f>
        <v>8078</v>
      </c>
      <c r="AX20" s="541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7"/>
        <v>51323965</v>
      </c>
      <c r="D21" s="489">
        <f t="shared" ref="D21:D27" si="28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620">
        <f>Mar!$G25</f>
        <v>5603968</v>
      </c>
      <c r="AV21" s="541">
        <f>Apr!$G25</f>
        <v>4021494</v>
      </c>
      <c r="AW21" s="541">
        <f>May!$G25</f>
        <v>2425238</v>
      </c>
      <c r="AX21" s="541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620"/>
      <c r="AV22" s="541"/>
      <c r="AW22" s="541"/>
      <c r="AX22" s="541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7"/>
        <v>3609942</v>
      </c>
      <c r="D23" s="489">
        <f t="shared" si="28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620">
        <f>Mar!$G27</f>
        <v>334116</v>
      </c>
      <c r="AV23" s="541">
        <f>Apr!$G27</f>
        <v>288026</v>
      </c>
      <c r="AW23" s="541">
        <f>May!$G27</f>
        <v>302382</v>
      </c>
      <c r="AX23" s="541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7"/>
        <v>0</v>
      </c>
      <c r="D24" s="489">
        <f t="shared" si="28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620"/>
      <c r="AV24" s="541"/>
      <c r="AW24" s="541"/>
      <c r="AX24" s="541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7"/>
        <v>0</v>
      </c>
      <c r="D25" s="489">
        <f t="shared" si="28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620">
        <f>Mar!$G29</f>
        <v>0</v>
      </c>
      <c r="AV25" s="541">
        <f>Apr!$G29</f>
        <v>0</v>
      </c>
      <c r="AW25" s="541">
        <f>May!$G29</f>
        <v>0</v>
      </c>
      <c r="AX25" s="541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7"/>
        <v>0</v>
      </c>
      <c r="D26" s="489">
        <f t="shared" si="28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620"/>
      <c r="AV26" s="541"/>
      <c r="AW26" s="541"/>
      <c r="AX26" s="541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7"/>
        <v>35395192</v>
      </c>
      <c r="D27" s="489">
        <f t="shared" si="28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620">
        <f>Mar!$G31</f>
        <v>3381923</v>
      </c>
      <c r="AV27" s="541">
        <f>Apr!$G31</f>
        <v>2868630</v>
      </c>
      <c r="AW27" s="541">
        <f>May!$G31</f>
        <v>2501903</v>
      </c>
      <c r="AX27" s="541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29">SUM(G19:G27)</f>
        <v>24054373</v>
      </c>
      <c r="H28" s="540">
        <f t="shared" si="29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0">SUM(V19:V27)</f>
        <v>21809394</v>
      </c>
      <c r="W28" s="540">
        <f t="shared" si="30"/>
        <v>17454090</v>
      </c>
      <c r="X28" s="540">
        <f t="shared" si="30"/>
        <v>14032685</v>
      </c>
      <c r="Y28" s="540">
        <f t="shared" si="30"/>
        <v>7651890</v>
      </c>
      <c r="Z28" s="540">
        <f t="shared" si="30"/>
        <v>5795038</v>
      </c>
      <c r="AA28" s="540">
        <f t="shared" si="30"/>
        <v>5628267</v>
      </c>
      <c r="AB28" s="540">
        <f t="shared" si="30"/>
        <v>5459507</v>
      </c>
      <c r="AC28" s="540">
        <f t="shared" si="30"/>
        <v>7409442</v>
      </c>
      <c r="AD28" s="540">
        <f t="shared" si="30"/>
        <v>10025335</v>
      </c>
      <c r="AE28" s="540">
        <f t="shared" si="30"/>
        <v>24443601</v>
      </c>
      <c r="AF28" s="540">
        <f t="shared" si="30"/>
        <v>29286544</v>
      </c>
      <c r="AG28" s="540">
        <f>SUM(AG19:AG27)</f>
        <v>40584714</v>
      </c>
      <c r="AH28" s="540">
        <f t="shared" si="30"/>
        <v>30357660</v>
      </c>
      <c r="AI28" s="540">
        <f t="shared" si="30"/>
        <v>23658883</v>
      </c>
      <c r="AJ28" s="540">
        <f t="shared" si="30"/>
        <v>16834972</v>
      </c>
      <c r="AK28" s="540">
        <f t="shared" si="30"/>
        <v>10179280</v>
      </c>
      <c r="AL28" s="540">
        <f>SUM(AL19:AL27)</f>
        <v>7244961</v>
      </c>
      <c r="AM28" s="540">
        <f>SUM(AM19:AM27)</f>
        <v>5938596</v>
      </c>
      <c r="AN28" s="540">
        <f t="shared" si="30"/>
        <v>6177700</v>
      </c>
      <c r="AO28" s="540">
        <f>SUM(AO19:AO27)</f>
        <v>7874888</v>
      </c>
      <c r="AP28" s="540">
        <f t="shared" si="30"/>
        <v>15813981</v>
      </c>
      <c r="AQ28" s="540">
        <f t="shared" si="30"/>
        <v>18553428</v>
      </c>
      <c r="AR28" s="540">
        <f t="shared" si="30"/>
        <v>36861159</v>
      </c>
      <c r="AS28" s="540">
        <f>SUM(AS19:AS27)</f>
        <v>40584714</v>
      </c>
      <c r="AT28" s="540">
        <f t="shared" ref="AT28:AW28" si="31">SUM(AT19:AT27)</f>
        <v>30357660</v>
      </c>
      <c r="AU28" s="540">
        <f t="shared" si="31"/>
        <v>23658883</v>
      </c>
      <c r="AV28" s="540">
        <f t="shared" si="31"/>
        <v>16834972</v>
      </c>
      <c r="AW28" s="540">
        <f t="shared" si="31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2">SUM(AZ19:AZ27)</f>
        <v>6177700</v>
      </c>
      <c r="BA28" s="540">
        <f>SUM(BA19:BA27)</f>
        <v>4727652</v>
      </c>
      <c r="BB28" s="540">
        <f t="shared" ref="BB28:BD28" si="33">SUM(BB19:BB27)</f>
        <v>6978145</v>
      </c>
      <c r="BC28" s="540">
        <f t="shared" si="33"/>
        <v>7201032</v>
      </c>
      <c r="BD28" s="540">
        <f t="shared" si="33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23658883</v>
      </c>
      <c r="AV29" s="489">
        <v>10637648</v>
      </c>
      <c r="AW29" s="489">
        <v>8282555</v>
      </c>
      <c r="AX29" s="489">
        <v>6819717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4">U31+1</f>
        <v>201502</v>
      </c>
      <c r="W31" s="482">
        <f t="shared" si="34"/>
        <v>201503</v>
      </c>
      <c r="X31" s="482">
        <f t="shared" si="34"/>
        <v>201504</v>
      </c>
      <c r="Y31" s="482">
        <f t="shared" si="34"/>
        <v>201505</v>
      </c>
      <c r="Z31" s="482">
        <f t="shared" si="34"/>
        <v>201506</v>
      </c>
      <c r="AA31" s="482">
        <f t="shared" si="34"/>
        <v>201507</v>
      </c>
      <c r="AB31" s="482">
        <f t="shared" si="34"/>
        <v>201508</v>
      </c>
      <c r="AC31" s="482">
        <f t="shared" si="34"/>
        <v>201509</v>
      </c>
      <c r="AD31" s="482">
        <f t="shared" si="34"/>
        <v>201510</v>
      </c>
      <c r="AE31" s="482">
        <f>AD31+1</f>
        <v>201511</v>
      </c>
      <c r="AF31" s="482">
        <f t="shared" ref="AF31" si="35">AE31+1</f>
        <v>201512</v>
      </c>
      <c r="AG31" s="482">
        <v>201601</v>
      </c>
      <c r="AH31" s="482">
        <f>AG31+1</f>
        <v>201602</v>
      </c>
      <c r="AI31" s="482">
        <f t="shared" ref="AI31:AR31" si="36">AH31+1</f>
        <v>201603</v>
      </c>
      <c r="AJ31" s="482">
        <f t="shared" si="36"/>
        <v>201604</v>
      </c>
      <c r="AK31" s="482">
        <f t="shared" si="36"/>
        <v>201605</v>
      </c>
      <c r="AL31" s="482">
        <f t="shared" si="36"/>
        <v>201606</v>
      </c>
      <c r="AM31" s="482">
        <f t="shared" si="36"/>
        <v>201607</v>
      </c>
      <c r="AN31" s="482">
        <f t="shared" si="36"/>
        <v>201608</v>
      </c>
      <c r="AO31" s="482">
        <f t="shared" si="36"/>
        <v>201609</v>
      </c>
      <c r="AP31" s="482">
        <f t="shared" si="36"/>
        <v>201610</v>
      </c>
      <c r="AQ31" s="482">
        <f t="shared" si="36"/>
        <v>201611</v>
      </c>
      <c r="AR31" s="482">
        <f t="shared" si="36"/>
        <v>201612</v>
      </c>
      <c r="AS31" s="482">
        <f>AS3</f>
        <v>201701</v>
      </c>
      <c r="AT31" s="482">
        <f>AS31+1</f>
        <v>201702</v>
      </c>
      <c r="AU31" s="482">
        <f t="shared" ref="AU31:BD31" si="37">AT31+1</f>
        <v>201703</v>
      </c>
      <c r="AV31" s="482">
        <f t="shared" si="37"/>
        <v>201704</v>
      </c>
      <c r="AW31" s="482">
        <f t="shared" si="37"/>
        <v>201705</v>
      </c>
      <c r="AX31" s="482">
        <f t="shared" si="37"/>
        <v>201706</v>
      </c>
      <c r="AY31" s="482">
        <f t="shared" si="37"/>
        <v>201707</v>
      </c>
      <c r="AZ31" s="482">
        <f t="shared" si="37"/>
        <v>201708</v>
      </c>
      <c r="BA31" s="482">
        <f t="shared" si="37"/>
        <v>201709</v>
      </c>
      <c r="BB31" s="482">
        <f t="shared" si="37"/>
        <v>201710</v>
      </c>
      <c r="BC31" s="482">
        <f t="shared" si="37"/>
        <v>201711</v>
      </c>
      <c r="BD31" s="482">
        <f t="shared" si="37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6">
        <v>9.1740000000000002E-2</v>
      </c>
      <c r="AV32" s="612">
        <v>2.571E-2</v>
      </c>
      <c r="AW32" s="612">
        <v>2.571E-2</v>
      </c>
      <c r="AX32" s="612">
        <v>2.571E-2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6">
        <v>9.1740000000000002E-2</v>
      </c>
      <c r="AV33" s="612">
        <v>2.571E-2</v>
      </c>
      <c r="AW33" s="612">
        <v>2.571E-2</v>
      </c>
      <c r="AX33" s="612">
        <v>2.571E-2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6">
        <v>7.2489999999999999E-2</v>
      </c>
      <c r="AV34" s="612">
        <v>1.372E-2</v>
      </c>
      <c r="AW34" s="612">
        <v>1.372E-2</v>
      </c>
      <c r="AX34" s="612">
        <v>1.372E-2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6"/>
      <c r="AV35" s="612"/>
      <c r="AW35" s="612"/>
      <c r="AX35" s="612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6">
        <v>4.4479999999999999E-2</v>
      </c>
      <c r="AV36" s="612">
        <v>-5.2900000000000004E-3</v>
      </c>
      <c r="AW36" s="612">
        <v>-5.2900000000000004E-3</v>
      </c>
      <c r="AX36" s="612">
        <v>-5.2900000000000004E-3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6"/>
      <c r="AV37" s="612"/>
      <c r="AW37" s="612"/>
      <c r="AX37" s="612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6">
        <v>8.8340000000000002E-2</v>
      </c>
      <c r="AV38" s="612">
        <v>1.635E-2</v>
      </c>
      <c r="AW38" s="612">
        <v>1.635E-2</v>
      </c>
      <c r="AX38" s="612">
        <v>1.635E-2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6"/>
      <c r="AV39" s="612"/>
      <c r="AW39" s="612"/>
      <c r="AX39" s="612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6">
        <v>0</v>
      </c>
      <c r="AV40" s="612">
        <v>0</v>
      </c>
      <c r="AW40" s="612">
        <v>0</v>
      </c>
      <c r="AX40" s="612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201703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8">U42+1</f>
        <v>201502</v>
      </c>
      <c r="W42" s="482">
        <f t="shared" si="38"/>
        <v>201503</v>
      </c>
      <c r="X42" s="482">
        <f t="shared" si="38"/>
        <v>201504</v>
      </c>
      <c r="Y42" s="482">
        <f t="shared" si="38"/>
        <v>201505</v>
      </c>
      <c r="Z42" s="482">
        <f t="shared" si="38"/>
        <v>201506</v>
      </c>
      <c r="AA42" s="482">
        <f t="shared" si="38"/>
        <v>201507</v>
      </c>
      <c r="AB42" s="482">
        <f t="shared" si="38"/>
        <v>201508</v>
      </c>
      <c r="AC42" s="482">
        <f t="shared" si="38"/>
        <v>201509</v>
      </c>
      <c r="AD42" s="482">
        <f t="shared" si="38"/>
        <v>201510</v>
      </c>
      <c r="AE42" s="482">
        <f>AD42+1</f>
        <v>201511</v>
      </c>
      <c r="AF42" s="482">
        <f t="shared" ref="AF42" si="39">AE42+1</f>
        <v>201512</v>
      </c>
      <c r="AG42" s="482">
        <v>201601</v>
      </c>
      <c r="AH42" s="482">
        <f>AG42+1</f>
        <v>201602</v>
      </c>
      <c r="AI42" s="482">
        <f t="shared" ref="AI42:AR42" si="40">AH42+1</f>
        <v>201603</v>
      </c>
      <c r="AJ42" s="482">
        <f t="shared" si="40"/>
        <v>201604</v>
      </c>
      <c r="AK42" s="482">
        <f t="shared" si="40"/>
        <v>201605</v>
      </c>
      <c r="AL42" s="482">
        <f t="shared" si="40"/>
        <v>201606</v>
      </c>
      <c r="AM42" s="482">
        <f t="shared" si="40"/>
        <v>201607</v>
      </c>
      <c r="AN42" s="482">
        <f t="shared" si="40"/>
        <v>201608</v>
      </c>
      <c r="AO42" s="482">
        <f t="shared" si="40"/>
        <v>201609</v>
      </c>
      <c r="AP42" s="482">
        <f t="shared" si="40"/>
        <v>201610</v>
      </c>
      <c r="AQ42" s="482">
        <f t="shared" si="40"/>
        <v>201611</v>
      </c>
      <c r="AR42" s="482">
        <f t="shared" si="40"/>
        <v>201612</v>
      </c>
      <c r="AS42" s="482">
        <f>AS3</f>
        <v>201701</v>
      </c>
      <c r="AT42" s="482">
        <f>AS42+1</f>
        <v>201702</v>
      </c>
      <c r="AU42" s="482">
        <f t="shared" ref="AU42:BD42" si="41">AT42+1</f>
        <v>201703</v>
      </c>
      <c r="AV42" s="482">
        <f t="shared" si="41"/>
        <v>201704</v>
      </c>
      <c r="AW42" s="482">
        <f t="shared" si="41"/>
        <v>201705</v>
      </c>
      <c r="AX42" s="482">
        <f t="shared" si="41"/>
        <v>201706</v>
      </c>
      <c r="AY42" s="482">
        <f t="shared" si="41"/>
        <v>201707</v>
      </c>
      <c r="AZ42" s="482">
        <f t="shared" si="41"/>
        <v>201708</v>
      </c>
      <c r="BA42" s="482">
        <f t="shared" si="41"/>
        <v>201709</v>
      </c>
      <c r="BB42" s="482">
        <f t="shared" si="41"/>
        <v>201710</v>
      </c>
      <c r="BC42" s="482">
        <f t="shared" si="41"/>
        <v>201711</v>
      </c>
      <c r="BD42" s="482">
        <f t="shared" si="41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10815.687855785192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617">
        <v>3.5000000000000003E-2</v>
      </c>
      <c r="AV43" s="486"/>
      <c r="AW43" s="486"/>
      <c r="AX43" s="486"/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1725725.9163842148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2">AE49</f>
        <v>-2966848.8846008489</v>
      </c>
      <c r="AG44" s="480">
        <f t="shared" si="42"/>
        <v>-2400830.7877258095</v>
      </c>
      <c r="AH44" s="480">
        <f t="shared" si="42"/>
        <v>-1799942.4443073752</v>
      </c>
      <c r="AI44" s="480">
        <f t="shared" si="42"/>
        <v>-1367080.388300563</v>
      </c>
      <c r="AJ44" s="480">
        <f t="shared" si="42"/>
        <v>-991269.16134300514</v>
      </c>
      <c r="AK44" s="480">
        <f t="shared" si="42"/>
        <v>-820633.96798459429</v>
      </c>
      <c r="AL44" s="480">
        <f>AK49</f>
        <v>-706831.28344430251</v>
      </c>
      <c r="AM44" s="480">
        <f t="shared" ref="AM44:AT44" si="43">AL49</f>
        <v>-615740.82707996247</v>
      </c>
      <c r="AN44" s="480">
        <f t="shared" si="43"/>
        <v>-539081.43298013532</v>
      </c>
      <c r="AO44" s="480">
        <f t="shared" si="43"/>
        <v>-459570.5002163836</v>
      </c>
      <c r="AP44" s="480">
        <f t="shared" si="43"/>
        <v>-353667.8760235564</v>
      </c>
      <c r="AQ44" s="558">
        <f t="shared" si="43"/>
        <v>-123445.19123732927</v>
      </c>
      <c r="AR44" s="480">
        <f t="shared" si="43"/>
        <v>-12794629.54065969</v>
      </c>
      <c r="AS44" s="480">
        <f t="shared" si="43"/>
        <v>-9990002.7430699486</v>
      </c>
      <c r="AT44" s="480">
        <f t="shared" si="43"/>
        <v>-6863930.3518781429</v>
      </c>
      <c r="AU44" s="480">
        <f>AT49</f>
        <v>-4576506.6383892084</v>
      </c>
      <c r="AV44" s="480">
        <f t="shared" ref="AV44:AW44" si="44">AU49</f>
        <v>-2850780.7220049934</v>
      </c>
      <c r="AW44" s="480">
        <f t="shared" si="44"/>
        <v>-2548852.5882449932</v>
      </c>
      <c r="AX44" s="480">
        <f>AW49</f>
        <v>-2389919.6711949934</v>
      </c>
      <c r="AY44" s="480">
        <f t="shared" ref="AY44:AZ44" si="45">AX49</f>
        <v>-2300227.8286649934</v>
      </c>
      <c r="AZ44" s="480">
        <f t="shared" si="45"/>
        <v>-2228537.6268549934</v>
      </c>
      <c r="BA44" s="480">
        <f>AZ49</f>
        <v>-2156439.0868649934</v>
      </c>
      <c r="BB44" s="480">
        <f>BA49</f>
        <v>-2128474.0811249935</v>
      </c>
      <c r="BC44" s="558">
        <f>BB49</f>
        <v>-2079627.8335049935</v>
      </c>
      <c r="BD44" s="480">
        <f>BC49</f>
        <v>-14711348.523504995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1736541.60424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>SUMPRODUCT(AS19:AS27,AS32:AS40)</f>
        <v>3150615.2519499999</v>
      </c>
      <c r="AT45" s="480">
        <f>SUMPRODUCT(AT19:AT27,AT32:AT40)</f>
        <v>2304083.3887400003</v>
      </c>
      <c r="AU45" s="480">
        <f>SUMPRODUCT(AU19:AU27,AU32:AU40)</f>
        <v>1736541.60424</v>
      </c>
      <c r="AV45" s="480">
        <f t="shared" ref="AV45:AW45" si="46">SUMPRODUCT(AV19:AV27,AV32:AV40)</f>
        <v>301928.13376000006</v>
      </c>
      <c r="AW45" s="480">
        <f t="shared" si="46"/>
        <v>158932.91704999999</v>
      </c>
      <c r="AX45" s="480">
        <f>SUMPRODUCT(AX19:AX27,AX32:AX40)</f>
        <v>89691.842529999994</v>
      </c>
      <c r="AY45" s="480">
        <f t="shared" ref="AY45:AZ45" si="47">SUMPRODUCT(AY19:AY27,AY32:AY40)</f>
        <v>71690.201809999999</v>
      </c>
      <c r="AZ45" s="480">
        <f t="shared" si="47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8">BH43</f>
        <v>GD</v>
      </c>
      <c r="BI45" s="208" t="str">
        <f t="shared" si="48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49">SUM(AG46:AR46)</f>
        <v>-97522.093694136056</v>
      </c>
      <c r="D46" s="492">
        <f t="shared" ref="D46" si="50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>((AQ44+AQ47)*(AQ43/12))+(((AQ45+AQ48)/2)*(AQ43/12))</f>
        <v>-39463.659422358884</v>
      </c>
      <c r="AR46" s="487">
        <f>((AR44+AR47)*(AR43/12))+(((AR45+AR48)/2)*(AR43/12))</f>
        <v>-33179.202410257429</v>
      </c>
      <c r="AS46" s="487">
        <f>((AS44+AS47)*(AS43/12))+(((AS45+AS48)/2)*(AS43/12))</f>
        <v>-24542.860758193601</v>
      </c>
      <c r="AT46" s="487">
        <f>((AT44+AT47)*(AT43/12))+(((AT45+AT48)/2)*(AT43/12))</f>
        <v>-16659.675251065419</v>
      </c>
      <c r="AU46" s="487">
        <f>((AU44+AU47)*(AU43/12))+(((AU45+AU48)/2)*(AU43/12))</f>
        <v>-10815.687855785192</v>
      </c>
      <c r="AV46" s="487">
        <f t="shared" ref="AV46:AY46" si="51">((AV44+AV47)*(AV43/12))+(((AV45+AV48)/2)*(AV43/12))</f>
        <v>0</v>
      </c>
      <c r="AW46" s="487">
        <f t="shared" si="51"/>
        <v>0</v>
      </c>
      <c r="AX46" s="487">
        <f t="shared" si="51"/>
        <v>0</v>
      </c>
      <c r="AY46" s="487">
        <f t="shared" si="51"/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8"/>
        <v>GD</v>
      </c>
      <c r="BI46" s="556" t="str">
        <f t="shared" si="48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49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49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2">SUM(F44:F48)</f>
        <v>404885.58467682183</v>
      </c>
      <c r="G49" s="539">
        <f t="shared" si="52"/>
        <v>1486369.5928734979</v>
      </c>
      <c r="H49" s="539">
        <f t="shared" si="52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3">SUM(V44:V48)</f>
        <v>-978605.01769356499</v>
      </c>
      <c r="W49" s="539">
        <f t="shared" si="53"/>
        <v>-801445.32791263924</v>
      </c>
      <c r="X49" s="539">
        <f t="shared" si="53"/>
        <v>-669275.24177190254</v>
      </c>
      <c r="Y49" s="539">
        <f t="shared" si="53"/>
        <v>-610882.24266902648</v>
      </c>
      <c r="Z49" s="539">
        <f t="shared" si="53"/>
        <v>-574943.04011245095</v>
      </c>
      <c r="AA49" s="539">
        <f t="shared" si="53"/>
        <v>-537511.27700320142</v>
      </c>
      <c r="AB49" s="539">
        <f t="shared" si="53"/>
        <v>-503286.03358886426</v>
      </c>
      <c r="AC49" s="539">
        <f t="shared" si="53"/>
        <v>-446057.56644618412</v>
      </c>
      <c r="AD49" s="539">
        <f t="shared" si="53"/>
        <v>-360318.05653003836</v>
      </c>
      <c r="AE49" s="539">
        <f t="shared" si="53"/>
        <v>-2966848.8846008489</v>
      </c>
      <c r="AF49" s="539">
        <f t="shared" si="53"/>
        <v>-2400830.7877258095</v>
      </c>
      <c r="AG49" s="539">
        <f t="shared" si="53"/>
        <v>-1799942.4443073752</v>
      </c>
      <c r="AH49" s="539">
        <f t="shared" si="53"/>
        <v>-1367080.388300563</v>
      </c>
      <c r="AI49" s="539">
        <f t="shared" si="53"/>
        <v>-991269.16134300514</v>
      </c>
      <c r="AJ49" s="539">
        <f t="shared" si="53"/>
        <v>-820633.96798459429</v>
      </c>
      <c r="AK49" s="539">
        <f t="shared" si="53"/>
        <v>-706831.28344430251</v>
      </c>
      <c r="AL49" s="539">
        <f t="shared" si="53"/>
        <v>-615740.82707996247</v>
      </c>
      <c r="AM49" s="539">
        <f>SUM(AM44:AM48)</f>
        <v>-539081.43298013532</v>
      </c>
      <c r="AN49" s="539">
        <f t="shared" si="53"/>
        <v>-459570.5002163836</v>
      </c>
      <c r="AO49" s="539">
        <f t="shared" si="53"/>
        <v>-353667.8760235564</v>
      </c>
      <c r="AP49" s="539">
        <f t="shared" si="53"/>
        <v>-123445.19123732927</v>
      </c>
      <c r="AQ49" s="539">
        <f>SUM(AQ44:AQ48)</f>
        <v>-12794629.54065969</v>
      </c>
      <c r="AR49" s="539">
        <f t="shared" si="53"/>
        <v>-9990002.7430699486</v>
      </c>
      <c r="AS49" s="539">
        <f>SUM(AS44:AS48)</f>
        <v>-6863930.3518781429</v>
      </c>
      <c r="AT49" s="539">
        <f t="shared" ref="AT49:AX49" si="54">SUM(AT44:AT48)</f>
        <v>-4576506.6383892084</v>
      </c>
      <c r="AU49" s="539">
        <f>SUM(AU44:AU48)</f>
        <v>-2850780.7220049934</v>
      </c>
      <c r="AV49" s="539">
        <f t="shared" si="54"/>
        <v>-2548852.5882449932</v>
      </c>
      <c r="AW49" s="539">
        <f t="shared" si="54"/>
        <v>-2389919.6711949934</v>
      </c>
      <c r="AX49" s="539">
        <f t="shared" si="54"/>
        <v>-2300227.8286649934</v>
      </c>
      <c r="AY49" s="539">
        <f>SUM(AY44:AY48)</f>
        <v>-2228537.6268549934</v>
      </c>
      <c r="AZ49" s="539">
        <f t="shared" ref="AZ49:BB49" si="55">SUM(AZ44:AZ48)</f>
        <v>-2156439.0868649934</v>
      </c>
      <c r="BA49" s="539">
        <f t="shared" si="55"/>
        <v>-2128474.0811249935</v>
      </c>
      <c r="BB49" s="539">
        <f t="shared" si="55"/>
        <v>-2079627.8335049935</v>
      </c>
      <c r="BC49" s="539">
        <f>SUM(BC44:BC48)</f>
        <v>-14711348.523504995</v>
      </c>
      <c r="BD49" s="539">
        <f t="shared" ref="BD49" si="56">SUM(BD44:BD48)</f>
        <v>-11873542.523504995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7">E49-E50</f>
        <v>-0.22028744451381499</v>
      </c>
      <c r="F51" s="480">
        <f t="shared" si="57"/>
        <v>-0.22532317816512659</v>
      </c>
      <c r="G51" s="480">
        <f t="shared" si="57"/>
        <v>-0.22712650219909847</v>
      </c>
      <c r="H51" s="480">
        <f t="shared" si="57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58">V49-V50</f>
        <v>-0.21769356494769454</v>
      </c>
      <c r="W51" s="480">
        <f t="shared" si="58"/>
        <v>-0.21791263925842941</v>
      </c>
      <c r="X51" s="480">
        <f t="shared" si="58"/>
        <v>-0.22177190252114087</v>
      </c>
      <c r="Y51" s="480">
        <f t="shared" si="58"/>
        <v>-0.22266902646515518</v>
      </c>
      <c r="Z51" s="480">
        <f t="shared" si="58"/>
        <v>-0.22011245100293308</v>
      </c>
      <c r="AA51" s="480">
        <f t="shared" si="58"/>
        <v>-0.21700320136733353</v>
      </c>
      <c r="AB51" s="480">
        <f t="shared" si="58"/>
        <v>-0.21358886425150558</v>
      </c>
      <c r="AC51" s="480">
        <f t="shared" si="58"/>
        <v>-0.21644618414575234</v>
      </c>
      <c r="AD51" s="480">
        <f t="shared" si="58"/>
        <v>-0.21653003833489493</v>
      </c>
      <c r="AE51" s="480">
        <f t="shared" si="58"/>
        <v>-0.21460084896534681</v>
      </c>
      <c r="AF51" s="480">
        <f t="shared" si="58"/>
        <v>-0.21772580966353416</v>
      </c>
      <c r="AG51" s="480">
        <f t="shared" si="58"/>
        <v>-0.22430737526156008</v>
      </c>
      <c r="AH51" s="480">
        <f t="shared" si="58"/>
        <v>-0.21830056305043399</v>
      </c>
      <c r="AI51" s="480">
        <f t="shared" si="58"/>
        <v>-0.22134300519246608</v>
      </c>
      <c r="AJ51" s="480">
        <f t="shared" si="58"/>
        <v>-0.2179845942882821</v>
      </c>
      <c r="AK51" s="480">
        <f>AK49-AK50</f>
        <v>-0.21344430255703628</v>
      </c>
      <c r="AL51" s="480">
        <f t="shared" si="58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58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59">AT49-AT50</f>
        <v>-0.20838920865207911</v>
      </c>
      <c r="AU51" s="480">
        <f>AU49-AU50</f>
        <v>-0.21200499357655644</v>
      </c>
      <c r="AV51" s="480">
        <f t="shared" si="59"/>
        <v>-881344.68824499333</v>
      </c>
      <c r="AW51" s="480">
        <f>AW49-AW50</f>
        <v>-1361597.0611949936</v>
      </c>
      <c r="AX51" s="480">
        <f t="shared" ref="AX51" si="60">AX49-AX50</f>
        <v>-1651879.3486649934</v>
      </c>
      <c r="AY51" s="480">
        <f>AY49-AY50</f>
        <v>-1885807.5068549933</v>
      </c>
      <c r="AZ51" s="480">
        <f>AZ49-AZ50</f>
        <v>-2123290.0668649934</v>
      </c>
      <c r="BA51" s="480">
        <f t="shared" ref="BA51" si="61">BA49-BA50</f>
        <v>-2557531.6811249936</v>
      </c>
      <c r="BB51" s="480">
        <f>BB49-BB50</f>
        <v>-2508685.4335049936</v>
      </c>
      <c r="BC51" s="480">
        <f>BC49-BC50</f>
        <v>-15140406.123504994</v>
      </c>
      <c r="BD51" s="480">
        <f>BD49-BD50</f>
        <v>-11873542.523504995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2">U54+1</f>
        <v>201502</v>
      </c>
      <c r="W54" s="482">
        <f t="shared" si="62"/>
        <v>201503</v>
      </c>
      <c r="X54" s="482">
        <f t="shared" si="62"/>
        <v>201504</v>
      </c>
      <c r="Y54" s="482">
        <f t="shared" si="62"/>
        <v>201505</v>
      </c>
      <c r="Z54" s="482">
        <f t="shared" si="62"/>
        <v>201506</v>
      </c>
      <c r="AA54" s="482">
        <f t="shared" si="62"/>
        <v>201507</v>
      </c>
      <c r="AB54" s="482">
        <f t="shared" si="62"/>
        <v>201508</v>
      </c>
      <c r="AC54" s="482">
        <f t="shared" si="62"/>
        <v>201509</v>
      </c>
      <c r="AD54" s="482">
        <f t="shared" si="62"/>
        <v>201510</v>
      </c>
      <c r="AE54" s="482">
        <f>AD54+1</f>
        <v>201511</v>
      </c>
      <c r="AF54" s="482">
        <f t="shared" ref="AF54" si="63">AE54+1</f>
        <v>201512</v>
      </c>
      <c r="AG54" s="482">
        <v>201601</v>
      </c>
      <c r="AH54" s="482">
        <f>AG54+1</f>
        <v>201602</v>
      </c>
      <c r="AI54" s="482">
        <f t="shared" ref="AI54:AR54" si="64">AH54+1</f>
        <v>201603</v>
      </c>
      <c r="AJ54" s="482">
        <f t="shared" si="64"/>
        <v>201604</v>
      </c>
      <c r="AK54" s="482">
        <f t="shared" si="64"/>
        <v>201605</v>
      </c>
      <c r="AL54" s="482">
        <f t="shared" si="64"/>
        <v>201606</v>
      </c>
      <c r="AM54" s="482">
        <f t="shared" si="64"/>
        <v>201607</v>
      </c>
      <c r="AN54" s="482">
        <f t="shared" si="64"/>
        <v>201608</v>
      </c>
      <c r="AO54" s="482">
        <f t="shared" si="64"/>
        <v>201609</v>
      </c>
      <c r="AP54" s="482">
        <f t="shared" si="64"/>
        <v>201610</v>
      </c>
      <c r="AQ54" s="482">
        <f t="shared" si="64"/>
        <v>201611</v>
      </c>
      <c r="AR54" s="482">
        <f t="shared" si="64"/>
        <v>201612</v>
      </c>
      <c r="AS54" s="482">
        <f>AS3</f>
        <v>201701</v>
      </c>
      <c r="AT54" s="482">
        <f>AS54+1</f>
        <v>201702</v>
      </c>
      <c r="AU54" s="482">
        <f t="shared" ref="AU54:BD54" si="65">AT54+1</f>
        <v>201703</v>
      </c>
      <c r="AV54" s="482">
        <f t="shared" si="65"/>
        <v>201704</v>
      </c>
      <c r="AW54" s="482">
        <f t="shared" si="65"/>
        <v>201705</v>
      </c>
      <c r="AX54" s="482">
        <f t="shared" si="65"/>
        <v>201706</v>
      </c>
      <c r="AY54" s="482">
        <f t="shared" si="65"/>
        <v>201707</v>
      </c>
      <c r="AZ54" s="482">
        <f t="shared" si="65"/>
        <v>201708</v>
      </c>
      <c r="BA54" s="482">
        <f t="shared" si="65"/>
        <v>201709</v>
      </c>
      <c r="BB54" s="482">
        <f t="shared" si="65"/>
        <v>201710</v>
      </c>
      <c r="BC54" s="482">
        <f t="shared" si="65"/>
        <v>201711</v>
      </c>
      <c r="BD54" s="482">
        <f t="shared" si="65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620">
        <f>Mar!$G23</f>
        <v>14316138</v>
      </c>
      <c r="AV55" s="541">
        <f>Apr!$G23</f>
        <v>9641125</v>
      </c>
      <c r="AW55" s="541">
        <f>May!$G23</f>
        <v>4941679</v>
      </c>
      <c r="AX55" s="541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6">SUM(AG56:AR56)</f>
        <v>197284</v>
      </c>
      <c r="D56" s="489">
        <f t="shared" ref="D56:D63" si="67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620">
        <f>Mar!$G24</f>
        <v>22738</v>
      </c>
      <c r="AV56" s="541">
        <f>Apr!$G24</f>
        <v>15697</v>
      </c>
      <c r="AW56" s="541">
        <f>May!$G24</f>
        <v>8078</v>
      </c>
      <c r="AX56" s="541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6"/>
        <v>51323965</v>
      </c>
      <c r="D57" s="489">
        <f t="shared" si="67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620">
        <f>Mar!$G25</f>
        <v>5603968</v>
      </c>
      <c r="AV57" s="541">
        <f>Apr!$G25</f>
        <v>4021494</v>
      </c>
      <c r="AW57" s="541">
        <f>May!$G25</f>
        <v>2425238</v>
      </c>
      <c r="AX57" s="541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6"/>
        <v>0</v>
      </c>
      <c r="D58" s="489">
        <f t="shared" si="67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620">
        <f>Mar!$G26</f>
        <v>0</v>
      </c>
      <c r="AV58" s="541">
        <f>Apr!$G26</f>
        <v>0</v>
      </c>
      <c r="AW58" s="541">
        <f>May!$G26</f>
        <v>0</v>
      </c>
      <c r="AX58" s="541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6"/>
        <v>3609942</v>
      </c>
      <c r="D59" s="489">
        <f t="shared" si="67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620">
        <f>Mar!$G27</f>
        <v>334116</v>
      </c>
      <c r="AV59" s="541">
        <f>Apr!$G27</f>
        <v>288026</v>
      </c>
      <c r="AW59" s="541">
        <f>May!$G27</f>
        <v>302382</v>
      </c>
      <c r="AX59" s="541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6"/>
        <v>506146</v>
      </c>
      <c r="D60" s="489">
        <f t="shared" si="67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620">
        <f>Mar!$G28</f>
        <v>53363</v>
      </c>
      <c r="AV60" s="541">
        <f>Apr!$G28</f>
        <v>35134</v>
      </c>
      <c r="AW60" s="541">
        <f>May!$G28</f>
        <v>29064</v>
      </c>
      <c r="AX60" s="541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6"/>
        <v>0</v>
      </c>
      <c r="D61" s="489">
        <f t="shared" si="67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620">
        <f>Mar!$G29</f>
        <v>0</v>
      </c>
      <c r="AV61" s="541">
        <f>Apr!$G29</f>
        <v>0</v>
      </c>
      <c r="AW61" s="541">
        <f>May!$G29</f>
        <v>0</v>
      </c>
      <c r="AX61" s="541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6"/>
        <v>970005</v>
      </c>
      <c r="D62" s="489">
        <f t="shared" si="67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620">
        <f>Mar!$G30</f>
        <v>102871</v>
      </c>
      <c r="AV62" s="541">
        <f>Apr!$G30</f>
        <v>88850</v>
      </c>
      <c r="AW62" s="541">
        <f>May!$G30</f>
        <v>71877</v>
      </c>
      <c r="AX62" s="541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6"/>
        <v>35395192</v>
      </c>
      <c r="D63" s="489">
        <f t="shared" si="67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620">
        <f>Mar!$G31</f>
        <v>3381923</v>
      </c>
      <c r="AV63" s="541">
        <f>Apr!$G31</f>
        <v>2868630</v>
      </c>
      <c r="AW63" s="541">
        <f>May!$G31</f>
        <v>2501903</v>
      </c>
      <c r="AX63" s="541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68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69">SUM(G55:G63)</f>
        <v>24248041</v>
      </c>
      <c r="H64" s="540">
        <f t="shared" si="69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0">SUM(V55:V63)</f>
        <v>22001617</v>
      </c>
      <c r="W64" s="540">
        <f t="shared" si="70"/>
        <v>17611817</v>
      </c>
      <c r="X64" s="540">
        <f t="shared" si="70"/>
        <v>14163392</v>
      </c>
      <c r="Y64" s="540">
        <f t="shared" si="70"/>
        <v>7782410</v>
      </c>
      <c r="Z64" s="540">
        <f t="shared" si="70"/>
        <v>5881684</v>
      </c>
      <c r="AA64" s="540">
        <f t="shared" si="70"/>
        <v>5669948</v>
      </c>
      <c r="AB64" s="540">
        <f t="shared" si="70"/>
        <v>5554978</v>
      </c>
      <c r="AC64" s="540">
        <f t="shared" si="70"/>
        <v>7484702</v>
      </c>
      <c r="AD64" s="540">
        <f t="shared" si="70"/>
        <v>10158046</v>
      </c>
      <c r="AE64" s="540">
        <f t="shared" si="70"/>
        <v>24566038</v>
      </c>
      <c r="AF64" s="540">
        <f t="shared" si="70"/>
        <v>29412416</v>
      </c>
      <c r="AG64" s="540">
        <f t="shared" si="70"/>
        <v>40809304</v>
      </c>
      <c r="AH64" s="540">
        <f t="shared" si="70"/>
        <v>30544975</v>
      </c>
      <c r="AI64" s="540">
        <f t="shared" si="70"/>
        <v>23815117</v>
      </c>
      <c r="AJ64" s="540">
        <f t="shared" si="70"/>
        <v>16958956</v>
      </c>
      <c r="AK64" s="540">
        <f t="shared" si="70"/>
        <v>10280221</v>
      </c>
      <c r="AL64" s="540">
        <f t="shared" si="70"/>
        <v>7316509</v>
      </c>
      <c r="AM64" s="540">
        <f>SUM(AM55:AM63)</f>
        <v>6050612</v>
      </c>
      <c r="AN64" s="540">
        <f t="shared" si="70"/>
        <v>6226148</v>
      </c>
      <c r="AO64" s="540">
        <f t="shared" si="70"/>
        <v>7933229</v>
      </c>
      <c r="AP64" s="540">
        <f>SUM(AP55:AP63)</f>
        <v>15888438</v>
      </c>
      <c r="AQ64" s="540">
        <f t="shared" si="70"/>
        <v>18689959</v>
      </c>
      <c r="AR64" s="540">
        <f t="shared" si="70"/>
        <v>37042905</v>
      </c>
      <c r="AS64" s="540">
        <f t="shared" si="70"/>
        <v>40809304</v>
      </c>
      <c r="AT64" s="540">
        <f t="shared" si="70"/>
        <v>30544975</v>
      </c>
      <c r="AU64" s="540">
        <f t="shared" si="70"/>
        <v>23815117</v>
      </c>
      <c r="AV64" s="540">
        <f t="shared" si="70"/>
        <v>16958956</v>
      </c>
      <c r="AW64" s="540">
        <f t="shared" si="70"/>
        <v>10280221</v>
      </c>
      <c r="AX64" s="540">
        <f t="shared" si="70"/>
        <v>7316509</v>
      </c>
      <c r="AY64" s="540">
        <f>SUM(AY55:AY63)</f>
        <v>6050612</v>
      </c>
      <c r="AZ64" s="540">
        <f t="shared" ref="AZ64:BA64" si="71">SUM(AZ55:AZ63)</f>
        <v>6226148</v>
      </c>
      <c r="BA64" s="540">
        <f t="shared" si="71"/>
        <v>7933229</v>
      </c>
      <c r="BB64" s="540">
        <f>SUM(BB55:BB63)</f>
        <v>15888438</v>
      </c>
      <c r="BC64" s="540">
        <f t="shared" ref="BC64:BD64" si="72">SUM(BC55:BC63)</f>
        <v>18689959</v>
      </c>
      <c r="BD64" s="540">
        <f t="shared" si="72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68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621">
        <v>23815117</v>
      </c>
      <c r="AV65" s="489">
        <v>10774244</v>
      </c>
      <c r="AW65" s="489">
        <v>8382838</v>
      </c>
      <c r="AX65" s="489">
        <v>6906569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3">U67+1</f>
        <v>201502</v>
      </c>
      <c r="W67" s="482">
        <f t="shared" si="73"/>
        <v>201503</v>
      </c>
      <c r="X67" s="482">
        <f t="shared" si="73"/>
        <v>201504</v>
      </c>
      <c r="Y67" s="482">
        <f t="shared" si="73"/>
        <v>201505</v>
      </c>
      <c r="Z67" s="482">
        <f t="shared" si="73"/>
        <v>201506</v>
      </c>
      <c r="AA67" s="482">
        <f t="shared" si="73"/>
        <v>201507</v>
      </c>
      <c r="AB67" s="482">
        <f t="shared" si="73"/>
        <v>201508</v>
      </c>
      <c r="AC67" s="482">
        <f t="shared" si="73"/>
        <v>201509</v>
      </c>
      <c r="AD67" s="482">
        <f t="shared" si="73"/>
        <v>201510</v>
      </c>
      <c r="AE67" s="482">
        <f>AD67+1</f>
        <v>201511</v>
      </c>
      <c r="AF67" s="482">
        <f t="shared" ref="AF67" si="74">AE67+1</f>
        <v>201512</v>
      </c>
      <c r="AG67" s="482">
        <v>201601</v>
      </c>
      <c r="AH67" s="482">
        <f>AG67+1</f>
        <v>201602</v>
      </c>
      <c r="AI67" s="482">
        <f t="shared" ref="AI67:AR67" si="75">AH67+1</f>
        <v>201603</v>
      </c>
      <c r="AJ67" s="482">
        <f t="shared" si="75"/>
        <v>201604</v>
      </c>
      <c r="AK67" s="482">
        <f t="shared" si="75"/>
        <v>201605</v>
      </c>
      <c r="AL67" s="482">
        <f t="shared" si="75"/>
        <v>201606</v>
      </c>
      <c r="AM67" s="482">
        <f t="shared" si="75"/>
        <v>201607</v>
      </c>
      <c r="AN67" s="482">
        <f t="shared" si="75"/>
        <v>201608</v>
      </c>
      <c r="AO67" s="482">
        <f t="shared" si="75"/>
        <v>201609</v>
      </c>
      <c r="AP67" s="482">
        <f t="shared" si="75"/>
        <v>201610</v>
      </c>
      <c r="AQ67" s="482">
        <f t="shared" si="75"/>
        <v>201611</v>
      </c>
      <c r="AR67" s="482">
        <f t="shared" si="75"/>
        <v>201612</v>
      </c>
      <c r="AS67" s="482">
        <f>AS3</f>
        <v>201701</v>
      </c>
      <c r="AT67" s="482">
        <f>AS67+1</f>
        <v>201702</v>
      </c>
      <c r="AU67" s="482">
        <f t="shared" ref="AU67:BD67" si="76">AT67+1</f>
        <v>201703</v>
      </c>
      <c r="AV67" s="482">
        <f t="shared" si="76"/>
        <v>201704</v>
      </c>
      <c r="AW67" s="482">
        <f t="shared" si="76"/>
        <v>201705</v>
      </c>
      <c r="AX67" s="482">
        <f t="shared" si="76"/>
        <v>201706</v>
      </c>
      <c r="AY67" s="482">
        <f t="shared" si="76"/>
        <v>201707</v>
      </c>
      <c r="AZ67" s="482">
        <f t="shared" si="76"/>
        <v>201708</v>
      </c>
      <c r="BA67" s="482">
        <f t="shared" si="76"/>
        <v>201709</v>
      </c>
      <c r="BB67" s="482">
        <f t="shared" si="76"/>
        <v>201710</v>
      </c>
      <c r="BC67" s="482">
        <f t="shared" si="76"/>
        <v>201711</v>
      </c>
      <c r="BD67" s="482">
        <f t="shared" si="76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6">
        <v>1.0000000000000001E-5</v>
      </c>
      <c r="AV68" s="612">
        <v>1.2999999999999999E-4</v>
      </c>
      <c r="AW68" s="612">
        <v>1.2999999999999999E-4</v>
      </c>
      <c r="AX68" s="612">
        <v>1.2999999999999999E-4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6">
        <v>1.0000000000000001E-5</v>
      </c>
      <c r="AV69" s="612">
        <v>1.2999999999999999E-4</v>
      </c>
      <c r="AW69" s="612">
        <v>1.2999999999999999E-4</v>
      </c>
      <c r="AX69" s="612">
        <v>1.2999999999999999E-4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6">
        <v>1.0000000000000001E-5</v>
      </c>
      <c r="AV70" s="612">
        <v>1.2999999999999999E-4</v>
      </c>
      <c r="AW70" s="612">
        <v>1.2999999999999999E-4</v>
      </c>
      <c r="AX70" s="612">
        <v>1.2999999999999999E-4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6">
        <v>1.0000000000000001E-5</v>
      </c>
      <c r="AV71" s="612">
        <v>1.2999999999999999E-4</v>
      </c>
      <c r="AW71" s="612">
        <v>1.2999999999999999E-4</v>
      </c>
      <c r="AX71" s="612">
        <v>1.2999999999999999E-4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6">
        <v>1.0000000000000001E-5</v>
      </c>
      <c r="AV72" s="612">
        <v>1.2999999999999999E-4</v>
      </c>
      <c r="AW72" s="612">
        <v>1.2999999999999999E-4</v>
      </c>
      <c r="AX72" s="612">
        <v>1.2999999999999999E-4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6">
        <v>1.0000000000000001E-5</v>
      </c>
      <c r="AV73" s="612">
        <v>1.2999999999999999E-4</v>
      </c>
      <c r="AW73" s="612">
        <v>1.2999999999999999E-4</v>
      </c>
      <c r="AX73" s="612">
        <v>1.2999999999999999E-4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6">
        <v>1.0000000000000001E-5</v>
      </c>
      <c r="AV74" s="612">
        <v>1.2999999999999999E-4</v>
      </c>
      <c r="AW74" s="612">
        <v>1.2999999999999999E-4</v>
      </c>
      <c r="AX74" s="612">
        <v>1.2999999999999999E-4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6">
        <v>1.0000000000000001E-5</v>
      </c>
      <c r="AV75" s="612">
        <v>1.2999999999999999E-4</v>
      </c>
      <c r="AW75" s="612">
        <v>1.2999999999999999E-4</v>
      </c>
      <c r="AX75" s="612">
        <v>1.2999999999999999E-4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201703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6">
        <v>0</v>
      </c>
      <c r="AV76" s="612">
        <v>2.0000000000000002E-5</v>
      </c>
      <c r="AW76" s="612">
        <v>2.0000000000000002E-5</v>
      </c>
      <c r="AX76" s="612">
        <v>2.0000000000000002E-5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204.33194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204.33194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7">U78+1</f>
        <v>201502</v>
      </c>
      <c r="W78" s="482">
        <f t="shared" si="77"/>
        <v>201503</v>
      </c>
      <c r="X78" s="482">
        <f t="shared" si="77"/>
        <v>201504</v>
      </c>
      <c r="Y78" s="482">
        <f t="shared" si="77"/>
        <v>201505</v>
      </c>
      <c r="Z78" s="482">
        <f t="shared" si="77"/>
        <v>201506</v>
      </c>
      <c r="AA78" s="482">
        <f t="shared" si="77"/>
        <v>201507</v>
      </c>
      <c r="AB78" s="482">
        <f t="shared" si="77"/>
        <v>201508</v>
      </c>
      <c r="AC78" s="482">
        <f t="shared" si="77"/>
        <v>201509</v>
      </c>
      <c r="AD78" s="482">
        <f t="shared" si="77"/>
        <v>201510</v>
      </c>
      <c r="AE78" s="482">
        <f>AD78+1</f>
        <v>201511</v>
      </c>
      <c r="AF78" s="482">
        <f t="shared" ref="AF78" si="78">AE78+1</f>
        <v>201512</v>
      </c>
      <c r="AG78" s="482">
        <v>201601</v>
      </c>
      <c r="AH78" s="482">
        <f>AG78+1</f>
        <v>201602</v>
      </c>
      <c r="AI78" s="482">
        <f t="shared" ref="AI78:AR78" si="79">AH78+1</f>
        <v>201603</v>
      </c>
      <c r="AJ78" s="482">
        <f t="shared" si="79"/>
        <v>201604</v>
      </c>
      <c r="AK78" s="482">
        <f t="shared" si="79"/>
        <v>201605</v>
      </c>
      <c r="AL78" s="482">
        <f t="shared" si="79"/>
        <v>201606</v>
      </c>
      <c r="AM78" s="482">
        <f t="shared" si="79"/>
        <v>201607</v>
      </c>
      <c r="AN78" s="482">
        <f t="shared" si="79"/>
        <v>201608</v>
      </c>
      <c r="AO78" s="482">
        <f t="shared" si="79"/>
        <v>201609</v>
      </c>
      <c r="AP78" s="482">
        <f t="shared" si="79"/>
        <v>201610</v>
      </c>
      <c r="AQ78" s="482">
        <f t="shared" si="79"/>
        <v>201611</v>
      </c>
      <c r="AR78" s="482">
        <f t="shared" si="79"/>
        <v>201612</v>
      </c>
      <c r="AS78" s="482">
        <f>AS3</f>
        <v>201701</v>
      </c>
      <c r="AT78" s="482">
        <f>AS78+1</f>
        <v>201702</v>
      </c>
      <c r="AU78" s="482">
        <f t="shared" ref="AU78:BD78" si="80">AT78+1</f>
        <v>201703</v>
      </c>
      <c r="AV78" s="482">
        <f t="shared" si="80"/>
        <v>201704</v>
      </c>
      <c r="AW78" s="482">
        <f t="shared" si="80"/>
        <v>201705</v>
      </c>
      <c r="AX78" s="482">
        <f t="shared" si="80"/>
        <v>201706</v>
      </c>
      <c r="AY78" s="482">
        <f t="shared" si="80"/>
        <v>201707</v>
      </c>
      <c r="AZ78" s="482">
        <f t="shared" si="80"/>
        <v>201708</v>
      </c>
      <c r="BA78" s="482">
        <f t="shared" si="80"/>
        <v>201709</v>
      </c>
      <c r="BB78" s="482">
        <f t="shared" si="80"/>
        <v>201710</v>
      </c>
      <c r="BC78" s="482">
        <f t="shared" si="80"/>
        <v>201711</v>
      </c>
      <c r="BD78" s="482">
        <f t="shared" si="80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1">AF82</f>
        <v>-18146.93566000001</v>
      </c>
      <c r="AH79" s="480">
        <f t="shared" si="81"/>
        <v>-14523.147320000011</v>
      </c>
      <c r="AI79" s="480">
        <f t="shared" si="81"/>
        <v>-11852.264220000012</v>
      </c>
      <c r="AJ79" s="480">
        <f t="shared" si="81"/>
        <v>-9512.6003600000113</v>
      </c>
      <c r="AK79" s="480">
        <f t="shared" si="81"/>
        <v>-8373.7282900000118</v>
      </c>
      <c r="AL79" s="480">
        <f t="shared" si="81"/>
        <v>-7543.4780600000122</v>
      </c>
      <c r="AM79" s="480">
        <f t="shared" si="81"/>
        <v>-6882.1108900000127</v>
      </c>
      <c r="AN79" s="480">
        <f t="shared" si="81"/>
        <v>-6303.9779800000124</v>
      </c>
      <c r="AO79" s="480">
        <f t="shared" si="81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2">AT82</f>
        <v>-3265.0261600000117</v>
      </c>
      <c r="AV79" s="480">
        <f t="shared" si="82"/>
        <v>-3060.6942200000117</v>
      </c>
      <c r="AW79" s="480">
        <f t="shared" si="82"/>
        <v>-1171.5792400000119</v>
      </c>
      <c r="AX79" s="480">
        <f t="shared" si="82"/>
        <v>-110.3598400000119</v>
      </c>
      <c r="AY79" s="480">
        <f t="shared" si="82"/>
        <v>562.28359999998781</v>
      </c>
      <c r="AZ79" s="480">
        <f t="shared" si="82"/>
        <v>1112.9754199999877</v>
      </c>
      <c r="BA79" s="480">
        <f t="shared" si="82"/>
        <v>1665.0912599999876</v>
      </c>
      <c r="BB79" s="480">
        <f>BA82</f>
        <v>2453.3263199999874</v>
      </c>
      <c r="BC79" s="480">
        <f>BB82</f>
        <v>4179.371949999987</v>
      </c>
      <c r="BD79" s="480">
        <f>BC82</f>
        <v>3420.371949999987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>SUMPRODUCT(AU55:AU63,AU68:AU76)</f>
        <v>204.33194</v>
      </c>
      <c r="AV80" s="558">
        <f t="shared" ref="AV80:AW80" si="83">SUMPRODUCT(AV55:AV63,AV68:AV76)</f>
        <v>1889.1149799999998</v>
      </c>
      <c r="AW80" s="558">
        <f t="shared" si="83"/>
        <v>1061.2194</v>
      </c>
      <c r="AX80" s="558">
        <f>SUMPRODUCT(AX55:AX63,AX68:AX76)</f>
        <v>672.64343999999971</v>
      </c>
      <c r="AY80" s="558">
        <f t="shared" ref="AY80" si="84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5">SUM(E79:E81)</f>
        <v>38932.729789999998</v>
      </c>
      <c r="F82" s="539">
        <f t="shared" si="85"/>
        <v>8140.2385399999985</v>
      </c>
      <c r="G82" s="539">
        <f t="shared" si="85"/>
        <v>-693.68146000000161</v>
      </c>
      <c r="H82" s="539">
        <f t="shared" si="85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6">SUM(V79:V81)</f>
        <v>-38138.117780000015</v>
      </c>
      <c r="W82" s="539">
        <f t="shared" si="86"/>
        <v>-34282.961340000016</v>
      </c>
      <c r="X82" s="539">
        <f t="shared" si="86"/>
        <v>-31253.873050000017</v>
      </c>
      <c r="Y82" s="539">
        <f t="shared" si="86"/>
        <v>-29770.929110000015</v>
      </c>
      <c r="Z82" s="539">
        <f t="shared" si="86"/>
        <v>-28708.282540000015</v>
      </c>
      <c r="AA82" s="539">
        <f t="shared" si="86"/>
        <v>-27692.487530000013</v>
      </c>
      <c r="AB82" s="539">
        <f t="shared" si="86"/>
        <v>-26711.886850000014</v>
      </c>
      <c r="AC82" s="539">
        <f t="shared" si="86"/>
        <v>-25249.174790000012</v>
      </c>
      <c r="AD82" s="539">
        <f t="shared" si="86"/>
        <v>-23171.93566000001</v>
      </c>
      <c r="AE82" s="539">
        <f t="shared" si="86"/>
        <v>-21380.93566000001</v>
      </c>
      <c r="AF82" s="539">
        <f t="shared" si="86"/>
        <v>-18146.93566000001</v>
      </c>
      <c r="AG82" s="539">
        <f t="shared" si="86"/>
        <v>-14523.147320000011</v>
      </c>
      <c r="AH82" s="539">
        <f t="shared" si="86"/>
        <v>-11852.264220000012</v>
      </c>
      <c r="AI82" s="539">
        <f t="shared" si="86"/>
        <v>-9512.6003600000113</v>
      </c>
      <c r="AJ82" s="539">
        <f t="shared" si="86"/>
        <v>-8373.7282900000118</v>
      </c>
      <c r="AK82" s="539">
        <f t="shared" si="86"/>
        <v>-7543.4780600000122</v>
      </c>
      <c r="AL82" s="539">
        <f t="shared" si="86"/>
        <v>-6882.1108900000127</v>
      </c>
      <c r="AM82" s="539">
        <f t="shared" si="86"/>
        <v>-6303.9779800000124</v>
      </c>
      <c r="AN82" s="539">
        <f t="shared" si="86"/>
        <v>-5710.3492900000119</v>
      </c>
      <c r="AO82" s="539">
        <f t="shared" si="86"/>
        <v>-4950.5876300000118</v>
      </c>
      <c r="AP82" s="539">
        <f t="shared" si="86"/>
        <v>-3439.8164200000119</v>
      </c>
      <c r="AQ82" s="539">
        <f t="shared" si="86"/>
        <v>-4198.8164200000119</v>
      </c>
      <c r="AR82" s="539">
        <f t="shared" si="86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7">SUM(AU79:AU81)</f>
        <v>-3060.6942200000117</v>
      </c>
      <c r="AV82" s="539">
        <f t="shared" si="87"/>
        <v>-1171.5792400000119</v>
      </c>
      <c r="AW82" s="539">
        <f t="shared" si="87"/>
        <v>-110.3598400000119</v>
      </c>
      <c r="AX82" s="539">
        <f t="shared" si="87"/>
        <v>562.28359999998781</v>
      </c>
      <c r="AY82" s="539">
        <f t="shared" si="87"/>
        <v>1112.9754199999877</v>
      </c>
      <c r="AZ82" s="539">
        <f t="shared" si="87"/>
        <v>1665.0912599999876</v>
      </c>
      <c r="BA82" s="539">
        <f t="shared" si="87"/>
        <v>2453.3263199999874</v>
      </c>
      <c r="BB82" s="539">
        <f t="shared" si="87"/>
        <v>4179.371949999987</v>
      </c>
      <c r="BC82" s="539">
        <f t="shared" si="87"/>
        <v>3420.371949999987</v>
      </c>
      <c r="BD82" s="539">
        <f t="shared" si="87"/>
        <v>3122.371949999987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8">E82-E83</f>
        <v>-2.1000000560889021E-4</v>
      </c>
      <c r="F84" s="480">
        <f t="shared" si="88"/>
        <v>-1.4600000013160752E-3</v>
      </c>
      <c r="G84" s="480">
        <f t="shared" si="88"/>
        <v>-1.4600000016571357E-3</v>
      </c>
      <c r="H84" s="480">
        <f t="shared" si="88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89">V82-V83</f>
        <v>1.2219999982335139E-2</v>
      </c>
      <c r="W84" s="480">
        <f t="shared" si="89"/>
        <v>8.6599999849568121E-3</v>
      </c>
      <c r="X84" s="480">
        <f t="shared" si="89"/>
        <v>6.9499999844992999E-3</v>
      </c>
      <c r="Y84" s="480">
        <f t="shared" si="89"/>
        <v>1.0889999983191956E-2</v>
      </c>
      <c r="Z84" s="480">
        <f t="shared" si="89"/>
        <v>7.4599999861675315E-3</v>
      </c>
      <c r="AA84" s="480">
        <f t="shared" si="89"/>
        <v>2.469999988534255E-3</v>
      </c>
      <c r="AB84" s="480">
        <f t="shared" si="89"/>
        <v>3.1499999859079253E-3</v>
      </c>
      <c r="AC84" s="480">
        <f t="shared" si="89"/>
        <v>5.2099999884376302E-3</v>
      </c>
      <c r="AD84" s="480">
        <f t="shared" si="89"/>
        <v>4.339999988587806E-3</v>
      </c>
      <c r="AE84" s="480">
        <f t="shared" si="89"/>
        <v>4.339999988587806E-3</v>
      </c>
      <c r="AF84" s="480">
        <f t="shared" si="89"/>
        <v>4.339999988587806E-3</v>
      </c>
      <c r="AG84" s="480">
        <f t="shared" si="89"/>
        <v>2.6799999886861769E-3</v>
      </c>
      <c r="AH84" s="480">
        <f t="shared" si="89"/>
        <v>5.7799999885901343E-3</v>
      </c>
      <c r="AI84" s="480">
        <f t="shared" si="89"/>
        <v>9.6399999893037602E-3</v>
      </c>
      <c r="AJ84" s="480">
        <f t="shared" si="89"/>
        <v>1.1709999987942865E-2</v>
      </c>
      <c r="AK84" s="480">
        <f t="shared" si="89"/>
        <v>1.1939999987589545E-2</v>
      </c>
      <c r="AL84" s="480">
        <f t="shared" si="89"/>
        <v>9.1099999872312765E-3</v>
      </c>
      <c r="AM84" s="480">
        <f t="shared" si="89"/>
        <v>1.2019999987387564E-2</v>
      </c>
      <c r="AN84" s="480">
        <f t="shared" si="89"/>
        <v>1.0709999987739138E-2</v>
      </c>
      <c r="AO84" s="480">
        <f t="shared" si="89"/>
        <v>1.2369999988550262E-2</v>
      </c>
      <c r="AP84" s="480">
        <f t="shared" si="89"/>
        <v>1.3579999987996416E-2</v>
      </c>
      <c r="AQ84" s="480">
        <f t="shared" si="89"/>
        <v>1.3579999987996416E-2</v>
      </c>
      <c r="AR84" s="480">
        <f t="shared" si="89"/>
        <v>1.3579999987996416E-2</v>
      </c>
      <c r="AS84" s="480">
        <f>AS82-AS83</f>
        <v>1.0319999988041673E-2</v>
      </c>
      <c r="AT84" s="480">
        <f t="shared" ref="AT84:BD84" si="90">AT82-AT83</f>
        <v>1.3839999988249474E-2</v>
      </c>
      <c r="AU84" s="480">
        <f t="shared" si="90"/>
        <v>1.5779999988353666E-2</v>
      </c>
      <c r="AV84" s="480">
        <f t="shared" si="90"/>
        <v>1748.2307599999881</v>
      </c>
      <c r="AW84" s="480">
        <f t="shared" si="90"/>
        <v>2731.6701599999883</v>
      </c>
      <c r="AX84" s="480">
        <f t="shared" si="90"/>
        <v>3356.4635999999878</v>
      </c>
      <c r="AY84" s="480">
        <f t="shared" si="90"/>
        <v>3868.0954199999878</v>
      </c>
      <c r="AZ84" s="480">
        <f t="shared" si="90"/>
        <v>4381.3412599999874</v>
      </c>
      <c r="BA84" s="480">
        <f t="shared" si="90"/>
        <v>5112.3463199999878</v>
      </c>
      <c r="BB84" s="480">
        <f t="shared" si="90"/>
        <v>6838.3919499999865</v>
      </c>
      <c r="BC84" s="480">
        <f t="shared" si="90"/>
        <v>6079.3919499999865</v>
      </c>
      <c r="BD84" s="480">
        <f t="shared" si="90"/>
        <v>3122.371949999987</v>
      </c>
    </row>
  </sheetData>
  <conditionalFormatting sqref="E29 L65:AR65 K29:AK29 AN29:AR29 BE29 BE65">
    <cfRule type="cellIs" dxfId="334" priority="28" operator="notEqual">
      <formula>E28</formula>
    </cfRule>
  </conditionalFormatting>
  <conditionalFormatting sqref="F29">
    <cfRule type="cellIs" dxfId="333" priority="27" operator="notEqual">
      <formula>F28</formula>
    </cfRule>
  </conditionalFormatting>
  <conditionalFormatting sqref="G29">
    <cfRule type="cellIs" dxfId="332" priority="26" operator="notEqual">
      <formula>G28</formula>
    </cfRule>
  </conditionalFormatting>
  <conditionalFormatting sqref="H29">
    <cfRule type="cellIs" dxfId="331" priority="25" operator="notEqual">
      <formula>H28</formula>
    </cfRule>
  </conditionalFormatting>
  <conditionalFormatting sqref="G65">
    <cfRule type="cellIs" dxfId="330" priority="22" operator="notEqual">
      <formula>G64</formula>
    </cfRule>
  </conditionalFormatting>
  <conditionalFormatting sqref="H65">
    <cfRule type="cellIs" dxfId="329" priority="21" operator="notEqual">
      <formula>H64</formula>
    </cfRule>
  </conditionalFormatting>
  <conditionalFormatting sqref="E65">
    <cfRule type="cellIs" dxfId="328" priority="24" operator="notEqual">
      <formula>E64</formula>
    </cfRule>
  </conditionalFormatting>
  <conditionalFormatting sqref="F65">
    <cfRule type="cellIs" dxfId="327" priority="23" operator="notEqual">
      <formula>F64</formula>
    </cfRule>
  </conditionalFormatting>
  <conditionalFormatting sqref="BK80 BK47 BK11">
    <cfRule type="cellIs" dxfId="326" priority="20" operator="notEqual">
      <formula>0</formula>
    </cfRule>
  </conditionalFormatting>
  <conditionalFormatting sqref="D65">
    <cfRule type="cellIs" dxfId="325" priority="19" operator="notEqual">
      <formula>D64</formula>
    </cfRule>
  </conditionalFormatting>
  <conditionalFormatting sqref="C65">
    <cfRule type="cellIs" dxfId="324" priority="18" operator="notEqual">
      <formula>C64</formula>
    </cfRule>
  </conditionalFormatting>
  <conditionalFormatting sqref="D29">
    <cfRule type="cellIs" dxfId="323" priority="17" operator="notEqual">
      <formula>D28</formula>
    </cfRule>
  </conditionalFormatting>
  <conditionalFormatting sqref="C29">
    <cfRule type="cellIs" dxfId="322" priority="16" operator="notEqual">
      <formula>C28</formula>
    </cfRule>
  </conditionalFormatting>
  <conditionalFormatting sqref="I29">
    <cfRule type="cellIs" dxfId="321" priority="15" operator="notEqual">
      <formula>I28</formula>
    </cfRule>
  </conditionalFormatting>
  <conditionalFormatting sqref="I65">
    <cfRule type="cellIs" dxfId="320" priority="14" operator="notEqual">
      <formula>I64</formula>
    </cfRule>
  </conditionalFormatting>
  <conditionalFormatting sqref="J29">
    <cfRule type="cellIs" dxfId="319" priority="13" operator="notEqual">
      <formula>J28</formula>
    </cfRule>
  </conditionalFormatting>
  <conditionalFormatting sqref="J65">
    <cfRule type="cellIs" dxfId="318" priority="12" operator="notEqual">
      <formula>J64</formula>
    </cfRule>
  </conditionalFormatting>
  <conditionalFormatting sqref="K65">
    <cfRule type="cellIs" dxfId="317" priority="11" operator="notEqual">
      <formula>K64</formula>
    </cfRule>
  </conditionalFormatting>
  <conditionalFormatting sqref="U29">
    <cfRule type="cellIs" dxfId="316" priority="10" operator="notEqual">
      <formula>U28</formula>
    </cfRule>
  </conditionalFormatting>
  <conditionalFormatting sqref="U65">
    <cfRule type="cellIs" dxfId="315" priority="9" operator="notEqual">
      <formula>U64</formula>
    </cfRule>
  </conditionalFormatting>
  <conditionalFormatting sqref="V29">
    <cfRule type="cellIs" dxfId="314" priority="8" operator="notEqual">
      <formula>V28</formula>
    </cfRule>
  </conditionalFormatting>
  <conditionalFormatting sqref="V65">
    <cfRule type="cellIs" dxfId="313" priority="7" operator="notEqual">
      <formula>V64</formula>
    </cfRule>
  </conditionalFormatting>
  <conditionalFormatting sqref="W65">
    <cfRule type="cellIs" dxfId="312" priority="6" operator="notEqual">
      <formula>W64</formula>
    </cfRule>
  </conditionalFormatting>
  <conditionalFormatting sqref="AL29">
    <cfRule type="cellIs" dxfId="311" priority="5" operator="notEqual">
      <formula>AL28</formula>
    </cfRule>
  </conditionalFormatting>
  <conditionalFormatting sqref="AM29">
    <cfRule type="cellIs" dxfId="310" priority="4" operator="notEqual">
      <formula>AM28</formula>
    </cfRule>
  </conditionalFormatting>
  <conditionalFormatting sqref="AS65:BD65 AS29:AW29 AZ29:BD29">
    <cfRule type="cellIs" dxfId="309" priority="3" operator="notEqual">
      <formula>AS28</formula>
    </cfRule>
  </conditionalFormatting>
  <conditionalFormatting sqref="AX29">
    <cfRule type="cellIs" dxfId="308" priority="2" operator="notEqual">
      <formula>AX28</formula>
    </cfRule>
  </conditionalFormatting>
  <conditionalFormatting sqref="AY29">
    <cfRule type="cellIs" dxfId="307" priority="1" operator="notEqual">
      <formula>AY28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D4" activePane="bottomRight" state="frozen"/>
      <selection activeCell="AV20" sqref="AV20"/>
      <selection pane="topRight" activeCell="AV20" sqref="AV20"/>
      <selection pane="bottomLeft" activeCell="AV20" sqref="AV20"/>
      <selection pane="bottomRight" activeCell="AV20" sqref="AV20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48" width="16.28515625" style="480" customWidth="1"/>
    <col min="49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617">
        <v>0.01</v>
      </c>
      <c r="AW4" s="486"/>
      <c r="AX4" s="486"/>
      <c r="AY4" s="486"/>
      <c r="AZ4" s="486"/>
      <c r="BA4" s="586"/>
      <c r="BB4" s="486"/>
      <c r="BC4" s="486"/>
      <c r="BD4" s="486"/>
      <c r="BE4" s="486"/>
      <c r="BF4" s="577"/>
      <c r="BG4" s="542">
        <v>201703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>AU13</f>
        <v>-5711247.8608159944</v>
      </c>
      <c r="AW5" s="480">
        <f t="shared" ref="AW5:AX5" si="6">AV13</f>
        <v>-6454065.7774869939</v>
      </c>
      <c r="AX5" s="480">
        <f t="shared" si="6"/>
        <v>-7020431.2693119934</v>
      </c>
      <c r="AY5" s="480">
        <f>AX13</f>
        <v>-7060050.8436179934</v>
      </c>
      <c r="AZ5" s="480">
        <f>AY13</f>
        <v>-7036450.1894839946</v>
      </c>
      <c r="BA5" s="480">
        <f t="shared" ref="BA5" si="7">AZ13</f>
        <v>-7789326.5660229949</v>
      </c>
      <c r="BB5" s="480">
        <f>BA13</f>
        <v>-8731261.0878779944</v>
      </c>
      <c r="BC5" s="480">
        <f>BB13</f>
        <v>-9570238.1393189933</v>
      </c>
      <c r="BD5" s="480">
        <f t="shared" ref="BD5" si="8">BC13</f>
        <v>-11238681.292050993</v>
      </c>
      <c r="BE5" s="480">
        <f>BD13</f>
        <v>-4584019.459393993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251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5066.7700000000004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742817.9166710003</v>
      </c>
    </row>
    <row r="8" spans="1:64">
      <c r="C8" s="479" t="s">
        <v>255</v>
      </c>
      <c r="D8" s="480">
        <f t="shared" si="9"/>
        <v>-71043.08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>ROUND(((AV5+AV9+AV10+AV11)*(AV4/12))+((SUM(AV6:AV7)/2)*(AV4/12)),2)</f>
        <v>-5066.7700000000004</v>
      </c>
      <c r="AW8" s="555">
        <f t="shared" ref="AW8:AY8" si="10">ROUND(((AW5+AW9+AW10+AW11)*(AW4/12))+((SUM(AW6:AW7)/2)*(AW4/12)),2)</f>
        <v>0</v>
      </c>
      <c r="AX8" s="555">
        <f t="shared" si="10"/>
        <v>0</v>
      </c>
      <c r="AY8" s="555">
        <f t="shared" si="10"/>
        <v>0</v>
      </c>
      <c r="AZ8" s="555">
        <f>ROUND(((AZ5+AZ9+AZ10+AZ11)*(AZ4/12))+((SUM(AZ6:AZ7)/2)*(AZ4/12)),2)</f>
        <v>0</v>
      </c>
      <c r="BA8" s="555">
        <f t="shared" ref="BA8" si="11">ROUND(((BA5+BA9+BA10+BA11)*(BA4/12))+((SUM(BA6:BA7)/2)*(BA4/12)),2)</f>
        <v>0</v>
      </c>
      <c r="BB8" s="555">
        <f>ROUND(((BB5+BB9+BB10+BB11)*(BB4/12))+((SUM(BB6:BB7)/2)*(BB4/12)),2)</f>
        <v>0</v>
      </c>
      <c r="BC8" s="555">
        <f>ROUND(((BC5+BC9+BC10+BC11)*(BC4/12))+((SUM(BC6:BC7)/2)*(BC4/12)),2)</f>
        <v>0</v>
      </c>
      <c r="BD8" s="555">
        <f>ROUND(((BD5+BD9+BD10+BD11)*(BD4/12))+((SUM(BD6:BD7)/2)*(BD4/12)),2)</f>
        <v>0</v>
      </c>
      <c r="BE8" s="555">
        <f>ROUND(((BE5+BE9+BE10+BE11)*(BE4/12))+((SUM(BE6:BE7)/2)*(BE4/12)),2)</f>
        <v>0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737751.14667100029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84148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44402.320000000007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>SUM(AV5:AV12)</f>
        <v>-6454065.7774869939</v>
      </c>
      <c r="AW13" s="539">
        <f t="shared" si="14"/>
        <v>-7020431.2693119934</v>
      </c>
      <c r="AX13" s="539">
        <f>SUM(AX5:AX12)</f>
        <v>-7060050.8436179934</v>
      </c>
      <c r="AY13" s="608">
        <f t="shared" ref="AY13:BD13" si="15">SUM(AY5:AY12)</f>
        <v>-7036450.1894839946</v>
      </c>
      <c r="AZ13" s="539">
        <f t="shared" si="15"/>
        <v>-7789326.5660229949</v>
      </c>
      <c r="BA13" s="539">
        <f t="shared" si="15"/>
        <v>-8731261.0878779944</v>
      </c>
      <c r="BB13" s="539">
        <f t="shared" si="15"/>
        <v>-9570238.1393189933</v>
      </c>
      <c r="BC13" s="539">
        <f t="shared" si="15"/>
        <v>-11238681.292050993</v>
      </c>
      <c r="BD13" s="602">
        <f t="shared" si="15"/>
        <v>-4584019.459393993</v>
      </c>
      <c r="BE13" s="539">
        <f>SUM(BE5:BE12)</f>
        <v>-6235570.2125399914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_xll.Get_Balance(AV3,"YTD","USD","Total","A","","001",$B$3,"GD","ID","DL")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601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>AV13-AV14</f>
        <v>-7.4869943782687187E-3</v>
      </c>
      <c r="AW15" s="480">
        <f t="shared" si="18"/>
        <v>5614.3606880065054</v>
      </c>
      <c r="AX15" s="480">
        <f t="shared" si="18"/>
        <v>11485.906382006593</v>
      </c>
      <c r="AY15" s="480">
        <f t="shared" si="18"/>
        <v>17369.020516005345</v>
      </c>
      <c r="AZ15" s="480">
        <f>AZ13-AZ14</f>
        <v>23560.903977004811</v>
      </c>
      <c r="BA15" s="480">
        <f t="shared" ref="BA15:BE15" si="19">BA13-BA14</f>
        <v>30464.112122004852</v>
      </c>
      <c r="BB15" s="480">
        <f t="shared" si="19"/>
        <v>38115.120681006461</v>
      </c>
      <c r="BC15" s="480">
        <f t="shared" si="19"/>
        <v>-1630328.0320509933</v>
      </c>
      <c r="BD15" s="480">
        <f t="shared" si="19"/>
        <v>5024333.8006060068</v>
      </c>
      <c r="BE15" s="480">
        <f t="shared" si="19"/>
        <v>-6235570.2125399914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621">
        <f>Mar!$K36</f>
        <v>7018804</v>
      </c>
      <c r="AW19" s="489">
        <f>Apr!$K36</f>
        <v>4807641</v>
      </c>
      <c r="AX19" s="489">
        <f>May!$K36</f>
        <v>2613793</v>
      </c>
      <c r="AY19" s="489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621">
        <f>Mar!$K37</f>
        <v>2558534</v>
      </c>
      <c r="AW20" s="489">
        <f>Apr!$K37</f>
        <v>1910087</v>
      </c>
      <c r="AX20" s="489">
        <f>May!$K37</f>
        <v>1315495</v>
      </c>
      <c r="AY20" s="489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621"/>
      <c r="AW21" s="489"/>
      <c r="AX21" s="489"/>
      <c r="AY21" s="489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621"/>
      <c r="AW22" s="489"/>
      <c r="AX22" s="489"/>
      <c r="AY22" s="489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621"/>
      <c r="AW23" s="489"/>
      <c r="AX23" s="489"/>
      <c r="AY23" s="489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621">
        <f>Mar!$K41</f>
        <v>0</v>
      </c>
      <c r="AW24" s="489">
        <f>Apr!$K41</f>
        <v>0</v>
      </c>
      <c r="AX24" s="489">
        <f>May!$K41</f>
        <v>0</v>
      </c>
      <c r="AY24" s="489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11177385</v>
      </c>
      <c r="AV28" s="562">
        <v>9577338</v>
      </c>
      <c r="AW28" s="562">
        <v>3920264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8">
        <v>9.3079999999999996E-2</v>
      </c>
      <c r="AW31" s="613">
        <v>2.8709999999999999E-2</v>
      </c>
      <c r="AX31" s="613">
        <v>2.8709999999999999E-2</v>
      </c>
      <c r="AY31" s="613">
        <v>2.8709999999999999E-2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8">
        <v>9.3079999999999996E-2</v>
      </c>
      <c r="AW32" s="613">
        <v>2.8709999999999999E-2</v>
      </c>
      <c r="AX32" s="613">
        <v>2.8709999999999999E-2</v>
      </c>
      <c r="AY32" s="613">
        <v>2.8709999999999999E-2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8"/>
      <c r="AW33" s="613"/>
      <c r="AX33" s="613"/>
      <c r="AY33" s="613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8"/>
      <c r="AW34" s="613"/>
      <c r="AX34" s="613"/>
      <c r="AY34" s="613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8"/>
      <c r="AW35" s="613"/>
      <c r="AX35" s="613"/>
      <c r="AY35" s="613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8">
        <v>9.665E-2</v>
      </c>
      <c r="AW36" s="613">
        <v>3.0040000000000001E-2</v>
      </c>
      <c r="AX36" s="613">
        <v>3.0040000000000001E-2</v>
      </c>
      <c r="AY36" s="613">
        <v>3.0040000000000001E-2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617">
        <v>0.01</v>
      </c>
      <c r="AW41" s="486"/>
      <c r="AX41" s="486"/>
      <c r="AY41" s="486"/>
      <c r="AZ41" s="486"/>
      <c r="BA41" s="586"/>
      <c r="BB41" s="486"/>
      <c r="BC41" s="486"/>
      <c r="BD41" s="486"/>
      <c r="BE41" s="486"/>
      <c r="BF41" s="577"/>
      <c r="BG41" s="511">
        <f>BG4</f>
        <v>201703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>AU47</f>
        <v>-2356091.6246554293</v>
      </c>
      <c r="AW42" s="480">
        <f t="shared" si="38"/>
        <v>-1466224.9722105423</v>
      </c>
      <c r="AX42" s="480">
        <f t="shared" si="38"/>
        <v>-1273359.0013305424</v>
      </c>
      <c r="AY42" s="480">
        <f t="shared" si="38"/>
        <v>-1160549.1428505424</v>
      </c>
      <c r="AZ42" s="480">
        <f t="shared" si="38"/>
        <v>-1087259.2022805423</v>
      </c>
      <c r="BA42" s="480">
        <f t="shared" si="38"/>
        <v>-1029293.2816305424</v>
      </c>
      <c r="BB42" s="480">
        <f>BA47</f>
        <v>-961741.0632705423</v>
      </c>
      <c r="BC42" s="480">
        <f>BB47</f>
        <v>-891763.56766054232</v>
      </c>
      <c r="BD42" s="480">
        <f>BC47</f>
        <v>-697630.79674054228</v>
      </c>
      <c r="BE42" s="480">
        <f t="shared" ref="BE42" si="39">BD47</f>
        <v>-7116061.4167405423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>SUMPRODUCT(AV19:AV24,AV31:AV36)</f>
        <v>891458.62103999988</v>
      </c>
      <c r="AW43" s="558">
        <f t="shared" si="43"/>
        <v>192865.97087999998</v>
      </c>
      <c r="AX43" s="558">
        <f t="shared" si="43"/>
        <v>112809.85848</v>
      </c>
      <c r="AY43" s="558">
        <f t="shared" si="43"/>
        <v>73289.940570000006</v>
      </c>
      <c r="AZ43" s="558">
        <f t="shared" si="43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1591.9685951128577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>((AS42*(AS41/12))+((AS43/2)*(AS41/12)))</f>
        <v>-4655.8898418244135</v>
      </c>
      <c r="AT44" s="487">
        <f>((AT42*(AT41/12))+((AT43/2)*(AT41/12)))</f>
        <v>-3444.5647273259347</v>
      </c>
      <c r="AU44" s="487">
        <f>((AU42*(AU41/12))+((AU43/2)*(AU41/12)))</f>
        <v>-2394.9101769820395</v>
      </c>
      <c r="AV44" s="487">
        <f>((AV42*(AV41/12))+((AV43/2)*(AV41/12)))</f>
        <v>-1591.9685951128577</v>
      </c>
      <c r="AW44" s="487">
        <f t="shared" ref="AW44:BB44" si="47">((AW42*(AW41/12))+((AW43/2)*(AW41/12)))</f>
        <v>0</v>
      </c>
      <c r="AX44" s="487">
        <f t="shared" si="47"/>
        <v>0</v>
      </c>
      <c r="AY44" s="487">
        <f t="shared" si="47"/>
        <v>0</v>
      </c>
      <c r="AZ44" s="487">
        <f t="shared" si="47"/>
        <v>0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889866.65244488697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891458.62103999988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-1466224.9722105423</v>
      </c>
      <c r="AW47" s="539">
        <f t="shared" si="51"/>
        <v>-1273359.0013305424</v>
      </c>
      <c r="AX47" s="539">
        <f t="shared" si="51"/>
        <v>-1160549.1428505424</v>
      </c>
      <c r="AY47" s="539">
        <f t="shared" si="51"/>
        <v>-1087259.2022805423</v>
      </c>
      <c r="AZ47" s="539">
        <f t="shared" si="51"/>
        <v>-1029293.2816305424</v>
      </c>
      <c r="BA47" s="539">
        <f t="shared" si="51"/>
        <v>-961741.0632705423</v>
      </c>
      <c r="BB47" s="539">
        <f t="shared" si="51"/>
        <v>-891763.56766054232</v>
      </c>
      <c r="BC47" s="539">
        <f t="shared" si="51"/>
        <v>-697630.79674054228</v>
      </c>
      <c r="BD47" s="539">
        <f t="shared" si="51"/>
        <v>-7116061.4167405423</v>
      </c>
      <c r="BE47" s="539">
        <f>SUM(BE42:BE46)</f>
        <v>-5685238.4167405423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_xll.Get_Balance(AV40,"YTD","USD","Total","A","","001",$B$40,"GD","ID","DL")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>AV47-AV48</f>
        <v>-2.2105423267930746E-3</v>
      </c>
      <c r="AW49" s="480">
        <f t="shared" si="54"/>
        <v>-431458.83133054234</v>
      </c>
      <c r="AX49" s="480">
        <f t="shared" si="54"/>
        <v>-683837.90285054245</v>
      </c>
      <c r="AY49" s="480">
        <f t="shared" si="54"/>
        <v>-847861.2622805424</v>
      </c>
      <c r="AZ49" s="480">
        <f t="shared" si="54"/>
        <v>-977704.06163054239</v>
      </c>
      <c r="BA49" s="480">
        <f t="shared" si="54"/>
        <v>-1129209.5232705423</v>
      </c>
      <c r="BB49" s="480">
        <f t="shared" si="54"/>
        <v>-1286338.4676605423</v>
      </c>
      <c r="BC49" s="480">
        <f>BC47-BC48</f>
        <v>-1092205.6967405423</v>
      </c>
      <c r="BD49" s="480">
        <f t="shared" ref="BD49" si="55">BD47-BD48</f>
        <v>-7510636.3167405427</v>
      </c>
      <c r="BE49" s="480">
        <f>BE47-BE48</f>
        <v>-5685238.4167405423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621">
        <f>Mar!$K36</f>
        <v>7018804</v>
      </c>
      <c r="AW52" s="489">
        <f>Apr!$K36</f>
        <v>4807641</v>
      </c>
      <c r="AX52" s="489">
        <f>May!$K36</f>
        <v>2613793</v>
      </c>
      <c r="AY52" s="489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621">
        <f>Mar!$K37</f>
        <v>2558534</v>
      </c>
      <c r="AW53" s="489">
        <f>Apr!$K37</f>
        <v>1910087</v>
      </c>
      <c r="AX53" s="489">
        <f>May!$K37</f>
        <v>1315495</v>
      </c>
      <c r="AY53" s="489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621">
        <f>Mar!$K38</f>
        <v>2902</v>
      </c>
      <c r="AW54" s="489">
        <f>Apr!$K38</f>
        <v>7675</v>
      </c>
      <c r="AX54" s="489">
        <f>May!$K38</f>
        <v>29168</v>
      </c>
      <c r="AY54" s="489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621">
        <f>Mar!$K39</f>
        <v>0</v>
      </c>
      <c r="AW55" s="489">
        <f>Apr!$K39</f>
        <v>0</v>
      </c>
      <c r="AX55" s="489">
        <f>May!$K39</f>
        <v>0</v>
      </c>
      <c r="AY55" s="489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621"/>
      <c r="AW56" s="489"/>
      <c r="AX56" s="489"/>
      <c r="AY56" s="489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621"/>
      <c r="AW57" s="489"/>
      <c r="AX57" s="489"/>
      <c r="AY57" s="489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621">
        <f>Mar!$K42</f>
        <v>0</v>
      </c>
      <c r="AW58" s="489">
        <f>Apr!$K42</f>
        <v>0</v>
      </c>
      <c r="AX58" s="489">
        <f>May!$K42</f>
        <v>0</v>
      </c>
      <c r="AY58" s="489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11188261</v>
      </c>
      <c r="AV61" s="562">
        <v>9580240</v>
      </c>
      <c r="AW61" s="562">
        <v>3932071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8">
        <v>0</v>
      </c>
      <c r="AW64" s="613">
        <v>0</v>
      </c>
      <c r="AX64" s="613">
        <v>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8">
        <v>0</v>
      </c>
      <c r="AW65" s="613">
        <v>0</v>
      </c>
      <c r="AX65" s="613">
        <v>0</v>
      </c>
      <c r="AY65" s="613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8">
        <v>0</v>
      </c>
      <c r="AW66" s="613">
        <v>0</v>
      </c>
      <c r="AX66" s="613">
        <v>0</v>
      </c>
      <c r="AY66" s="613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8">
        <v>0</v>
      </c>
      <c r="AW67" s="613">
        <v>0</v>
      </c>
      <c r="AX67" s="613">
        <v>0</v>
      </c>
      <c r="AY67" s="613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8"/>
      <c r="AW68" s="613"/>
      <c r="AX68" s="613"/>
      <c r="AY68" s="613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8"/>
      <c r="AW69" s="613"/>
      <c r="AX69" s="613"/>
      <c r="AY69" s="613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8">
        <v>0</v>
      </c>
      <c r="AW70" s="613">
        <v>0</v>
      </c>
      <c r="AX70" s="613">
        <v>0</v>
      </c>
      <c r="AY70" s="613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617">
        <v>0.01</v>
      </c>
      <c r="AW74" s="486"/>
      <c r="AX74" s="486"/>
      <c r="AY74" s="486"/>
      <c r="AZ74" s="486"/>
      <c r="BA74" s="586"/>
      <c r="BB74" s="486"/>
      <c r="BC74" s="486"/>
      <c r="BD74" s="486"/>
      <c r="BE74" s="486"/>
      <c r="BF74" s="577"/>
      <c r="BG74" s="511">
        <f>BG4</f>
        <v>201703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>AU79</f>
        <v>-12141.85874845336</v>
      </c>
      <c r="AW75" s="480">
        <f t="shared" ref="AW75:AY75" si="74">AV79</f>
        <v>-12151.976964077072</v>
      </c>
      <c r="AX75" s="480">
        <f t="shared" si="74"/>
        <v>-12151.976964077072</v>
      </c>
      <c r="AY75" s="480">
        <f t="shared" si="74"/>
        <v>-12151.976964077072</v>
      </c>
      <c r="AZ75" s="480">
        <f>AY79</f>
        <v>-12151.976964077072</v>
      </c>
      <c r="BA75" s="480">
        <f t="shared" ref="BA75:BB75" si="75">AZ79</f>
        <v>-12151.976964077072</v>
      </c>
      <c r="BB75" s="480">
        <f t="shared" si="75"/>
        <v>-12151.976964077072</v>
      </c>
      <c r="BC75" s="480">
        <f>BB79</f>
        <v>-12151.976964077072</v>
      </c>
      <c r="BD75" s="480">
        <f t="shared" ref="BD75:BE75" si="76">BC79</f>
        <v>-12151.976964077072</v>
      </c>
      <c r="BE75" s="480">
        <f t="shared" si="76"/>
        <v>-12151.976964077072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10.118215623711134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Q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>((AR75*(AR74/12))+((AR76/2)*(AR74/12)))</f>
        <v>-10.084558386746618</v>
      </c>
      <c r="AS77" s="487">
        <f>((AS75*(AS74/12))+((AS76/2)*(AS74/12)))</f>
        <v>-10.092962185402241</v>
      </c>
      <c r="AT77" s="487">
        <f>((AT75*(AT74/12))+((AT76/2)*(AT74/12)))</f>
        <v>-10.10137298722341</v>
      </c>
      <c r="AU77" s="487">
        <f>((AU75*(AU74/12))+((AU76/2)*(AU74/12)))</f>
        <v>-10.109790798046095</v>
      </c>
      <c r="AV77" s="487">
        <f>((AV75*(AV74/12))+((AV76/2)*(AV74/12)))</f>
        <v>-10.118215623711134</v>
      </c>
      <c r="AW77" s="487">
        <f t="shared" ref="AW77:BC77" si="81">((AW75*(AW74/12))+((AW76/2)*(AW74/12)))</f>
        <v>0</v>
      </c>
      <c r="AX77" s="487">
        <f t="shared" si="81"/>
        <v>0</v>
      </c>
      <c r="AY77" s="487">
        <f t="shared" si="81"/>
        <v>0</v>
      </c>
      <c r="AZ77" s="487">
        <f t="shared" si="81"/>
        <v>0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10.118215623711134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>SUM(AV75:AV78)</f>
        <v>-12151.976964077072</v>
      </c>
      <c r="AW79" s="539">
        <f t="shared" si="83"/>
        <v>-12151.976964077072</v>
      </c>
      <c r="AX79" s="539">
        <f t="shared" si="83"/>
        <v>-12151.976964077072</v>
      </c>
      <c r="AY79" s="539">
        <f t="shared" si="83"/>
        <v>-12151.976964077072</v>
      </c>
      <c r="AZ79" s="539">
        <f t="shared" si="83"/>
        <v>-12151.976964077072</v>
      </c>
      <c r="BA79" s="539">
        <f t="shared" si="83"/>
        <v>-12151.976964077072</v>
      </c>
      <c r="BB79" s="539">
        <f t="shared" si="83"/>
        <v>-12151.976964077072</v>
      </c>
      <c r="BC79" s="539">
        <f t="shared" si="83"/>
        <v>-12151.976964077072</v>
      </c>
      <c r="BD79" s="539">
        <f t="shared" si="83"/>
        <v>-12151.976964077072</v>
      </c>
      <c r="BE79" s="539">
        <f>SUM(BE75:BE78)</f>
        <v>-12151.976964077072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1.3035922927883803E-2</v>
      </c>
      <c r="AW81" s="480">
        <f t="shared" si="84"/>
        <v>10.143035922928902</v>
      </c>
      <c r="AX81" s="480">
        <f t="shared" si="84"/>
        <v>20.28303592292832</v>
      </c>
      <c r="AY81" s="480">
        <f t="shared" si="84"/>
        <v>30.423035922927738</v>
      </c>
      <c r="AZ81" s="480">
        <f t="shared" si="84"/>
        <v>40.573035922927374</v>
      </c>
      <c r="BA81" s="480">
        <f t="shared" si="84"/>
        <v>50.733035922927229</v>
      </c>
      <c r="BB81" s="480">
        <f t="shared" si="84"/>
        <v>60.903035922927302</v>
      </c>
      <c r="BC81" s="480">
        <f t="shared" si="84"/>
        <v>60.903035922927302</v>
      </c>
      <c r="BD81" s="480">
        <f t="shared" si="84"/>
        <v>60.903035922927302</v>
      </c>
      <c r="BE81" s="480">
        <f t="shared" si="84"/>
        <v>-12151.976964077072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306" priority="26" operator="notEqual">
      <formula>F27</formula>
    </cfRule>
  </conditionalFormatting>
  <conditionalFormatting sqref="G28">
    <cfRule type="cellIs" dxfId="305" priority="25" operator="notEqual">
      <formula>G27</formula>
    </cfRule>
  </conditionalFormatting>
  <conditionalFormatting sqref="H28">
    <cfRule type="cellIs" dxfId="304" priority="24" operator="notEqual">
      <formula>H27</formula>
    </cfRule>
  </conditionalFormatting>
  <conditionalFormatting sqref="I28">
    <cfRule type="cellIs" dxfId="303" priority="23" operator="notEqual">
      <formula>I27</formula>
    </cfRule>
  </conditionalFormatting>
  <conditionalFormatting sqref="D28">
    <cfRule type="cellIs" dxfId="302" priority="22" operator="notEqual">
      <formula>D27</formula>
    </cfRule>
  </conditionalFormatting>
  <conditionalFormatting sqref="G61">
    <cfRule type="cellIs" dxfId="301" priority="21" operator="notEqual">
      <formula>G60</formula>
    </cfRule>
  </conditionalFormatting>
  <conditionalFormatting sqref="H61">
    <cfRule type="cellIs" dxfId="300" priority="20" operator="notEqual">
      <formula>H60</formula>
    </cfRule>
  </conditionalFormatting>
  <conditionalFormatting sqref="I61">
    <cfRule type="cellIs" dxfId="299" priority="19" operator="notEqual">
      <formula>I60</formula>
    </cfRule>
  </conditionalFormatting>
  <conditionalFormatting sqref="D61">
    <cfRule type="cellIs" dxfId="298" priority="18" operator="notEqual">
      <formula>D60</formula>
    </cfRule>
  </conditionalFormatting>
  <conditionalFormatting sqref="J61">
    <cfRule type="cellIs" dxfId="297" priority="17" operator="notEqual">
      <formula>J60</formula>
    </cfRule>
  </conditionalFormatting>
  <conditionalFormatting sqref="BL81 BL48 BL11">
    <cfRule type="cellIs" dxfId="296" priority="16" operator="notEqual">
      <formula>0</formula>
    </cfRule>
  </conditionalFormatting>
  <conditionalFormatting sqref="J28">
    <cfRule type="cellIs" dxfId="295" priority="15" operator="notEqual">
      <formula>J27</formula>
    </cfRule>
  </conditionalFormatting>
  <conditionalFormatting sqref="K28">
    <cfRule type="cellIs" dxfId="294" priority="14" operator="notEqual">
      <formula>K27</formula>
    </cfRule>
  </conditionalFormatting>
  <conditionalFormatting sqref="K61">
    <cfRule type="cellIs" dxfId="293" priority="13" operator="notEqual">
      <formula>K60</formula>
    </cfRule>
  </conditionalFormatting>
  <conditionalFormatting sqref="L28">
    <cfRule type="cellIs" dxfId="292" priority="12" operator="notEqual">
      <formula>L27</formula>
    </cfRule>
  </conditionalFormatting>
  <conditionalFormatting sqref="L61">
    <cfRule type="cellIs" dxfId="291" priority="11" operator="notEqual">
      <formula>L60</formula>
    </cfRule>
  </conditionalFormatting>
  <conditionalFormatting sqref="M28:N28">
    <cfRule type="cellIs" dxfId="290" priority="10" operator="notEqual">
      <formula>M27</formula>
    </cfRule>
  </conditionalFormatting>
  <conditionalFormatting sqref="O28">
    <cfRule type="cellIs" dxfId="289" priority="9" operator="notEqual">
      <formula>O27</formula>
    </cfRule>
  </conditionalFormatting>
  <conditionalFormatting sqref="V61">
    <cfRule type="cellIs" dxfId="288" priority="8" operator="notEqual">
      <formula>V60</formula>
    </cfRule>
  </conditionalFormatting>
  <conditionalFormatting sqref="V28:W28">
    <cfRule type="cellIs" dxfId="287" priority="7" operator="notEqual">
      <formula>V27</formula>
    </cfRule>
  </conditionalFormatting>
  <conditionalFormatting sqref="W28">
    <cfRule type="cellIs" dxfId="286" priority="6" operator="notEqual">
      <formula>W27</formula>
    </cfRule>
  </conditionalFormatting>
  <conditionalFormatting sqref="W61">
    <cfRule type="cellIs" dxfId="285" priority="5" operator="notEqual">
      <formula>W60</formula>
    </cfRule>
  </conditionalFormatting>
  <conditionalFormatting sqref="X28">
    <cfRule type="cellIs" dxfId="284" priority="4" operator="notEqual">
      <formula>X27</formula>
    </cfRule>
  </conditionalFormatting>
  <conditionalFormatting sqref="X61">
    <cfRule type="cellIs" dxfId="283" priority="3" operator="notEqual">
      <formula>X60</formula>
    </cfRule>
  </conditionalFormatting>
  <conditionalFormatting sqref="Y28:Z28">
    <cfRule type="cellIs" dxfId="282" priority="2" operator="notEqual">
      <formula>Y27</formula>
    </cfRule>
  </conditionalFormatting>
  <conditionalFormatting sqref="AA28">
    <cfRule type="cellIs" dxfId="281" priority="1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P4" activePane="bottomRight" state="frozen"/>
      <selection activeCell="AV20" sqref="AV20"/>
      <selection pane="topRight" activeCell="AV20" sqref="AV20"/>
      <selection pane="bottomLeft" activeCell="AV20" sqref="AV20"/>
      <selection pane="bottomRight" activeCell="AV20" sqref="AV20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hidden="1" customWidth="1"/>
    <col min="4" max="4" width="16.28515625" style="480" hidden="1" customWidth="1"/>
    <col min="5" max="5" width="15.5703125" style="480" hidden="1" customWidth="1"/>
    <col min="6" max="6" width="18.28515625" style="480" hidden="1" customWidth="1"/>
    <col min="7" max="7" width="16.28515625" style="480" hidden="1" customWidth="1"/>
    <col min="8" max="9" width="19.85546875" style="480" hidden="1" customWidth="1"/>
    <col min="10" max="10" width="16.28515625" style="480" hidden="1" customWidth="1"/>
    <col min="11" max="11" width="21.5703125" style="480" hidden="1" customWidth="1"/>
    <col min="12" max="20" width="16.28515625" style="480" hidden="1" customWidth="1"/>
    <col min="21" max="21" width="19.85546875" style="480" hidden="1" customWidth="1"/>
    <col min="22" max="22" width="16.28515625" style="480" hidden="1" customWidth="1"/>
    <col min="23" max="23" width="21.5703125" style="480" hidden="1" customWidth="1"/>
    <col min="24" max="34" width="16.28515625" style="480" hidden="1" customWidth="1"/>
    <col min="35" max="35" width="17.42578125" style="480" hidden="1" customWidth="1"/>
    <col min="36" max="36" width="15.5703125" style="480" hidden="1" customWidth="1"/>
    <col min="37" max="41" width="17.42578125" style="480" hidden="1" customWidth="1"/>
    <col min="42" max="42" width="17.5703125" style="480" customWidth="1"/>
    <col min="43" max="43" width="18.140625" style="480" customWidth="1"/>
    <col min="44" max="44" width="17.7109375" style="480" customWidth="1"/>
    <col min="45" max="45" width="18.7109375" style="480" customWidth="1"/>
    <col min="46" max="46" width="19.140625" style="480" customWidth="1"/>
    <col min="47" max="47" width="17.42578125" style="480" hidden="1" customWidth="1" outlineLevel="1"/>
    <col min="48" max="48" width="15.5703125" style="480" hidden="1" customWidth="1" outlineLevel="1"/>
    <col min="49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1.8554687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617">
        <v>3.5000000000000003E-2</v>
      </c>
      <c r="AU4" s="486"/>
      <c r="AV4" s="486"/>
      <c r="AW4" s="486"/>
      <c r="AX4" s="486"/>
      <c r="AY4" s="486"/>
      <c r="AZ4" s="586"/>
      <c r="BA4" s="486"/>
      <c r="BB4" s="486"/>
      <c r="BC4" s="486"/>
      <c r="BD4" s="486"/>
      <c r="BE4" s="577"/>
      <c r="BF4" s="542">
        <v>201702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>AS13</f>
        <v>-10248016.525328787</v>
      </c>
      <c r="AU5" s="480">
        <f t="shared" ref="AU5:AX5" si="5">AT13</f>
        <v>-12338677.191237787</v>
      </c>
      <c r="AV5" s="480">
        <f t="shared" si="5"/>
        <v>-13952026.471666789</v>
      </c>
      <c r="AW5" s="480">
        <f t="shared" si="5"/>
        <v>-15090097.97978179</v>
      </c>
      <c r="AX5" s="480">
        <f t="shared" si="5"/>
        <v>-14968040.96234579</v>
      </c>
      <c r="AY5" s="480">
        <f>AX13</f>
        <v>-14594999.697319791</v>
      </c>
      <c r="AZ5" s="480">
        <f t="shared" ref="AZ5" si="6">AY13</f>
        <v>-15683054.83255079</v>
      </c>
      <c r="BA5" s="480">
        <f>AZ13</f>
        <v>-16696376.797435788</v>
      </c>
      <c r="BB5" s="480">
        <f t="shared" ref="BB5" si="7">BA13</f>
        <v>-18622319.908894788</v>
      </c>
      <c r="BC5" s="480">
        <f>BB13</f>
        <v>-21543165.553472787</v>
      </c>
      <c r="BD5" s="480">
        <f t="shared" ref="BD5" si="8">BC13</f>
        <v>-7662853.1729997825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32890.959999999999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2090660.6659089995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>ROUND(((AR5)*(AR4/12))+((SUM(AR6:AR7)/2)*(AR4/12)),2)</f>
        <v>-14406.68</v>
      </c>
      <c r="AS8" s="555">
        <f>ROUND(((AS5)*(AS4/12))+((SUM(AS6:AS7)/2)*(AS4/12)),2)</f>
        <v>-24852.09</v>
      </c>
      <c r="AT8" s="555">
        <f>ROUND(((AT5)*(AT4/12))+((SUM(AT6:AT7)/2)*(AT4/12)),2)</f>
        <v>-32890.959999999999</v>
      </c>
      <c r="AU8" s="555">
        <f t="shared" ref="AU8:BA8" si="11">ROUND(((AU5)*(AU4/12))+((SUM(AU6:AU7)/2)*(AU4/12)),2)</f>
        <v>0</v>
      </c>
      <c r="AV8" s="555">
        <f t="shared" si="11"/>
        <v>0</v>
      </c>
      <c r="AW8" s="555">
        <f t="shared" si="11"/>
        <v>0</v>
      </c>
      <c r="AX8" s="555">
        <f t="shared" si="11"/>
        <v>0</v>
      </c>
      <c r="AY8" s="555">
        <f t="shared" si="11"/>
        <v>0</v>
      </c>
      <c r="AZ8" s="555">
        <f t="shared" si="11"/>
        <v>0</v>
      </c>
      <c r="BA8" s="555">
        <f t="shared" si="11"/>
        <v>0</v>
      </c>
      <c r="BB8" s="555">
        <f>ROUND(((BB5)*(BB4/12))+((SUM(BB6:BB7)/2)*(BB4/12)),2)</f>
        <v>0</v>
      </c>
      <c r="BC8" s="555">
        <f>ROUND(((BC5+BC9+BC10+BC11)*(BC4/12))+((SUM(BC6:BC7)/2)*(BC4/12)),2)</f>
        <v>0</v>
      </c>
      <c r="BD8" s="487">
        <f>ROUND(((BD5)*(BD4/12))+((SUM(BD6:BD7)/2)*(BD4/12)),2)</f>
        <v>0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2057769.7059089995</v>
      </c>
      <c r="BK8" s="498">
        <f>IF((SUMIF(AG3:BD3,BF4,AG6:BD6)+SUMIF(AG3:BD3,BF4,AG7:BD7))&gt;0,(SUMIF(AG3:BD3,BF4,AG6:BD6)+SUMIF(AG3:BD3,BF4,AG7:BD7)),0)</f>
        <v>0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261948.97999999998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2">SUM(F5:F12)</f>
        <v>2255013.9900000002</v>
      </c>
      <c r="G13" s="539">
        <f>SUM(G5:G12)</f>
        <v>-33498.738666789999</v>
      </c>
      <c r="H13" s="539">
        <f t="shared" si="12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3">SUM(V5:V12)</f>
        <v>-1694440.0214187815</v>
      </c>
      <c r="W13" s="539">
        <f t="shared" si="13"/>
        <v>-683405.33395377884</v>
      </c>
      <c r="X13" s="539">
        <f t="shared" si="13"/>
        <v>-2769396.4708657796</v>
      </c>
      <c r="Y13" s="539">
        <f>SUM(Y5:Y12)</f>
        <v>-2940906.6891037785</v>
      </c>
      <c r="Z13" s="539">
        <f t="shared" ref="Z13:AE13" si="14">SUM(Z5:Z12)</f>
        <v>-3112721.2246137792</v>
      </c>
      <c r="AA13" s="539">
        <f t="shared" si="14"/>
        <v>-3464489.8670317773</v>
      </c>
      <c r="AB13" s="539">
        <f t="shared" si="14"/>
        <v>-3555298.2266717753</v>
      </c>
      <c r="AC13" s="539">
        <f t="shared" si="14"/>
        <v>-4755858.0107337767</v>
      </c>
      <c r="AD13" s="539">
        <f t="shared" si="14"/>
        <v>-5900360.3440987766</v>
      </c>
      <c r="AE13" s="539">
        <f t="shared" si="14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5">SUM(AI5:AI12)</f>
        <v>-10398819.535470769</v>
      </c>
      <c r="AJ13" s="539">
        <f t="shared" si="15"/>
        <v>-12153304.785960769</v>
      </c>
      <c r="AK13" s="539">
        <f t="shared" si="15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5"/>
        <v>-15660034.00335677</v>
      </c>
      <c r="AO13" s="539">
        <f>SUM(AO5:AO12)</f>
        <v>-16306032.832939774</v>
      </c>
      <c r="AP13" s="539">
        <f t="shared" si="15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-12338677.191237787</v>
      </c>
      <c r="AU13" s="539">
        <f t="shared" ref="AU13:AW13" si="16">SUM(AU5:AU12)</f>
        <v>-13952026.471666789</v>
      </c>
      <c r="AV13" s="539">
        <f t="shared" si="16"/>
        <v>-15090097.97978179</v>
      </c>
      <c r="AW13" s="539">
        <f t="shared" si="16"/>
        <v>-14968040.96234579</v>
      </c>
      <c r="AX13" s="539">
        <f>SUM(AX5:AX12)</f>
        <v>-14594999.697319791</v>
      </c>
      <c r="AY13" s="539">
        <f t="shared" ref="AY13:AZ13" si="17">SUM(AY5:AY12)</f>
        <v>-15683054.83255079</v>
      </c>
      <c r="AZ13" s="539">
        <f t="shared" si="17"/>
        <v>-16696376.797435788</v>
      </c>
      <c r="BA13" s="539">
        <f>SUM(BA5:BA12)</f>
        <v>-18622319.908894788</v>
      </c>
      <c r="BB13" s="539">
        <f t="shared" ref="BB13" si="18">SUM(BB5:BB12)</f>
        <v>-21543165.553472787</v>
      </c>
      <c r="BC13" s="602">
        <f>SUM(BC5:BC12)</f>
        <v>-7662853.1729997825</v>
      </c>
      <c r="BD13" s="539">
        <f>SUM(BD5:BD12)</f>
        <v>-11391710.959853781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601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19">E13-E14</f>
        <v>1.0000000242143869E-2</v>
      </c>
      <c r="F15" s="480">
        <f t="shared" si="19"/>
        <v>1.0000000242143869E-2</v>
      </c>
      <c r="G15" s="480">
        <f t="shared" si="19"/>
        <v>1.1333210000884719E-2</v>
      </c>
      <c r="H15" s="480">
        <f t="shared" si="19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0">V13-V14</f>
        <v>-1.418781466782093E-3</v>
      </c>
      <c r="W15" s="480">
        <f t="shared" si="20"/>
        <v>-3.9537788834422827E-3</v>
      </c>
      <c r="X15" s="480">
        <f t="shared" si="20"/>
        <v>-8.6577935144305229E-4</v>
      </c>
      <c r="Y15" s="480">
        <f t="shared" si="20"/>
        <v>8.9622149243950844E-4</v>
      </c>
      <c r="Z15" s="480">
        <f t="shared" si="20"/>
        <v>5.3862207569181919E-3</v>
      </c>
      <c r="AA15" s="480">
        <f t="shared" si="20"/>
        <v>2.9682228341698647E-3</v>
      </c>
      <c r="AB15" s="480">
        <f t="shared" si="20"/>
        <v>3.3282246440649033E-3</v>
      </c>
      <c r="AC15" s="480">
        <f t="shared" si="20"/>
        <v>-7.3377694934606552E-4</v>
      </c>
      <c r="AD15" s="480">
        <f t="shared" si="20"/>
        <v>-4.0987767279148102E-3</v>
      </c>
      <c r="AE15" s="480">
        <f t="shared" si="20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1">AH13-AH14</f>
        <v>5.9522874653339386E-4</v>
      </c>
      <c r="AI15" s="480">
        <f t="shared" si="21"/>
        <v>4.5292302966117859E-3</v>
      </c>
      <c r="AJ15" s="480">
        <f t="shared" si="21"/>
        <v>4.0392298251390457E-3</v>
      </c>
      <c r="AK15" s="480">
        <f t="shared" si="21"/>
        <v>7.895229384303093E-3</v>
      </c>
      <c r="AL15" s="480">
        <f t="shared" si="21"/>
        <v>5.0072316080331802E-3</v>
      </c>
      <c r="AM15" s="480">
        <f>AM13-AM14</f>
        <v>2.2832304239273071E-3</v>
      </c>
      <c r="AN15" s="480">
        <f t="shared" si="21"/>
        <v>6.6432300955057144E-3</v>
      </c>
      <c r="AO15" s="480">
        <f t="shared" si="21"/>
        <v>7.0602260529994965E-3</v>
      </c>
      <c r="AP15" s="480">
        <f t="shared" si="21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2">AT13-AT14</f>
        <v>1.8762214109301567E-2</v>
      </c>
      <c r="AU15" s="480">
        <f t="shared" si="22"/>
        <v>38340.628333210945</v>
      </c>
      <c r="AV15" s="480">
        <f t="shared" si="22"/>
        <v>83353.450218209997</v>
      </c>
      <c r="AW15" s="480">
        <f t="shared" si="22"/>
        <v>130076.01765421033</v>
      </c>
      <c r="AX15" s="480">
        <f t="shared" si="22"/>
        <v>176177.70268020965</v>
      </c>
      <c r="AY15" s="480">
        <f t="shared" si="22"/>
        <v>226717.88744921051</v>
      </c>
      <c r="AZ15" s="480">
        <f t="shared" si="22"/>
        <v>280892.11256421171</v>
      </c>
      <c r="BA15" s="480">
        <f t="shared" si="22"/>
        <v>340094.90110521019</v>
      </c>
      <c r="BB15" s="480">
        <f t="shared" si="22"/>
        <v>-2580750.7434727885</v>
      </c>
      <c r="BC15" s="480">
        <f>BC13-BC14</f>
        <v>11299561.637000216</v>
      </c>
      <c r="BD15" s="480">
        <f>BD13-BD14</f>
        <v>-11391710.959853781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3">U18+1</f>
        <v>201502</v>
      </c>
      <c r="W18" s="482">
        <f t="shared" si="23"/>
        <v>201503</v>
      </c>
      <c r="X18" s="482">
        <f t="shared" si="23"/>
        <v>201504</v>
      </c>
      <c r="Y18" s="482">
        <f t="shared" si="23"/>
        <v>201505</v>
      </c>
      <c r="Z18" s="482">
        <f t="shared" si="23"/>
        <v>201506</v>
      </c>
      <c r="AA18" s="482">
        <f t="shared" si="23"/>
        <v>201507</v>
      </c>
      <c r="AB18" s="482">
        <f t="shared" si="23"/>
        <v>201508</v>
      </c>
      <c r="AC18" s="482">
        <f t="shared" si="23"/>
        <v>201509</v>
      </c>
      <c r="AD18" s="482">
        <f t="shared" si="23"/>
        <v>201510</v>
      </c>
      <c r="AE18" s="482">
        <f>AD18+1</f>
        <v>201511</v>
      </c>
      <c r="AF18" s="482">
        <f t="shared" ref="AF18" si="24">AE18+1</f>
        <v>201512</v>
      </c>
      <c r="AG18" s="482">
        <v>201601</v>
      </c>
      <c r="AH18" s="482">
        <f>AG18+1</f>
        <v>201602</v>
      </c>
      <c r="AI18" s="482">
        <f t="shared" ref="AI18:AR18" si="25">AH18+1</f>
        <v>201603</v>
      </c>
      <c r="AJ18" s="482">
        <f t="shared" si="25"/>
        <v>201604</v>
      </c>
      <c r="AK18" s="482">
        <f t="shared" si="25"/>
        <v>201605</v>
      </c>
      <c r="AL18" s="482">
        <f t="shared" si="25"/>
        <v>201606</v>
      </c>
      <c r="AM18" s="482">
        <f t="shared" si="25"/>
        <v>201607</v>
      </c>
      <c r="AN18" s="482">
        <f t="shared" si="25"/>
        <v>201608</v>
      </c>
      <c r="AO18" s="482">
        <f t="shared" si="25"/>
        <v>201609</v>
      </c>
      <c r="AP18" s="482">
        <f t="shared" si="25"/>
        <v>201610</v>
      </c>
      <c r="AQ18" s="482">
        <f t="shared" si="25"/>
        <v>201611</v>
      </c>
      <c r="AR18" s="482">
        <f t="shared" si="25"/>
        <v>201612</v>
      </c>
      <c r="AS18" s="482">
        <f>AS3</f>
        <v>201701</v>
      </c>
      <c r="AT18" s="482">
        <f>AS18+1</f>
        <v>201702</v>
      </c>
      <c r="AU18" s="482">
        <f t="shared" ref="AU18:BD18" si="26">AT18+1</f>
        <v>201703</v>
      </c>
      <c r="AV18" s="482">
        <f t="shared" si="26"/>
        <v>201704</v>
      </c>
      <c r="AW18" s="482">
        <f t="shared" si="26"/>
        <v>201705</v>
      </c>
      <c r="AX18" s="482">
        <f t="shared" si="26"/>
        <v>201706</v>
      </c>
      <c r="AY18" s="482">
        <f t="shared" si="26"/>
        <v>201707</v>
      </c>
      <c r="AZ18" s="482">
        <f t="shared" si="26"/>
        <v>201708</v>
      </c>
      <c r="BA18" s="482">
        <f t="shared" si="26"/>
        <v>201709</v>
      </c>
      <c r="BB18" s="482">
        <f t="shared" si="26"/>
        <v>201710</v>
      </c>
      <c r="BC18" s="482">
        <f t="shared" si="26"/>
        <v>201711</v>
      </c>
      <c r="BD18" s="482">
        <f t="shared" si="26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620">
        <f>Feb!$G23</f>
        <v>19157522</v>
      </c>
      <c r="AU19" s="541">
        <f>Mar!$G23</f>
        <v>14316138</v>
      </c>
      <c r="AV19" s="541">
        <f>Apr!$G23</f>
        <v>9641125</v>
      </c>
      <c r="AW19" s="541">
        <f>May!$G23</f>
        <v>4941679</v>
      </c>
      <c r="AX19" s="541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7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620">
        <f>Feb!$G24</f>
        <v>29103</v>
      </c>
      <c r="AU20" s="541">
        <f>Mar!$G24</f>
        <v>22738</v>
      </c>
      <c r="AV20" s="541">
        <f>Apr!$G24</f>
        <v>15697</v>
      </c>
      <c r="AW20" s="541">
        <f>May!$G24</f>
        <v>8078</v>
      </c>
      <c r="AX20" s="541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7"/>
        <v>51323965</v>
      </c>
      <c r="D21" s="489">
        <f t="shared" ref="D21:D27" si="28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620">
        <f>Feb!$G25</f>
        <v>7258148</v>
      </c>
      <c r="AU21" s="541">
        <f>Mar!$G25</f>
        <v>5603968</v>
      </c>
      <c r="AV21" s="541">
        <f>Apr!$G25</f>
        <v>4021494</v>
      </c>
      <c r="AW21" s="541">
        <f>May!$G25</f>
        <v>2425238</v>
      </c>
      <c r="AX21" s="541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620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7"/>
        <v>3609942</v>
      </c>
      <c r="D23" s="489">
        <f t="shared" si="28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620">
        <f>Feb!$G27</f>
        <v>399264</v>
      </c>
      <c r="AU23" s="541">
        <f>Mar!$G27</f>
        <v>334116</v>
      </c>
      <c r="AV23" s="541">
        <f>Apr!$G27</f>
        <v>288026</v>
      </c>
      <c r="AW23" s="541">
        <f>May!$G27</f>
        <v>302382</v>
      </c>
      <c r="AX23" s="541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7"/>
        <v>0</v>
      </c>
      <c r="D24" s="489">
        <f t="shared" si="28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620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7"/>
        <v>0</v>
      </c>
      <c r="D25" s="489">
        <f t="shared" si="28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620">
        <f>Feb!$G29</f>
        <v>0</v>
      </c>
      <c r="AU25" s="541">
        <f>Mar!$G29</f>
        <v>0</v>
      </c>
      <c r="AV25" s="541">
        <f>Apr!$G29</f>
        <v>0</v>
      </c>
      <c r="AW25" s="541">
        <f>May!$G29</f>
        <v>0</v>
      </c>
      <c r="AX25" s="541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7"/>
        <v>0</v>
      </c>
      <c r="D26" s="489">
        <f t="shared" si="28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620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7"/>
        <v>35395192</v>
      </c>
      <c r="D27" s="489">
        <f t="shared" si="28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620">
        <f>Feb!$G31</f>
        <v>3513623</v>
      </c>
      <c r="AU27" s="541">
        <f>Mar!$G31</f>
        <v>3381923</v>
      </c>
      <c r="AV27" s="541">
        <f>Apr!$G31</f>
        <v>2868630</v>
      </c>
      <c r="AW27" s="541">
        <f>May!$G31</f>
        <v>2501903</v>
      </c>
      <c r="AX27" s="541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29">SUM(G19:G27)</f>
        <v>24054373</v>
      </c>
      <c r="H28" s="540">
        <f t="shared" si="29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0">SUM(V19:V27)</f>
        <v>21809394</v>
      </c>
      <c r="W28" s="540">
        <f t="shared" si="30"/>
        <v>17454090</v>
      </c>
      <c r="X28" s="540">
        <f t="shared" si="30"/>
        <v>14032685</v>
      </c>
      <c r="Y28" s="540">
        <f t="shared" si="30"/>
        <v>7651890</v>
      </c>
      <c r="Z28" s="540">
        <f t="shared" si="30"/>
        <v>5795038</v>
      </c>
      <c r="AA28" s="540">
        <f t="shared" si="30"/>
        <v>5628267</v>
      </c>
      <c r="AB28" s="540">
        <f t="shared" si="30"/>
        <v>5459507</v>
      </c>
      <c r="AC28" s="540">
        <f t="shared" si="30"/>
        <v>7409442</v>
      </c>
      <c r="AD28" s="540">
        <f t="shared" si="30"/>
        <v>10025335</v>
      </c>
      <c r="AE28" s="540">
        <f t="shared" si="30"/>
        <v>24443601</v>
      </c>
      <c r="AF28" s="540">
        <f t="shared" si="30"/>
        <v>29286544</v>
      </c>
      <c r="AG28" s="540">
        <f>SUM(AG19:AG27)</f>
        <v>40584714</v>
      </c>
      <c r="AH28" s="540">
        <f t="shared" si="30"/>
        <v>30357660</v>
      </c>
      <c r="AI28" s="540">
        <f t="shared" si="30"/>
        <v>23658883</v>
      </c>
      <c r="AJ28" s="540">
        <f t="shared" si="30"/>
        <v>16834972</v>
      </c>
      <c r="AK28" s="540">
        <f t="shared" si="30"/>
        <v>10179280</v>
      </c>
      <c r="AL28" s="540">
        <f>SUM(AL19:AL27)</f>
        <v>7244961</v>
      </c>
      <c r="AM28" s="540">
        <f>SUM(AM19:AM27)</f>
        <v>5938596</v>
      </c>
      <c r="AN28" s="540">
        <f t="shared" si="30"/>
        <v>6177700</v>
      </c>
      <c r="AO28" s="540">
        <f>SUM(AO19:AO27)</f>
        <v>7874888</v>
      </c>
      <c r="AP28" s="540">
        <f t="shared" si="30"/>
        <v>15813981</v>
      </c>
      <c r="AQ28" s="540">
        <f t="shared" si="30"/>
        <v>18553428</v>
      </c>
      <c r="AR28" s="540">
        <f t="shared" si="30"/>
        <v>36861159</v>
      </c>
      <c r="AS28" s="540">
        <f>SUM(AS19:AS27)</f>
        <v>40584714</v>
      </c>
      <c r="AT28" s="540">
        <f t="shared" ref="AT28:AW28" si="31">SUM(AT19:AT27)</f>
        <v>30357660</v>
      </c>
      <c r="AU28" s="540">
        <f t="shared" si="31"/>
        <v>23658883</v>
      </c>
      <c r="AV28" s="540">
        <f t="shared" si="31"/>
        <v>16834972</v>
      </c>
      <c r="AW28" s="540">
        <f t="shared" si="31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2">SUM(AZ19:AZ27)</f>
        <v>6177700</v>
      </c>
      <c r="BA28" s="540">
        <f>SUM(BA19:BA27)</f>
        <v>4727652</v>
      </c>
      <c r="BB28" s="540">
        <f t="shared" ref="BB28:BD28" si="33">SUM(BB19:BB27)</f>
        <v>6978145</v>
      </c>
      <c r="BC28" s="540">
        <f t="shared" si="33"/>
        <v>7201032</v>
      </c>
      <c r="BD28" s="540">
        <f t="shared" si="33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30357660</v>
      </c>
      <c r="AU29" s="489">
        <v>20236365</v>
      </c>
      <c r="AV29" s="489">
        <v>10637648</v>
      </c>
      <c r="AW29" s="489">
        <v>8282555</v>
      </c>
      <c r="AX29" s="489">
        <v>6819717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4">U31+1</f>
        <v>201502</v>
      </c>
      <c r="W31" s="482">
        <f t="shared" si="34"/>
        <v>201503</v>
      </c>
      <c r="X31" s="482">
        <f t="shared" si="34"/>
        <v>201504</v>
      </c>
      <c r="Y31" s="482">
        <f t="shared" si="34"/>
        <v>201505</v>
      </c>
      <c r="Z31" s="482">
        <f t="shared" si="34"/>
        <v>201506</v>
      </c>
      <c r="AA31" s="482">
        <f t="shared" si="34"/>
        <v>201507</v>
      </c>
      <c r="AB31" s="482">
        <f t="shared" si="34"/>
        <v>201508</v>
      </c>
      <c r="AC31" s="482">
        <f t="shared" si="34"/>
        <v>201509</v>
      </c>
      <c r="AD31" s="482">
        <f t="shared" si="34"/>
        <v>201510</v>
      </c>
      <c r="AE31" s="482">
        <f>AD31+1</f>
        <v>201511</v>
      </c>
      <c r="AF31" s="482">
        <f t="shared" ref="AF31" si="35">AE31+1</f>
        <v>201512</v>
      </c>
      <c r="AG31" s="482">
        <v>201601</v>
      </c>
      <c r="AH31" s="482">
        <f>AG31+1</f>
        <v>201602</v>
      </c>
      <c r="AI31" s="482">
        <f t="shared" ref="AI31:AR31" si="36">AH31+1</f>
        <v>201603</v>
      </c>
      <c r="AJ31" s="482">
        <f t="shared" si="36"/>
        <v>201604</v>
      </c>
      <c r="AK31" s="482">
        <f t="shared" si="36"/>
        <v>201605</v>
      </c>
      <c r="AL31" s="482">
        <f t="shared" si="36"/>
        <v>201606</v>
      </c>
      <c r="AM31" s="482">
        <f t="shared" si="36"/>
        <v>201607</v>
      </c>
      <c r="AN31" s="482">
        <f t="shared" si="36"/>
        <v>201608</v>
      </c>
      <c r="AO31" s="482">
        <f t="shared" si="36"/>
        <v>201609</v>
      </c>
      <c r="AP31" s="482">
        <f t="shared" si="36"/>
        <v>201610</v>
      </c>
      <c r="AQ31" s="482">
        <f t="shared" si="36"/>
        <v>201611</v>
      </c>
      <c r="AR31" s="482">
        <f t="shared" si="36"/>
        <v>201612</v>
      </c>
      <c r="AS31" s="482">
        <f>AS3</f>
        <v>201701</v>
      </c>
      <c r="AT31" s="482">
        <f>AS31+1</f>
        <v>201702</v>
      </c>
      <c r="AU31" s="482">
        <f t="shared" ref="AU31:BD31" si="37">AT31+1</f>
        <v>201703</v>
      </c>
      <c r="AV31" s="482">
        <f t="shared" si="37"/>
        <v>201704</v>
      </c>
      <c r="AW31" s="482">
        <f t="shared" si="37"/>
        <v>201705</v>
      </c>
      <c r="AX31" s="482">
        <f t="shared" si="37"/>
        <v>201706</v>
      </c>
      <c r="AY31" s="482">
        <f t="shared" si="37"/>
        <v>201707</v>
      </c>
      <c r="AZ31" s="482">
        <f t="shared" si="37"/>
        <v>201708</v>
      </c>
      <c r="BA31" s="482">
        <f t="shared" si="37"/>
        <v>201709</v>
      </c>
      <c r="BB31" s="482">
        <f t="shared" si="37"/>
        <v>201710</v>
      </c>
      <c r="BC31" s="482">
        <f t="shared" si="37"/>
        <v>201711</v>
      </c>
      <c r="BD31" s="482">
        <f t="shared" si="37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6">
        <v>9.1740000000000002E-2</v>
      </c>
      <c r="AU32" s="612">
        <v>2.571E-2</v>
      </c>
      <c r="AV32" s="612">
        <v>2.571E-2</v>
      </c>
      <c r="AW32" s="612">
        <v>2.571E-2</v>
      </c>
      <c r="AX32" s="612">
        <v>2.571E-2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6">
        <v>9.1740000000000002E-2</v>
      </c>
      <c r="AU33" s="612">
        <v>2.571E-2</v>
      </c>
      <c r="AV33" s="612">
        <v>2.571E-2</v>
      </c>
      <c r="AW33" s="612">
        <v>2.571E-2</v>
      </c>
      <c r="AX33" s="612">
        <v>2.571E-2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6">
        <v>7.2489999999999999E-2</v>
      </c>
      <c r="AU34" s="612">
        <v>1.372E-2</v>
      </c>
      <c r="AV34" s="612">
        <v>1.372E-2</v>
      </c>
      <c r="AW34" s="612">
        <v>1.372E-2</v>
      </c>
      <c r="AX34" s="612">
        <v>1.372E-2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6"/>
      <c r="AU35" s="612"/>
      <c r="AV35" s="612"/>
      <c r="AW35" s="612"/>
      <c r="AX35" s="612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6">
        <v>4.4479999999999999E-2</v>
      </c>
      <c r="AU36" s="612">
        <v>-5.2900000000000004E-3</v>
      </c>
      <c r="AV36" s="612">
        <v>-5.2900000000000004E-3</v>
      </c>
      <c r="AW36" s="612">
        <v>-5.2900000000000004E-3</v>
      </c>
      <c r="AX36" s="612">
        <v>-5.2900000000000004E-3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6"/>
      <c r="AU37" s="612"/>
      <c r="AV37" s="612"/>
      <c r="AW37" s="612"/>
      <c r="AX37" s="612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6">
        <v>8.8340000000000002E-2</v>
      </c>
      <c r="AU38" s="612">
        <v>1.635E-2</v>
      </c>
      <c r="AV38" s="612">
        <v>1.635E-2</v>
      </c>
      <c r="AW38" s="612">
        <v>1.635E-2</v>
      </c>
      <c r="AX38" s="612">
        <v>1.635E-2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6"/>
      <c r="AU39" s="612"/>
      <c r="AV39" s="612"/>
      <c r="AW39" s="612"/>
      <c r="AX39" s="612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6">
        <v>0</v>
      </c>
      <c r="AU40" s="612">
        <v>0</v>
      </c>
      <c r="AV40" s="612">
        <v>0</v>
      </c>
      <c r="AW40" s="612">
        <v>0</v>
      </c>
      <c r="AX40" s="612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201702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8">U42+1</f>
        <v>201502</v>
      </c>
      <c r="W42" s="482">
        <f t="shared" si="38"/>
        <v>201503</v>
      </c>
      <c r="X42" s="482">
        <f t="shared" si="38"/>
        <v>201504</v>
      </c>
      <c r="Y42" s="482">
        <f t="shared" si="38"/>
        <v>201505</v>
      </c>
      <c r="Z42" s="482">
        <f t="shared" si="38"/>
        <v>201506</v>
      </c>
      <c r="AA42" s="482">
        <f t="shared" si="38"/>
        <v>201507</v>
      </c>
      <c r="AB42" s="482">
        <f t="shared" si="38"/>
        <v>201508</v>
      </c>
      <c r="AC42" s="482">
        <f t="shared" si="38"/>
        <v>201509</v>
      </c>
      <c r="AD42" s="482">
        <f t="shared" si="38"/>
        <v>201510</v>
      </c>
      <c r="AE42" s="482">
        <f>AD42+1</f>
        <v>201511</v>
      </c>
      <c r="AF42" s="482">
        <f t="shared" ref="AF42" si="39">AE42+1</f>
        <v>201512</v>
      </c>
      <c r="AG42" s="482">
        <v>201601</v>
      </c>
      <c r="AH42" s="482">
        <f>AG42+1</f>
        <v>201602</v>
      </c>
      <c r="AI42" s="482">
        <f t="shared" ref="AI42:AR42" si="40">AH42+1</f>
        <v>201603</v>
      </c>
      <c r="AJ42" s="482">
        <f t="shared" si="40"/>
        <v>201604</v>
      </c>
      <c r="AK42" s="482">
        <f t="shared" si="40"/>
        <v>201605</v>
      </c>
      <c r="AL42" s="482">
        <f t="shared" si="40"/>
        <v>201606</v>
      </c>
      <c r="AM42" s="482">
        <f t="shared" si="40"/>
        <v>201607</v>
      </c>
      <c r="AN42" s="482">
        <f t="shared" si="40"/>
        <v>201608</v>
      </c>
      <c r="AO42" s="482">
        <f t="shared" si="40"/>
        <v>201609</v>
      </c>
      <c r="AP42" s="482">
        <f t="shared" si="40"/>
        <v>201610</v>
      </c>
      <c r="AQ42" s="482">
        <f t="shared" si="40"/>
        <v>201611</v>
      </c>
      <c r="AR42" s="482">
        <f t="shared" si="40"/>
        <v>201612</v>
      </c>
      <c r="AS42" s="482">
        <f>AS3</f>
        <v>201701</v>
      </c>
      <c r="AT42" s="482">
        <f>AS42+1</f>
        <v>201702</v>
      </c>
      <c r="AU42" s="482">
        <f t="shared" ref="AU42:BD42" si="41">AT42+1</f>
        <v>201703</v>
      </c>
      <c r="AV42" s="482">
        <f t="shared" si="41"/>
        <v>201704</v>
      </c>
      <c r="AW42" s="482">
        <f t="shared" si="41"/>
        <v>201705</v>
      </c>
      <c r="AX42" s="482">
        <f t="shared" si="41"/>
        <v>201706</v>
      </c>
      <c r="AY42" s="482">
        <f t="shared" si="41"/>
        <v>201707</v>
      </c>
      <c r="AZ42" s="482">
        <f t="shared" si="41"/>
        <v>201708</v>
      </c>
      <c r="BA42" s="482">
        <f t="shared" si="41"/>
        <v>201709</v>
      </c>
      <c r="BB42" s="482">
        <f t="shared" si="41"/>
        <v>201710</v>
      </c>
      <c r="BC42" s="482">
        <f t="shared" si="41"/>
        <v>201711</v>
      </c>
      <c r="BD42" s="482">
        <f t="shared" si="41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16659.675251065419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617">
        <v>3.5000000000000003E-2</v>
      </c>
      <c r="AU43" s="486"/>
      <c r="AV43" s="486"/>
      <c r="AW43" s="486"/>
      <c r="AX43" s="486"/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2287423.713488935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2">AE49</f>
        <v>-2966848.8846008489</v>
      </c>
      <c r="AG44" s="480">
        <f t="shared" si="42"/>
        <v>-2400830.7877258095</v>
      </c>
      <c r="AH44" s="480">
        <f t="shared" si="42"/>
        <v>-1799942.4443073752</v>
      </c>
      <c r="AI44" s="480">
        <f t="shared" si="42"/>
        <v>-1367080.388300563</v>
      </c>
      <c r="AJ44" s="480">
        <f t="shared" si="42"/>
        <v>-991269.16134300514</v>
      </c>
      <c r="AK44" s="480">
        <f t="shared" si="42"/>
        <v>-820633.96798459429</v>
      </c>
      <c r="AL44" s="480">
        <f>AK49</f>
        <v>-706831.28344430251</v>
      </c>
      <c r="AM44" s="480">
        <f t="shared" ref="AM44:AW44" si="43">AL49</f>
        <v>-615740.82707996247</v>
      </c>
      <c r="AN44" s="480">
        <f t="shared" si="43"/>
        <v>-539081.43298013532</v>
      </c>
      <c r="AO44" s="480">
        <f t="shared" si="43"/>
        <v>-459570.5002163836</v>
      </c>
      <c r="AP44" s="480">
        <f t="shared" si="43"/>
        <v>-353667.8760235564</v>
      </c>
      <c r="AQ44" s="558">
        <f t="shared" si="43"/>
        <v>-123445.19123732927</v>
      </c>
      <c r="AR44" s="480">
        <f t="shared" si="43"/>
        <v>-12794629.54065969</v>
      </c>
      <c r="AS44" s="480">
        <f t="shared" si="43"/>
        <v>-9990002.7430699486</v>
      </c>
      <c r="AT44" s="480">
        <f t="shared" si="43"/>
        <v>-6863930.3518781429</v>
      </c>
      <c r="AU44" s="480">
        <f t="shared" si="43"/>
        <v>-4576506.6383892084</v>
      </c>
      <c r="AV44" s="480">
        <f t="shared" si="43"/>
        <v>-4132735.1691092085</v>
      </c>
      <c r="AW44" s="480">
        <f t="shared" si="43"/>
        <v>-3830807.0353492084</v>
      </c>
      <c r="AX44" s="480">
        <f>AW49</f>
        <v>-3671874.1182992086</v>
      </c>
      <c r="AY44" s="480">
        <f t="shared" ref="AY44:AZ44" si="44">AX49</f>
        <v>-3582182.2757692086</v>
      </c>
      <c r="AZ44" s="480">
        <f t="shared" si="44"/>
        <v>-3510492.0739592086</v>
      </c>
      <c r="BA44" s="480">
        <f>AZ49</f>
        <v>-3438393.5339692086</v>
      </c>
      <c r="BB44" s="480">
        <f>BA49</f>
        <v>-3410428.5282292087</v>
      </c>
      <c r="BC44" s="558">
        <f>BB49</f>
        <v>-3361582.2806092086</v>
      </c>
      <c r="BD44" s="480">
        <f>BC49</f>
        <v>-15993302.97060921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2304083.3887400003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>SUMPRODUCT(AS19:AS27,AS32:AS40)</f>
        <v>3150615.2519499999</v>
      </c>
      <c r="AT45" s="480">
        <f>SUMPRODUCT(AT19:AT27,AT32:AT40)</f>
        <v>2304083.3887400003</v>
      </c>
      <c r="AU45" s="480">
        <f>SUMPRODUCT(AU19:AU27,AU32:AU40)</f>
        <v>443771.46928000002</v>
      </c>
      <c r="AV45" s="480">
        <f t="shared" ref="AV45:AW45" si="45">SUMPRODUCT(AV19:AV27,AV32:AV40)</f>
        <v>301928.13376000006</v>
      </c>
      <c r="AW45" s="480">
        <f t="shared" si="45"/>
        <v>158932.91704999999</v>
      </c>
      <c r="AX45" s="480">
        <f>SUMPRODUCT(AX19:AX27,AX32:AX40)</f>
        <v>89691.842529999994</v>
      </c>
      <c r="AY45" s="480">
        <f t="shared" ref="AY45:AZ45" si="46">SUMPRODUCT(AY19:AY27,AY32:AY40)</f>
        <v>71690.201809999999</v>
      </c>
      <c r="AZ45" s="480">
        <f t="shared" si="46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7">BH43</f>
        <v>GD</v>
      </c>
      <c r="BI45" s="208" t="str">
        <f t="shared" si="47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48">SUM(AG46:AR46)</f>
        <v>-97522.093694136056</v>
      </c>
      <c r="D46" s="492">
        <f t="shared" ref="D46" si="49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>((AQ44+AQ47)*(AQ43/12))+(((AQ45+AQ48)/2)*(AQ43/12))</f>
        <v>-39463.659422358884</v>
      </c>
      <c r="AR46" s="487">
        <f>((AR44+AR47)*(AR43/12))+(((AR45+AR48)/2)*(AR43/12))</f>
        <v>-33179.202410257429</v>
      </c>
      <c r="AS46" s="487">
        <f>((AS44+AS47)*(AS43/12))+(((AS45+AS48)/2)*(AS43/12))</f>
        <v>-24542.860758193601</v>
      </c>
      <c r="AT46" s="487">
        <f>((AT44+AT47)*(AT43/12))+(((AT45+AT48)/2)*(AT43/12))</f>
        <v>-16659.675251065419</v>
      </c>
      <c r="AU46" s="487">
        <f t="shared" ref="AU46:AY46" si="50">((AU44+AU47)*(AU43/12))+(((AU45+AU48)/2)*(AU43/12))</f>
        <v>0</v>
      </c>
      <c r="AV46" s="487">
        <f t="shared" si="50"/>
        <v>0</v>
      </c>
      <c r="AW46" s="487">
        <f t="shared" si="50"/>
        <v>0</v>
      </c>
      <c r="AX46" s="487">
        <f t="shared" si="50"/>
        <v>0</v>
      </c>
      <c r="AY46" s="487">
        <f t="shared" si="50"/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7"/>
        <v>GD</v>
      </c>
      <c r="BI46" s="556" t="str">
        <f t="shared" si="47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48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48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1">SUM(F44:F48)</f>
        <v>404885.58467682183</v>
      </c>
      <c r="G49" s="539">
        <f t="shared" si="51"/>
        <v>1486369.5928734979</v>
      </c>
      <c r="H49" s="539">
        <f t="shared" si="51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2">SUM(V44:V48)</f>
        <v>-978605.01769356499</v>
      </c>
      <c r="W49" s="539">
        <f t="shared" si="52"/>
        <v>-801445.32791263924</v>
      </c>
      <c r="X49" s="539">
        <f t="shared" si="52"/>
        <v>-669275.24177190254</v>
      </c>
      <c r="Y49" s="539">
        <f t="shared" si="52"/>
        <v>-610882.24266902648</v>
      </c>
      <c r="Z49" s="539">
        <f t="shared" si="52"/>
        <v>-574943.04011245095</v>
      </c>
      <c r="AA49" s="539">
        <f t="shared" si="52"/>
        <v>-537511.27700320142</v>
      </c>
      <c r="AB49" s="539">
        <f t="shared" si="52"/>
        <v>-503286.03358886426</v>
      </c>
      <c r="AC49" s="539">
        <f t="shared" si="52"/>
        <v>-446057.56644618412</v>
      </c>
      <c r="AD49" s="539">
        <f t="shared" si="52"/>
        <v>-360318.05653003836</v>
      </c>
      <c r="AE49" s="539">
        <f t="shared" si="52"/>
        <v>-2966848.8846008489</v>
      </c>
      <c r="AF49" s="539">
        <f t="shared" si="52"/>
        <v>-2400830.7877258095</v>
      </c>
      <c r="AG49" s="539">
        <f t="shared" si="52"/>
        <v>-1799942.4443073752</v>
      </c>
      <c r="AH49" s="539">
        <f t="shared" si="52"/>
        <v>-1367080.388300563</v>
      </c>
      <c r="AI49" s="539">
        <f t="shared" si="52"/>
        <v>-991269.16134300514</v>
      </c>
      <c r="AJ49" s="539">
        <f t="shared" si="52"/>
        <v>-820633.96798459429</v>
      </c>
      <c r="AK49" s="539">
        <f t="shared" si="52"/>
        <v>-706831.28344430251</v>
      </c>
      <c r="AL49" s="539">
        <f t="shared" si="52"/>
        <v>-615740.82707996247</v>
      </c>
      <c r="AM49" s="539">
        <f>SUM(AM44:AM48)</f>
        <v>-539081.43298013532</v>
      </c>
      <c r="AN49" s="539">
        <f t="shared" si="52"/>
        <v>-459570.5002163836</v>
      </c>
      <c r="AO49" s="539">
        <f t="shared" si="52"/>
        <v>-353667.8760235564</v>
      </c>
      <c r="AP49" s="539">
        <f t="shared" si="52"/>
        <v>-123445.19123732927</v>
      </c>
      <c r="AQ49" s="539">
        <f>SUM(AQ44:AQ48)</f>
        <v>-12794629.54065969</v>
      </c>
      <c r="AR49" s="539">
        <f t="shared" si="52"/>
        <v>-9990002.7430699486</v>
      </c>
      <c r="AS49" s="539">
        <f>SUM(AS44:AS48)</f>
        <v>-6863930.3518781429</v>
      </c>
      <c r="AT49" s="539">
        <f t="shared" ref="AT49:AX49" si="53">SUM(AT44:AT48)</f>
        <v>-4576506.6383892084</v>
      </c>
      <c r="AU49" s="539">
        <f t="shared" si="53"/>
        <v>-4132735.1691092085</v>
      </c>
      <c r="AV49" s="539">
        <f t="shared" si="53"/>
        <v>-3830807.0353492084</v>
      </c>
      <c r="AW49" s="539">
        <f t="shared" si="53"/>
        <v>-3671874.1182992086</v>
      </c>
      <c r="AX49" s="539">
        <f t="shared" si="53"/>
        <v>-3582182.2757692086</v>
      </c>
      <c r="AY49" s="539">
        <f>SUM(AY44:AY48)</f>
        <v>-3510492.0739592086</v>
      </c>
      <c r="AZ49" s="539">
        <f t="shared" ref="AZ49:BB49" si="54">SUM(AZ44:AZ48)</f>
        <v>-3438393.5339692086</v>
      </c>
      <c r="BA49" s="539">
        <f t="shared" si="54"/>
        <v>-3410428.5282292087</v>
      </c>
      <c r="BB49" s="539">
        <f t="shared" si="54"/>
        <v>-3361582.2806092086</v>
      </c>
      <c r="BC49" s="539">
        <f>SUM(BC44:BC48)</f>
        <v>-15993302.97060921</v>
      </c>
      <c r="BD49" s="539">
        <f t="shared" ref="BD49" si="55">SUM(BD44:BD48)</f>
        <v>-13155496.97060921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6">E49-E50</f>
        <v>-0.22028744451381499</v>
      </c>
      <c r="F51" s="480">
        <f t="shared" si="56"/>
        <v>-0.22532317816512659</v>
      </c>
      <c r="G51" s="480">
        <f t="shared" si="56"/>
        <v>-0.22712650219909847</v>
      </c>
      <c r="H51" s="480">
        <f t="shared" si="56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57">V49-V50</f>
        <v>-0.21769356494769454</v>
      </c>
      <c r="W51" s="480">
        <f t="shared" si="57"/>
        <v>-0.21791263925842941</v>
      </c>
      <c r="X51" s="480">
        <f t="shared" si="57"/>
        <v>-0.22177190252114087</v>
      </c>
      <c r="Y51" s="480">
        <f t="shared" si="57"/>
        <v>-0.22266902646515518</v>
      </c>
      <c r="Z51" s="480">
        <f t="shared" si="57"/>
        <v>-0.22011245100293308</v>
      </c>
      <c r="AA51" s="480">
        <f t="shared" si="57"/>
        <v>-0.21700320136733353</v>
      </c>
      <c r="AB51" s="480">
        <f t="shared" si="57"/>
        <v>-0.21358886425150558</v>
      </c>
      <c r="AC51" s="480">
        <f t="shared" si="57"/>
        <v>-0.21644618414575234</v>
      </c>
      <c r="AD51" s="480">
        <f t="shared" si="57"/>
        <v>-0.21653003833489493</v>
      </c>
      <c r="AE51" s="480">
        <f t="shared" si="57"/>
        <v>-0.21460084896534681</v>
      </c>
      <c r="AF51" s="480">
        <f t="shared" si="57"/>
        <v>-0.21772580966353416</v>
      </c>
      <c r="AG51" s="480">
        <f t="shared" si="57"/>
        <v>-0.22430737526156008</v>
      </c>
      <c r="AH51" s="480">
        <f t="shared" si="57"/>
        <v>-0.21830056305043399</v>
      </c>
      <c r="AI51" s="480">
        <f t="shared" si="57"/>
        <v>-0.22134300519246608</v>
      </c>
      <c r="AJ51" s="480">
        <f t="shared" si="57"/>
        <v>-0.2179845942882821</v>
      </c>
      <c r="AK51" s="480">
        <f>AK49-AK50</f>
        <v>-0.21344430255703628</v>
      </c>
      <c r="AL51" s="480">
        <f t="shared" si="57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57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58">AT49-AT50</f>
        <v>-0.20838920865207911</v>
      </c>
      <c r="AU51" s="480">
        <f t="shared" si="58"/>
        <v>-1281954.6591092087</v>
      </c>
      <c r="AV51" s="480">
        <f t="shared" si="58"/>
        <v>-2163299.1353492085</v>
      </c>
      <c r="AW51" s="480">
        <f>AW49-AW50</f>
        <v>-2643551.5082992087</v>
      </c>
      <c r="AX51" s="480">
        <f t="shared" ref="AX51" si="59">AX49-AX50</f>
        <v>-2933833.7957692086</v>
      </c>
      <c r="AY51" s="480">
        <f>AY49-AY50</f>
        <v>-3167761.9539592084</v>
      </c>
      <c r="AZ51" s="480">
        <f>AZ49-AZ50</f>
        <v>-3405244.5139692086</v>
      </c>
      <c r="BA51" s="480">
        <f t="shared" ref="BA51" si="60">BA49-BA50</f>
        <v>-3839486.1282292088</v>
      </c>
      <c r="BB51" s="480">
        <f>BB49-BB50</f>
        <v>-3790639.8806092087</v>
      </c>
      <c r="BC51" s="480">
        <f>BC49-BC50</f>
        <v>-16422360.57060921</v>
      </c>
      <c r="BD51" s="480">
        <f>BD49-BD50</f>
        <v>-13155496.97060921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1">U54+1</f>
        <v>201502</v>
      </c>
      <c r="W54" s="482">
        <f t="shared" si="61"/>
        <v>201503</v>
      </c>
      <c r="X54" s="482">
        <f t="shared" si="61"/>
        <v>201504</v>
      </c>
      <c r="Y54" s="482">
        <f t="shared" si="61"/>
        <v>201505</v>
      </c>
      <c r="Z54" s="482">
        <f t="shared" si="61"/>
        <v>201506</v>
      </c>
      <c r="AA54" s="482">
        <f t="shared" si="61"/>
        <v>201507</v>
      </c>
      <c r="AB54" s="482">
        <f t="shared" si="61"/>
        <v>201508</v>
      </c>
      <c r="AC54" s="482">
        <f t="shared" si="61"/>
        <v>201509</v>
      </c>
      <c r="AD54" s="482">
        <f t="shared" si="61"/>
        <v>201510</v>
      </c>
      <c r="AE54" s="482">
        <f>AD54+1</f>
        <v>201511</v>
      </c>
      <c r="AF54" s="482">
        <f t="shared" ref="AF54" si="62">AE54+1</f>
        <v>201512</v>
      </c>
      <c r="AG54" s="482">
        <v>201601</v>
      </c>
      <c r="AH54" s="482">
        <f>AG54+1</f>
        <v>201602</v>
      </c>
      <c r="AI54" s="482">
        <f t="shared" ref="AI54:AR54" si="63">AH54+1</f>
        <v>201603</v>
      </c>
      <c r="AJ54" s="482">
        <f t="shared" si="63"/>
        <v>201604</v>
      </c>
      <c r="AK54" s="482">
        <f t="shared" si="63"/>
        <v>201605</v>
      </c>
      <c r="AL54" s="482">
        <f t="shared" si="63"/>
        <v>201606</v>
      </c>
      <c r="AM54" s="482">
        <f t="shared" si="63"/>
        <v>201607</v>
      </c>
      <c r="AN54" s="482">
        <f t="shared" si="63"/>
        <v>201608</v>
      </c>
      <c r="AO54" s="482">
        <f t="shared" si="63"/>
        <v>201609</v>
      </c>
      <c r="AP54" s="482">
        <f t="shared" si="63"/>
        <v>201610</v>
      </c>
      <c r="AQ54" s="482">
        <f t="shared" si="63"/>
        <v>201611</v>
      </c>
      <c r="AR54" s="482">
        <f t="shared" si="63"/>
        <v>201612</v>
      </c>
      <c r="AS54" s="482">
        <f>AS3</f>
        <v>201701</v>
      </c>
      <c r="AT54" s="482">
        <f>AS54+1</f>
        <v>201702</v>
      </c>
      <c r="AU54" s="482">
        <f t="shared" ref="AU54:BD54" si="64">AT54+1</f>
        <v>201703</v>
      </c>
      <c r="AV54" s="482">
        <f t="shared" si="64"/>
        <v>201704</v>
      </c>
      <c r="AW54" s="482">
        <f t="shared" si="64"/>
        <v>201705</v>
      </c>
      <c r="AX54" s="482">
        <f t="shared" si="64"/>
        <v>201706</v>
      </c>
      <c r="AY54" s="482">
        <f t="shared" si="64"/>
        <v>201707</v>
      </c>
      <c r="AZ54" s="482">
        <f t="shared" si="64"/>
        <v>201708</v>
      </c>
      <c r="BA54" s="482">
        <f t="shared" si="64"/>
        <v>201709</v>
      </c>
      <c r="BB54" s="482">
        <f t="shared" si="64"/>
        <v>201710</v>
      </c>
      <c r="BC54" s="482">
        <f t="shared" si="64"/>
        <v>201711</v>
      </c>
      <c r="BD54" s="482">
        <f t="shared" si="64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620">
        <f>Feb!$G23</f>
        <v>19157522</v>
      </c>
      <c r="AU55" s="541">
        <f>Mar!$G23</f>
        <v>14316138</v>
      </c>
      <c r="AV55" s="541">
        <f>Apr!$G23</f>
        <v>9641125</v>
      </c>
      <c r="AW55" s="541">
        <f>May!$G23</f>
        <v>4941679</v>
      </c>
      <c r="AX55" s="541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5">SUM(AG56:AR56)</f>
        <v>197284</v>
      </c>
      <c r="D56" s="489">
        <f t="shared" ref="D56:D63" si="66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620">
        <f>Feb!$G24</f>
        <v>29103</v>
      </c>
      <c r="AU56" s="541">
        <f>Mar!$G24</f>
        <v>22738</v>
      </c>
      <c r="AV56" s="541">
        <f>Apr!$G24</f>
        <v>15697</v>
      </c>
      <c r="AW56" s="541">
        <f>May!$G24</f>
        <v>8078</v>
      </c>
      <c r="AX56" s="541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5"/>
        <v>51323965</v>
      </c>
      <c r="D57" s="489">
        <f t="shared" si="66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620">
        <f>Feb!$G25</f>
        <v>7258148</v>
      </c>
      <c r="AU57" s="541">
        <f>Mar!$G25</f>
        <v>5603968</v>
      </c>
      <c r="AV57" s="541">
        <f>Apr!$G25</f>
        <v>4021494</v>
      </c>
      <c r="AW57" s="541">
        <f>May!$G25</f>
        <v>2425238</v>
      </c>
      <c r="AX57" s="541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5"/>
        <v>0</v>
      </c>
      <c r="D58" s="489">
        <f t="shared" si="66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620">
        <f>Feb!$G26</f>
        <v>0</v>
      </c>
      <c r="AU58" s="541">
        <f>Mar!$G26</f>
        <v>0</v>
      </c>
      <c r="AV58" s="541">
        <f>Apr!$G26</f>
        <v>0</v>
      </c>
      <c r="AW58" s="541">
        <f>May!$G26</f>
        <v>0</v>
      </c>
      <c r="AX58" s="541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5"/>
        <v>3609942</v>
      </c>
      <c r="D59" s="489">
        <f t="shared" si="66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620">
        <f>Feb!$G27</f>
        <v>399264</v>
      </c>
      <c r="AU59" s="541">
        <f>Mar!$G27</f>
        <v>334116</v>
      </c>
      <c r="AV59" s="541">
        <f>Apr!$G27</f>
        <v>288026</v>
      </c>
      <c r="AW59" s="541">
        <f>May!$G27</f>
        <v>302382</v>
      </c>
      <c r="AX59" s="541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5"/>
        <v>506146</v>
      </c>
      <c r="D60" s="489">
        <f t="shared" si="66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620">
        <f>Feb!$G28</f>
        <v>55333</v>
      </c>
      <c r="AU60" s="541">
        <f>Mar!$G28</f>
        <v>53363</v>
      </c>
      <c r="AV60" s="541">
        <f>Apr!$G28</f>
        <v>35134</v>
      </c>
      <c r="AW60" s="541">
        <f>May!$G28</f>
        <v>29064</v>
      </c>
      <c r="AX60" s="541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5"/>
        <v>0</v>
      </c>
      <c r="D61" s="489">
        <f t="shared" si="66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620">
        <f>Feb!$G29</f>
        <v>0</v>
      </c>
      <c r="AU61" s="541">
        <f>Mar!$G29</f>
        <v>0</v>
      </c>
      <c r="AV61" s="541">
        <f>Apr!$G29</f>
        <v>0</v>
      </c>
      <c r="AW61" s="541">
        <f>May!$G29</f>
        <v>0</v>
      </c>
      <c r="AX61" s="541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5"/>
        <v>970005</v>
      </c>
      <c r="D62" s="489">
        <f t="shared" si="66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620">
        <f>Feb!$G30</f>
        <v>131982</v>
      </c>
      <c r="AU62" s="541">
        <f>Mar!$G30</f>
        <v>102871</v>
      </c>
      <c r="AV62" s="541">
        <f>Apr!$G30</f>
        <v>88850</v>
      </c>
      <c r="AW62" s="541">
        <f>May!$G30</f>
        <v>71877</v>
      </c>
      <c r="AX62" s="541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5"/>
        <v>35395192</v>
      </c>
      <c r="D63" s="489">
        <f t="shared" si="66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620">
        <f>Feb!$G31</f>
        <v>3513623</v>
      </c>
      <c r="AU63" s="541">
        <f>Mar!$G31</f>
        <v>3381923</v>
      </c>
      <c r="AV63" s="541">
        <f>Apr!$G31</f>
        <v>2868630</v>
      </c>
      <c r="AW63" s="541">
        <f>May!$G31</f>
        <v>2501903</v>
      </c>
      <c r="AX63" s="541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67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68">SUM(G55:G63)</f>
        <v>24248041</v>
      </c>
      <c r="H64" s="540">
        <f t="shared" si="68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69">SUM(V55:V63)</f>
        <v>22001617</v>
      </c>
      <c r="W64" s="540">
        <f t="shared" si="69"/>
        <v>17611817</v>
      </c>
      <c r="X64" s="540">
        <f t="shared" si="69"/>
        <v>14163392</v>
      </c>
      <c r="Y64" s="540">
        <f t="shared" si="69"/>
        <v>7782410</v>
      </c>
      <c r="Z64" s="540">
        <f t="shared" si="69"/>
        <v>5881684</v>
      </c>
      <c r="AA64" s="540">
        <f t="shared" si="69"/>
        <v>5669948</v>
      </c>
      <c r="AB64" s="540">
        <f t="shared" si="69"/>
        <v>5554978</v>
      </c>
      <c r="AC64" s="540">
        <f t="shared" si="69"/>
        <v>7484702</v>
      </c>
      <c r="AD64" s="540">
        <f t="shared" si="69"/>
        <v>10158046</v>
      </c>
      <c r="AE64" s="540">
        <f t="shared" si="69"/>
        <v>24566038</v>
      </c>
      <c r="AF64" s="540">
        <f t="shared" si="69"/>
        <v>29412416</v>
      </c>
      <c r="AG64" s="540">
        <f t="shared" si="69"/>
        <v>40809304</v>
      </c>
      <c r="AH64" s="540">
        <f t="shared" si="69"/>
        <v>30544975</v>
      </c>
      <c r="AI64" s="540">
        <f t="shared" si="69"/>
        <v>23815117</v>
      </c>
      <c r="AJ64" s="540">
        <f t="shared" si="69"/>
        <v>16958956</v>
      </c>
      <c r="AK64" s="540">
        <f t="shared" si="69"/>
        <v>10280221</v>
      </c>
      <c r="AL64" s="540">
        <f t="shared" si="69"/>
        <v>7316509</v>
      </c>
      <c r="AM64" s="540">
        <f>SUM(AM55:AM63)</f>
        <v>6050612</v>
      </c>
      <c r="AN64" s="540">
        <f t="shared" si="69"/>
        <v>6226148</v>
      </c>
      <c r="AO64" s="540">
        <f t="shared" si="69"/>
        <v>7933229</v>
      </c>
      <c r="AP64" s="540">
        <f>SUM(AP55:AP63)</f>
        <v>15888438</v>
      </c>
      <c r="AQ64" s="540">
        <f t="shared" si="69"/>
        <v>18689959</v>
      </c>
      <c r="AR64" s="540">
        <f t="shared" si="69"/>
        <v>37042905</v>
      </c>
      <c r="AS64" s="540">
        <f t="shared" si="69"/>
        <v>40809304</v>
      </c>
      <c r="AT64" s="540">
        <f t="shared" si="69"/>
        <v>30544975</v>
      </c>
      <c r="AU64" s="540">
        <f t="shared" si="69"/>
        <v>23815117</v>
      </c>
      <c r="AV64" s="540">
        <f t="shared" si="69"/>
        <v>16958956</v>
      </c>
      <c r="AW64" s="540">
        <f t="shared" si="69"/>
        <v>10280221</v>
      </c>
      <c r="AX64" s="540">
        <f t="shared" si="69"/>
        <v>7316509</v>
      </c>
      <c r="AY64" s="540">
        <f>SUM(AY55:AY63)</f>
        <v>6050612</v>
      </c>
      <c r="AZ64" s="540">
        <f t="shared" ref="AZ64:BA64" si="70">SUM(AZ55:AZ63)</f>
        <v>6226148</v>
      </c>
      <c r="BA64" s="540">
        <f t="shared" si="70"/>
        <v>7933229</v>
      </c>
      <c r="BB64" s="540">
        <f>SUM(BB55:BB63)</f>
        <v>15888438</v>
      </c>
      <c r="BC64" s="540">
        <f t="shared" ref="BC64:BD64" si="71">SUM(BC55:BC63)</f>
        <v>18689959</v>
      </c>
      <c r="BD64" s="540">
        <f t="shared" si="71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67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621">
        <v>30544975</v>
      </c>
      <c r="AU65" s="489">
        <v>20385890</v>
      </c>
      <c r="AV65" s="489">
        <v>10774244</v>
      </c>
      <c r="AW65" s="489">
        <v>8382838</v>
      </c>
      <c r="AX65" s="489">
        <v>6906569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2">U67+1</f>
        <v>201502</v>
      </c>
      <c r="W67" s="482">
        <f t="shared" si="72"/>
        <v>201503</v>
      </c>
      <c r="X67" s="482">
        <f t="shared" si="72"/>
        <v>201504</v>
      </c>
      <c r="Y67" s="482">
        <f t="shared" si="72"/>
        <v>201505</v>
      </c>
      <c r="Z67" s="482">
        <f t="shared" si="72"/>
        <v>201506</v>
      </c>
      <c r="AA67" s="482">
        <f t="shared" si="72"/>
        <v>201507</v>
      </c>
      <c r="AB67" s="482">
        <f t="shared" si="72"/>
        <v>201508</v>
      </c>
      <c r="AC67" s="482">
        <f t="shared" si="72"/>
        <v>201509</v>
      </c>
      <c r="AD67" s="482">
        <f t="shared" si="72"/>
        <v>201510</v>
      </c>
      <c r="AE67" s="482">
        <f>AD67+1</f>
        <v>201511</v>
      </c>
      <c r="AF67" s="482">
        <f t="shared" ref="AF67" si="73">AE67+1</f>
        <v>201512</v>
      </c>
      <c r="AG67" s="482">
        <v>201601</v>
      </c>
      <c r="AH67" s="482">
        <f>AG67+1</f>
        <v>201602</v>
      </c>
      <c r="AI67" s="482">
        <f t="shared" ref="AI67:AR67" si="74">AH67+1</f>
        <v>201603</v>
      </c>
      <c r="AJ67" s="482">
        <f t="shared" si="74"/>
        <v>201604</v>
      </c>
      <c r="AK67" s="482">
        <f t="shared" si="74"/>
        <v>201605</v>
      </c>
      <c r="AL67" s="482">
        <f t="shared" si="74"/>
        <v>201606</v>
      </c>
      <c r="AM67" s="482">
        <f t="shared" si="74"/>
        <v>201607</v>
      </c>
      <c r="AN67" s="482">
        <f t="shared" si="74"/>
        <v>201608</v>
      </c>
      <c r="AO67" s="482">
        <f t="shared" si="74"/>
        <v>201609</v>
      </c>
      <c r="AP67" s="482">
        <f t="shared" si="74"/>
        <v>201610</v>
      </c>
      <c r="AQ67" s="482">
        <f t="shared" si="74"/>
        <v>201611</v>
      </c>
      <c r="AR67" s="482">
        <f t="shared" si="74"/>
        <v>201612</v>
      </c>
      <c r="AS67" s="482">
        <f>AS3</f>
        <v>201701</v>
      </c>
      <c r="AT67" s="482">
        <f>AS67+1</f>
        <v>201702</v>
      </c>
      <c r="AU67" s="482">
        <f t="shared" ref="AU67:BD67" si="75">AT67+1</f>
        <v>201703</v>
      </c>
      <c r="AV67" s="482">
        <f t="shared" si="75"/>
        <v>201704</v>
      </c>
      <c r="AW67" s="482">
        <f t="shared" si="75"/>
        <v>201705</v>
      </c>
      <c r="AX67" s="482">
        <f t="shared" si="75"/>
        <v>201706</v>
      </c>
      <c r="AY67" s="482">
        <f t="shared" si="75"/>
        <v>201707</v>
      </c>
      <c r="AZ67" s="482">
        <f t="shared" si="75"/>
        <v>201708</v>
      </c>
      <c r="BA67" s="482">
        <f t="shared" si="75"/>
        <v>201709</v>
      </c>
      <c r="BB67" s="482">
        <f t="shared" si="75"/>
        <v>201710</v>
      </c>
      <c r="BC67" s="482">
        <f t="shared" si="75"/>
        <v>201711</v>
      </c>
      <c r="BD67" s="482">
        <f t="shared" si="75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6">
        <v>1.0000000000000001E-5</v>
      </c>
      <c r="AU68" s="612">
        <v>1.2999999999999999E-4</v>
      </c>
      <c r="AV68" s="612">
        <v>1.2999999999999999E-4</v>
      </c>
      <c r="AW68" s="612">
        <v>1.2999999999999999E-4</v>
      </c>
      <c r="AX68" s="612">
        <v>1.2999999999999999E-4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6">
        <v>1.0000000000000001E-5</v>
      </c>
      <c r="AU69" s="612">
        <v>1.2999999999999999E-4</v>
      </c>
      <c r="AV69" s="612">
        <v>1.2999999999999999E-4</v>
      </c>
      <c r="AW69" s="612">
        <v>1.2999999999999999E-4</v>
      </c>
      <c r="AX69" s="612">
        <v>1.2999999999999999E-4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6">
        <v>1.0000000000000001E-5</v>
      </c>
      <c r="AU70" s="612">
        <v>1.2999999999999999E-4</v>
      </c>
      <c r="AV70" s="612">
        <v>1.2999999999999999E-4</v>
      </c>
      <c r="AW70" s="612">
        <v>1.2999999999999999E-4</v>
      </c>
      <c r="AX70" s="612">
        <v>1.2999999999999999E-4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6">
        <v>1.0000000000000001E-5</v>
      </c>
      <c r="AU71" s="612">
        <v>1.2999999999999999E-4</v>
      </c>
      <c r="AV71" s="612">
        <v>1.2999999999999999E-4</v>
      </c>
      <c r="AW71" s="612">
        <v>1.2999999999999999E-4</v>
      </c>
      <c r="AX71" s="612">
        <v>1.2999999999999999E-4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6">
        <v>1.0000000000000001E-5</v>
      </c>
      <c r="AU72" s="612">
        <v>1.2999999999999999E-4</v>
      </c>
      <c r="AV72" s="612">
        <v>1.2999999999999999E-4</v>
      </c>
      <c r="AW72" s="612">
        <v>1.2999999999999999E-4</v>
      </c>
      <c r="AX72" s="612">
        <v>1.2999999999999999E-4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6">
        <v>1.0000000000000001E-5</v>
      </c>
      <c r="AU73" s="612">
        <v>1.2999999999999999E-4</v>
      </c>
      <c r="AV73" s="612">
        <v>1.2999999999999999E-4</v>
      </c>
      <c r="AW73" s="612">
        <v>1.2999999999999999E-4</v>
      </c>
      <c r="AX73" s="612">
        <v>1.2999999999999999E-4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6">
        <v>1.0000000000000001E-5</v>
      </c>
      <c r="AU74" s="612">
        <v>1.2999999999999999E-4</v>
      </c>
      <c r="AV74" s="612">
        <v>1.2999999999999999E-4</v>
      </c>
      <c r="AW74" s="612">
        <v>1.2999999999999999E-4</v>
      </c>
      <c r="AX74" s="612">
        <v>1.2999999999999999E-4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6">
        <v>1.0000000000000001E-5</v>
      </c>
      <c r="AU75" s="612">
        <v>1.2999999999999999E-4</v>
      </c>
      <c r="AV75" s="612">
        <v>1.2999999999999999E-4</v>
      </c>
      <c r="AW75" s="612">
        <v>1.2999999999999999E-4</v>
      </c>
      <c r="AX75" s="612">
        <v>1.2999999999999999E-4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201702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6">
        <v>0</v>
      </c>
      <c r="AU76" s="612">
        <v>2.0000000000000002E-5</v>
      </c>
      <c r="AV76" s="612">
        <v>2.0000000000000002E-5</v>
      </c>
      <c r="AW76" s="612">
        <v>2.0000000000000002E-5</v>
      </c>
      <c r="AX76" s="612">
        <v>2.0000000000000002E-5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>IF((SUMIF(AG78:BD78,BF75,AG80:BD80))&gt;0,(SUMIF(AG78:BD78,BF75,AG80:BD80)),0)</f>
        <v>270.31351999999998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270.31351999999998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6">U78+1</f>
        <v>201502</v>
      </c>
      <c r="W78" s="482">
        <f t="shared" si="76"/>
        <v>201503</v>
      </c>
      <c r="X78" s="482">
        <f t="shared" si="76"/>
        <v>201504</v>
      </c>
      <c r="Y78" s="482">
        <f t="shared" si="76"/>
        <v>201505</v>
      </c>
      <c r="Z78" s="482">
        <f t="shared" si="76"/>
        <v>201506</v>
      </c>
      <c r="AA78" s="482">
        <f t="shared" si="76"/>
        <v>201507</v>
      </c>
      <c r="AB78" s="482">
        <f t="shared" si="76"/>
        <v>201508</v>
      </c>
      <c r="AC78" s="482">
        <f t="shared" si="76"/>
        <v>201509</v>
      </c>
      <c r="AD78" s="482">
        <f t="shared" si="76"/>
        <v>201510</v>
      </c>
      <c r="AE78" s="482">
        <f>AD78+1</f>
        <v>201511</v>
      </c>
      <c r="AF78" s="482">
        <f t="shared" ref="AF78" si="77">AE78+1</f>
        <v>201512</v>
      </c>
      <c r="AG78" s="482">
        <v>201601</v>
      </c>
      <c r="AH78" s="482">
        <f>AG78+1</f>
        <v>201602</v>
      </c>
      <c r="AI78" s="482">
        <f t="shared" ref="AI78:AR78" si="78">AH78+1</f>
        <v>201603</v>
      </c>
      <c r="AJ78" s="482">
        <f t="shared" si="78"/>
        <v>201604</v>
      </c>
      <c r="AK78" s="482">
        <f t="shared" si="78"/>
        <v>201605</v>
      </c>
      <c r="AL78" s="482">
        <f t="shared" si="78"/>
        <v>201606</v>
      </c>
      <c r="AM78" s="482">
        <f t="shared" si="78"/>
        <v>201607</v>
      </c>
      <c r="AN78" s="482">
        <f t="shared" si="78"/>
        <v>201608</v>
      </c>
      <c r="AO78" s="482">
        <f t="shared" si="78"/>
        <v>201609</v>
      </c>
      <c r="AP78" s="482">
        <f t="shared" si="78"/>
        <v>201610</v>
      </c>
      <c r="AQ78" s="482">
        <f t="shared" si="78"/>
        <v>201611</v>
      </c>
      <c r="AR78" s="482">
        <f t="shared" si="78"/>
        <v>201612</v>
      </c>
      <c r="AS78" s="482">
        <f>AS3</f>
        <v>201701</v>
      </c>
      <c r="AT78" s="482">
        <f>AS78+1</f>
        <v>201702</v>
      </c>
      <c r="AU78" s="482">
        <f t="shared" ref="AU78:BD78" si="79">AT78+1</f>
        <v>201703</v>
      </c>
      <c r="AV78" s="482">
        <f t="shared" si="79"/>
        <v>201704</v>
      </c>
      <c r="AW78" s="482">
        <f t="shared" si="79"/>
        <v>201705</v>
      </c>
      <c r="AX78" s="482">
        <f t="shared" si="79"/>
        <v>201706</v>
      </c>
      <c r="AY78" s="482">
        <f t="shared" si="79"/>
        <v>201707</v>
      </c>
      <c r="AZ78" s="482">
        <f t="shared" si="79"/>
        <v>201708</v>
      </c>
      <c r="BA78" s="482">
        <f t="shared" si="79"/>
        <v>201709</v>
      </c>
      <c r="BB78" s="482">
        <f t="shared" si="79"/>
        <v>201710</v>
      </c>
      <c r="BC78" s="482">
        <f t="shared" si="79"/>
        <v>201711</v>
      </c>
      <c r="BD78" s="482">
        <f t="shared" si="79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v>0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0">AF82</f>
        <v>-18146.93566000001</v>
      </c>
      <c r="AH79" s="480">
        <f t="shared" si="80"/>
        <v>-14523.147320000011</v>
      </c>
      <c r="AI79" s="480">
        <f t="shared" si="80"/>
        <v>-11852.264220000012</v>
      </c>
      <c r="AJ79" s="480">
        <f t="shared" si="80"/>
        <v>-9512.6003600000113</v>
      </c>
      <c r="AK79" s="480">
        <f t="shared" si="80"/>
        <v>-8373.7282900000118</v>
      </c>
      <c r="AL79" s="480">
        <f t="shared" si="80"/>
        <v>-7543.4780600000122</v>
      </c>
      <c r="AM79" s="480">
        <f t="shared" si="80"/>
        <v>-6882.1108900000127</v>
      </c>
      <c r="AN79" s="480">
        <f t="shared" si="80"/>
        <v>-6303.9779800000124</v>
      </c>
      <c r="AO79" s="480">
        <f t="shared" si="80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>AS82</f>
        <v>-3535.3396800000119</v>
      </c>
      <c r="AU79" s="480">
        <f t="shared" ref="AU79:BA79" si="81">AT82</f>
        <v>-3265.0261600000117</v>
      </c>
      <c r="AV79" s="480">
        <f t="shared" si="81"/>
        <v>-541.07248000001118</v>
      </c>
      <c r="AW79" s="480">
        <f t="shared" si="81"/>
        <v>1348.0424999999886</v>
      </c>
      <c r="AX79" s="480">
        <f t="shared" si="81"/>
        <v>2409.2618999999886</v>
      </c>
      <c r="AY79" s="480">
        <f t="shared" si="81"/>
        <v>3081.9053399999884</v>
      </c>
      <c r="AZ79" s="480">
        <f t="shared" si="81"/>
        <v>3632.5971599999884</v>
      </c>
      <c r="BA79" s="480">
        <f t="shared" si="81"/>
        <v>4184.7129999999888</v>
      </c>
      <c r="BB79" s="480">
        <f>BA82</f>
        <v>4972.9480599999888</v>
      </c>
      <c r="BC79" s="480">
        <f>BB82</f>
        <v>6698.9936899999884</v>
      </c>
      <c r="BD79" s="480">
        <f>BC82</f>
        <v>5939.9936899999884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v>0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>SUMPRODUCT(AT55:AT63,AT68:AT76)</f>
        <v>270.31351999999998</v>
      </c>
      <c r="AU80" s="558">
        <f t="shared" ref="AU80:AW80" si="82">SUMPRODUCT(AU55:AU63,AU68:AU76)</f>
        <v>2723.9536800000005</v>
      </c>
      <c r="AV80" s="558">
        <f t="shared" si="82"/>
        <v>1889.1149799999998</v>
      </c>
      <c r="AW80" s="558">
        <f t="shared" si="82"/>
        <v>1061.2194</v>
      </c>
      <c r="AX80" s="558">
        <f>SUMPRODUCT(AX55:AX63,AX68:AX76)</f>
        <v>672.64343999999971</v>
      </c>
      <c r="AY80" s="558">
        <f t="shared" ref="AY80" si="83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4">SUM(E79:E81)</f>
        <v>38932.729789999998</v>
      </c>
      <c r="F82" s="539">
        <f t="shared" si="84"/>
        <v>8140.2385399999985</v>
      </c>
      <c r="G82" s="539">
        <f t="shared" si="84"/>
        <v>-693.68146000000161</v>
      </c>
      <c r="H82" s="539">
        <f t="shared" si="84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5">SUM(V79:V81)</f>
        <v>-38138.117780000015</v>
      </c>
      <c r="W82" s="539">
        <f t="shared" si="85"/>
        <v>-34282.961340000016</v>
      </c>
      <c r="X82" s="539">
        <f t="shared" si="85"/>
        <v>-31253.873050000017</v>
      </c>
      <c r="Y82" s="539">
        <f t="shared" si="85"/>
        <v>-29770.929110000015</v>
      </c>
      <c r="Z82" s="539">
        <f t="shared" si="85"/>
        <v>-28708.282540000015</v>
      </c>
      <c r="AA82" s="539">
        <f t="shared" si="85"/>
        <v>-27692.487530000013</v>
      </c>
      <c r="AB82" s="539">
        <f t="shared" si="85"/>
        <v>-26711.886850000014</v>
      </c>
      <c r="AC82" s="539">
        <f t="shared" si="85"/>
        <v>-25249.174790000012</v>
      </c>
      <c r="AD82" s="539">
        <f t="shared" si="85"/>
        <v>-23171.93566000001</v>
      </c>
      <c r="AE82" s="539">
        <f t="shared" si="85"/>
        <v>-21380.93566000001</v>
      </c>
      <c r="AF82" s="539">
        <f t="shared" si="85"/>
        <v>-18146.93566000001</v>
      </c>
      <c r="AG82" s="539">
        <f t="shared" si="85"/>
        <v>-14523.147320000011</v>
      </c>
      <c r="AH82" s="539">
        <f t="shared" si="85"/>
        <v>-11852.264220000012</v>
      </c>
      <c r="AI82" s="539">
        <f t="shared" si="85"/>
        <v>-9512.6003600000113</v>
      </c>
      <c r="AJ82" s="539">
        <f t="shared" si="85"/>
        <v>-8373.7282900000118</v>
      </c>
      <c r="AK82" s="539">
        <f t="shared" si="85"/>
        <v>-7543.4780600000122</v>
      </c>
      <c r="AL82" s="539">
        <f t="shared" si="85"/>
        <v>-6882.1108900000127</v>
      </c>
      <c r="AM82" s="539">
        <f t="shared" si="85"/>
        <v>-6303.9779800000124</v>
      </c>
      <c r="AN82" s="539">
        <f t="shared" si="85"/>
        <v>-5710.3492900000119</v>
      </c>
      <c r="AO82" s="539">
        <f t="shared" si="85"/>
        <v>-4950.5876300000118</v>
      </c>
      <c r="AP82" s="539">
        <f t="shared" si="85"/>
        <v>-3439.8164200000119</v>
      </c>
      <c r="AQ82" s="539">
        <f t="shared" si="85"/>
        <v>-4198.8164200000119</v>
      </c>
      <c r="AR82" s="539">
        <f t="shared" si="85"/>
        <v>-4496.8164200000119</v>
      </c>
      <c r="AS82" s="539">
        <f>SUM(AS79:AS81)</f>
        <v>-3535.3396800000119</v>
      </c>
      <c r="AT82" s="539">
        <f>SUM(AT79:AT81)</f>
        <v>-3265.0261600000117</v>
      </c>
      <c r="AU82" s="539">
        <f t="shared" ref="AU82:BD82" si="86">SUM(AU79:AU81)</f>
        <v>-541.07248000001118</v>
      </c>
      <c r="AV82" s="539">
        <f t="shared" si="86"/>
        <v>1348.0424999999886</v>
      </c>
      <c r="AW82" s="539">
        <f t="shared" si="86"/>
        <v>2409.2618999999886</v>
      </c>
      <c r="AX82" s="539">
        <f t="shared" si="86"/>
        <v>3081.9053399999884</v>
      </c>
      <c r="AY82" s="539">
        <f t="shared" si="86"/>
        <v>3632.5971599999884</v>
      </c>
      <c r="AZ82" s="539">
        <f t="shared" si="86"/>
        <v>4184.7129999999888</v>
      </c>
      <c r="BA82" s="539">
        <f t="shared" si="86"/>
        <v>4972.9480599999888</v>
      </c>
      <c r="BB82" s="539">
        <f t="shared" si="86"/>
        <v>6698.9936899999884</v>
      </c>
      <c r="BC82" s="539">
        <f t="shared" si="86"/>
        <v>5939.9936899999884</v>
      </c>
      <c r="BD82" s="539">
        <f t="shared" si="86"/>
        <v>5641.9936899999884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7">E82-E83</f>
        <v>-2.1000000560889021E-4</v>
      </c>
      <c r="F84" s="480">
        <f t="shared" si="87"/>
        <v>-1.4600000013160752E-3</v>
      </c>
      <c r="G84" s="480">
        <f t="shared" si="87"/>
        <v>-1.4600000016571357E-3</v>
      </c>
      <c r="H84" s="480">
        <f t="shared" si="87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88">V82-V83</f>
        <v>1.2219999982335139E-2</v>
      </c>
      <c r="W84" s="480">
        <f t="shared" si="88"/>
        <v>8.6599999849568121E-3</v>
      </c>
      <c r="X84" s="480">
        <f t="shared" si="88"/>
        <v>6.9499999844992999E-3</v>
      </c>
      <c r="Y84" s="480">
        <f t="shared" si="88"/>
        <v>1.0889999983191956E-2</v>
      </c>
      <c r="Z84" s="480">
        <f t="shared" si="88"/>
        <v>7.4599999861675315E-3</v>
      </c>
      <c r="AA84" s="480">
        <f t="shared" si="88"/>
        <v>2.469999988534255E-3</v>
      </c>
      <c r="AB84" s="480">
        <f t="shared" si="88"/>
        <v>3.1499999859079253E-3</v>
      </c>
      <c r="AC84" s="480">
        <f t="shared" si="88"/>
        <v>5.2099999884376302E-3</v>
      </c>
      <c r="AD84" s="480">
        <f t="shared" si="88"/>
        <v>4.339999988587806E-3</v>
      </c>
      <c r="AE84" s="480">
        <f t="shared" si="88"/>
        <v>4.339999988587806E-3</v>
      </c>
      <c r="AF84" s="480">
        <f t="shared" si="88"/>
        <v>4.339999988587806E-3</v>
      </c>
      <c r="AG84" s="480">
        <f t="shared" si="88"/>
        <v>2.6799999886861769E-3</v>
      </c>
      <c r="AH84" s="480">
        <f t="shared" si="88"/>
        <v>5.7799999885901343E-3</v>
      </c>
      <c r="AI84" s="480">
        <f t="shared" si="88"/>
        <v>9.6399999893037602E-3</v>
      </c>
      <c r="AJ84" s="480">
        <f t="shared" si="88"/>
        <v>1.1709999987942865E-2</v>
      </c>
      <c r="AK84" s="480">
        <f t="shared" si="88"/>
        <v>1.1939999987589545E-2</v>
      </c>
      <c r="AL84" s="480">
        <f t="shared" si="88"/>
        <v>9.1099999872312765E-3</v>
      </c>
      <c r="AM84" s="480">
        <f t="shared" si="88"/>
        <v>1.2019999987387564E-2</v>
      </c>
      <c r="AN84" s="480">
        <f t="shared" si="88"/>
        <v>1.0709999987739138E-2</v>
      </c>
      <c r="AO84" s="480">
        <f t="shared" si="88"/>
        <v>1.2369999988550262E-2</v>
      </c>
      <c r="AP84" s="480">
        <f t="shared" si="88"/>
        <v>1.3579999987996416E-2</v>
      </c>
      <c r="AQ84" s="480">
        <f t="shared" si="88"/>
        <v>1.3579999987996416E-2</v>
      </c>
      <c r="AR84" s="480">
        <f t="shared" si="88"/>
        <v>1.3579999987996416E-2</v>
      </c>
      <c r="AS84" s="480">
        <f>AS82-AS83</f>
        <v>1.0319999988041673E-2</v>
      </c>
      <c r="AT84" s="480">
        <f t="shared" ref="AT84:BD84" si="89">AT82-AT83</f>
        <v>1.3839999988249474E-2</v>
      </c>
      <c r="AU84" s="480">
        <f t="shared" si="89"/>
        <v>2519.6375199999889</v>
      </c>
      <c r="AV84" s="480">
        <f t="shared" si="89"/>
        <v>4267.8524999999881</v>
      </c>
      <c r="AW84" s="480">
        <f t="shared" si="89"/>
        <v>5251.2918999999893</v>
      </c>
      <c r="AX84" s="480">
        <f t="shared" si="89"/>
        <v>5876.0853399999887</v>
      </c>
      <c r="AY84" s="480">
        <f t="shared" si="89"/>
        <v>6387.7171599999883</v>
      </c>
      <c r="AZ84" s="480">
        <f t="shared" si="89"/>
        <v>6900.9629999999888</v>
      </c>
      <c r="BA84" s="480">
        <f t="shared" si="89"/>
        <v>7631.9680599999883</v>
      </c>
      <c r="BB84" s="480">
        <f t="shared" si="89"/>
        <v>9358.0136899999889</v>
      </c>
      <c r="BC84" s="480">
        <f t="shared" si="89"/>
        <v>8599.0136899999889</v>
      </c>
      <c r="BD84" s="480">
        <f t="shared" si="89"/>
        <v>5641.9936899999884</v>
      </c>
    </row>
  </sheetData>
  <conditionalFormatting sqref="E29 L65:AR65 K29:AK29 AN29:AR29 BE29 BE65">
    <cfRule type="cellIs" dxfId="280" priority="28" operator="notEqual">
      <formula>E28</formula>
    </cfRule>
  </conditionalFormatting>
  <conditionalFormatting sqref="F29">
    <cfRule type="cellIs" dxfId="279" priority="27" operator="notEqual">
      <formula>F28</formula>
    </cfRule>
  </conditionalFormatting>
  <conditionalFormatting sqref="G29">
    <cfRule type="cellIs" dxfId="278" priority="26" operator="notEqual">
      <formula>G28</formula>
    </cfRule>
  </conditionalFormatting>
  <conditionalFormatting sqref="H29">
    <cfRule type="cellIs" dxfId="277" priority="25" operator="notEqual">
      <formula>H28</formula>
    </cfRule>
  </conditionalFormatting>
  <conditionalFormatting sqref="G65">
    <cfRule type="cellIs" dxfId="276" priority="22" operator="notEqual">
      <formula>G64</formula>
    </cfRule>
  </conditionalFormatting>
  <conditionalFormatting sqref="H65">
    <cfRule type="cellIs" dxfId="275" priority="21" operator="notEqual">
      <formula>H64</formula>
    </cfRule>
  </conditionalFormatting>
  <conditionalFormatting sqref="E65">
    <cfRule type="cellIs" dxfId="274" priority="24" operator="notEqual">
      <formula>E64</formula>
    </cfRule>
  </conditionalFormatting>
  <conditionalFormatting sqref="F65">
    <cfRule type="cellIs" dxfId="273" priority="23" operator="notEqual">
      <formula>F64</formula>
    </cfRule>
  </conditionalFormatting>
  <conditionalFormatting sqref="BK80 BK47 BK11">
    <cfRule type="cellIs" dxfId="272" priority="20" operator="notEqual">
      <formula>0</formula>
    </cfRule>
  </conditionalFormatting>
  <conditionalFormatting sqref="D65">
    <cfRule type="cellIs" dxfId="271" priority="19" operator="notEqual">
      <formula>D64</formula>
    </cfRule>
  </conditionalFormatting>
  <conditionalFormatting sqref="C65">
    <cfRule type="cellIs" dxfId="270" priority="18" operator="notEqual">
      <formula>C64</formula>
    </cfRule>
  </conditionalFormatting>
  <conditionalFormatting sqref="D29">
    <cfRule type="cellIs" dxfId="269" priority="17" operator="notEqual">
      <formula>D28</formula>
    </cfRule>
  </conditionalFormatting>
  <conditionalFormatting sqref="C29">
    <cfRule type="cellIs" dxfId="268" priority="16" operator="notEqual">
      <formula>C28</formula>
    </cfRule>
  </conditionalFormatting>
  <conditionalFormatting sqref="I29">
    <cfRule type="cellIs" dxfId="267" priority="15" operator="notEqual">
      <formula>I28</formula>
    </cfRule>
  </conditionalFormatting>
  <conditionalFormatting sqref="I65">
    <cfRule type="cellIs" dxfId="266" priority="14" operator="notEqual">
      <formula>I64</formula>
    </cfRule>
  </conditionalFormatting>
  <conditionalFormatting sqref="J29">
    <cfRule type="cellIs" dxfId="265" priority="13" operator="notEqual">
      <formula>J28</formula>
    </cfRule>
  </conditionalFormatting>
  <conditionalFormatting sqref="J65">
    <cfRule type="cellIs" dxfId="264" priority="12" operator="notEqual">
      <formula>J64</formula>
    </cfRule>
  </conditionalFormatting>
  <conditionalFormatting sqref="K65">
    <cfRule type="cellIs" dxfId="263" priority="11" operator="notEqual">
      <formula>K64</formula>
    </cfRule>
  </conditionalFormatting>
  <conditionalFormatting sqref="U29">
    <cfRule type="cellIs" dxfId="262" priority="10" operator="notEqual">
      <formula>U28</formula>
    </cfRule>
  </conditionalFormatting>
  <conditionalFormatting sqref="U65">
    <cfRule type="cellIs" dxfId="261" priority="9" operator="notEqual">
      <formula>U64</formula>
    </cfRule>
  </conditionalFormatting>
  <conditionalFormatting sqref="V29">
    <cfRule type="cellIs" dxfId="260" priority="8" operator="notEqual">
      <formula>V28</formula>
    </cfRule>
  </conditionalFormatting>
  <conditionalFormatting sqref="V65">
    <cfRule type="cellIs" dxfId="259" priority="7" operator="notEqual">
      <formula>V64</formula>
    </cfRule>
  </conditionalFormatting>
  <conditionalFormatting sqref="W65">
    <cfRule type="cellIs" dxfId="258" priority="6" operator="notEqual">
      <formula>W64</formula>
    </cfRule>
  </conditionalFormatting>
  <conditionalFormatting sqref="AL29">
    <cfRule type="cellIs" dxfId="257" priority="5" operator="notEqual">
      <formula>AL28</formula>
    </cfRule>
  </conditionalFormatting>
  <conditionalFormatting sqref="AM29">
    <cfRule type="cellIs" dxfId="256" priority="4" operator="notEqual">
      <formula>AM28</formula>
    </cfRule>
  </conditionalFormatting>
  <conditionalFormatting sqref="AS65:BD65 AS29:AW29 AZ29:BD29">
    <cfRule type="cellIs" dxfId="255" priority="3" operator="notEqual">
      <formula>AS28</formula>
    </cfRule>
  </conditionalFormatting>
  <conditionalFormatting sqref="AX29">
    <cfRule type="cellIs" dxfId="254" priority="2" operator="notEqual">
      <formula>AX28</formula>
    </cfRule>
  </conditionalFormatting>
  <conditionalFormatting sqref="AY29">
    <cfRule type="cellIs" dxfId="253" priority="1" operator="notEqual">
      <formula>AY28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D4" activePane="bottomRight" state="frozen"/>
      <selection activeCell="AV20" sqref="AV20"/>
      <selection pane="topRight" activeCell="AV20" sqref="AV20"/>
      <selection pane="bottomLeft" activeCell="AV20" sqref="AV20"/>
      <selection pane="bottomRight" activeCell="AV20" sqref="AV20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47" width="16.28515625" style="480" customWidth="1"/>
    <col min="48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:AG3" si="0">V3+1</f>
        <v>201502</v>
      </c>
      <c r="X3" s="482">
        <f t="shared" si="0"/>
        <v>201503</v>
      </c>
      <c r="Y3" s="482">
        <f t="shared" si="0"/>
        <v>201504</v>
      </c>
      <c r="Z3" s="482">
        <f t="shared" si="0"/>
        <v>201505</v>
      </c>
      <c r="AA3" s="482">
        <f t="shared" si="0"/>
        <v>201506</v>
      </c>
      <c r="AB3" s="482">
        <f t="shared" si="0"/>
        <v>201507</v>
      </c>
      <c r="AC3" s="482">
        <f t="shared" si="0"/>
        <v>201508</v>
      </c>
      <c r="AD3" s="482">
        <f t="shared" si="0"/>
        <v>201509</v>
      </c>
      <c r="AE3" s="482">
        <f t="shared" si="0"/>
        <v>201510</v>
      </c>
      <c r="AF3" s="482">
        <f t="shared" si="0"/>
        <v>201511</v>
      </c>
      <c r="AG3" s="482">
        <f t="shared" si="0"/>
        <v>201512</v>
      </c>
      <c r="AH3" s="482">
        <v>201601</v>
      </c>
      <c r="AI3" s="482">
        <f>AH3+1</f>
        <v>201602</v>
      </c>
      <c r="AJ3" s="482">
        <f t="shared" ref="AJ3:AS3" si="1">AI3+1</f>
        <v>201603</v>
      </c>
      <c r="AK3" s="482">
        <f t="shared" si="1"/>
        <v>201604</v>
      </c>
      <c r="AL3" s="482">
        <f t="shared" si="1"/>
        <v>201605</v>
      </c>
      <c r="AM3" s="482">
        <f t="shared" si="1"/>
        <v>201606</v>
      </c>
      <c r="AN3" s="482">
        <f t="shared" si="1"/>
        <v>201607</v>
      </c>
      <c r="AO3" s="482">
        <f t="shared" si="1"/>
        <v>201608</v>
      </c>
      <c r="AP3" s="482">
        <f t="shared" si="1"/>
        <v>201609</v>
      </c>
      <c r="AQ3" s="482">
        <f t="shared" si="1"/>
        <v>201610</v>
      </c>
      <c r="AR3" s="482">
        <f t="shared" si="1"/>
        <v>201611</v>
      </c>
      <c r="AS3" s="482">
        <f t="shared" si="1"/>
        <v>201612</v>
      </c>
      <c r="AT3" s="482">
        <v>201701</v>
      </c>
      <c r="AU3" s="482">
        <f>AT3+1</f>
        <v>201702</v>
      </c>
      <c r="AV3" s="482">
        <f t="shared" ref="AV3:BE3" si="2">AU3+1</f>
        <v>201703</v>
      </c>
      <c r="AW3" s="482">
        <f t="shared" si="2"/>
        <v>201704</v>
      </c>
      <c r="AX3" s="482">
        <f t="shared" si="2"/>
        <v>201705</v>
      </c>
      <c r="AY3" s="482">
        <f t="shared" si="2"/>
        <v>201706</v>
      </c>
      <c r="AZ3" s="482">
        <f t="shared" si="2"/>
        <v>201707</v>
      </c>
      <c r="BA3" s="482">
        <f t="shared" si="2"/>
        <v>201708</v>
      </c>
      <c r="BB3" s="482">
        <f t="shared" si="2"/>
        <v>201709</v>
      </c>
      <c r="BC3" s="482">
        <f t="shared" si="2"/>
        <v>201710</v>
      </c>
      <c r="BD3" s="482">
        <f t="shared" si="2"/>
        <v>201711</v>
      </c>
      <c r="BE3" s="482">
        <f t="shared" si="2"/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617">
        <v>0.01</v>
      </c>
      <c r="AV4" s="486"/>
      <c r="AW4" s="486"/>
      <c r="AX4" s="486"/>
      <c r="AY4" s="486"/>
      <c r="AZ4" s="486"/>
      <c r="BA4" s="586"/>
      <c r="BB4" s="486"/>
      <c r="BC4" s="486"/>
      <c r="BD4" s="486"/>
      <c r="BE4" s="486"/>
      <c r="BF4" s="577"/>
      <c r="BG4" s="542">
        <v>201702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:AL5" si="3">AF13</f>
        <v>-2684344.9824949973</v>
      </c>
      <c r="AH5" s="480">
        <f t="shared" si="3"/>
        <v>-3634681.6735539967</v>
      </c>
      <c r="AI5" s="480">
        <f t="shared" si="3"/>
        <v>-4349728.1832369966</v>
      </c>
      <c r="AJ5" s="480">
        <f t="shared" si="3"/>
        <v>-4647235.483478996</v>
      </c>
      <c r="AK5" s="480">
        <f t="shared" si="3"/>
        <v>-5147221.2688729959</v>
      </c>
      <c r="AL5" s="480">
        <f t="shared" si="3"/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4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5">AQ13</f>
        <v>-8823949.1609619968</v>
      </c>
      <c r="AS5" s="480">
        <f>AR13</f>
        <v>-1982511.2510679981</v>
      </c>
      <c r="AT5" s="480">
        <f>AS13</f>
        <v>-3636402.2442139965</v>
      </c>
      <c r="AU5" s="480">
        <f>AT13</f>
        <v>-4982032.1333549954</v>
      </c>
      <c r="AV5" s="480">
        <f t="shared" ref="AV5:AX5" si="6">AU13</f>
        <v>-5711247.8608159944</v>
      </c>
      <c r="AW5" s="480">
        <f t="shared" si="6"/>
        <v>-6448999.0074869944</v>
      </c>
      <c r="AX5" s="480">
        <f t="shared" si="6"/>
        <v>-7015364.4993119938</v>
      </c>
      <c r="AY5" s="480">
        <f>AX13</f>
        <v>-7054984.0736179939</v>
      </c>
      <c r="AZ5" s="480">
        <f>AY13</f>
        <v>-7031383.4194839951</v>
      </c>
      <c r="BA5" s="480">
        <f t="shared" ref="BA5" si="7">AZ13</f>
        <v>-7784259.7960229954</v>
      </c>
      <c r="BB5" s="480">
        <f>BA13</f>
        <v>-8726194.3178779949</v>
      </c>
      <c r="BC5" s="480">
        <f>BB13</f>
        <v>-9565171.3693189938</v>
      </c>
      <c r="BD5" s="480">
        <f t="shared" ref="BD5" si="8">BC13</f>
        <v>-11233614.522050994</v>
      </c>
      <c r="BE5" s="480">
        <f>BD13</f>
        <v>-4584019.459393994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251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4453.68</v>
      </c>
      <c r="BL6" s="498">
        <v>0</v>
      </c>
    </row>
    <row r="7" spans="1:64">
      <c r="C7" s="479" t="s">
        <v>252</v>
      </c>
      <c r="D7" s="480">
        <f t="shared" ref="D7:D12" si="9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729215.72746099974</v>
      </c>
    </row>
    <row r="8" spans="1:64">
      <c r="C8" s="479" t="s">
        <v>255</v>
      </c>
      <c r="D8" s="480">
        <f t="shared" si="9"/>
        <v>-65976.31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>ROUND(((AU5+AU9+AU10+AU11)*(AU4/12))+((SUM(AU6:AU7)/2)*(AU4/12)),2)</f>
        <v>-4453.68</v>
      </c>
      <c r="AV8" s="555">
        <f t="shared" ref="AV8:AY8" si="10">ROUND(((AV5+AV9+AV10+AV11)*(AV4/12))+((SUM(AV6:AV7)/2)*(AV4/12)),2)</f>
        <v>0</v>
      </c>
      <c r="AW8" s="555">
        <f t="shared" si="10"/>
        <v>0</v>
      </c>
      <c r="AX8" s="555">
        <f t="shared" si="10"/>
        <v>0</v>
      </c>
      <c r="AY8" s="555">
        <f t="shared" si="10"/>
        <v>0</v>
      </c>
      <c r="AZ8" s="555">
        <f>ROUND(((AZ5+AZ9+AZ10+AZ11)*(AZ4/12))+((SUM(AZ6:AZ7)/2)*(AZ4/12)),2)</f>
        <v>0</v>
      </c>
      <c r="BA8" s="555">
        <f t="shared" ref="BA8" si="11">ROUND(((BA5+BA9+BA10+BA11)*(BA4/12))+((SUM(BA6:BA7)/2)*(BA4/12)),2)</f>
        <v>0</v>
      </c>
      <c r="BB8" s="555">
        <f>ROUND(((BB5+BB9+BB10+BB11)*(BB4/12))+((SUM(BB6:BB7)/2)*(BB4/12)),2)</f>
        <v>0</v>
      </c>
      <c r="BC8" s="555">
        <f>ROUND(((BC5+BC9+BC10+BC11)*(BC4/12))+((SUM(BC6:BC7)/2)*(BC4/12)),2)</f>
        <v>0</v>
      </c>
      <c r="BD8" s="555">
        <f>ROUND(((BD5+BD9+BD10+BD11)*(BD4/12))+((SUM(BD6:BD7)/2)*(BD4/12)),2)</f>
        <v>0</v>
      </c>
      <c r="BE8" s="555">
        <f>ROUND(((BE5+BE9+BE10+BE11)*(BE4/12))+((SUM(BE6:BE7)/2)*(BE4/12)),2)</f>
        <v>0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724762.04746099969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9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9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9"/>
        <v>79081.23000000001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39335.550000000003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9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12">SUM(G5:G12)</f>
        <v>-179650.44284699953</v>
      </c>
      <c r="H13" s="539">
        <f t="shared" si="12"/>
        <v>-770749.33284699952</v>
      </c>
      <c r="I13" s="539">
        <f t="shared" si="12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13">SUM(V5:V12)</f>
        <v>-645308.82581999747</v>
      </c>
      <c r="W13" s="539">
        <f t="shared" si="13"/>
        <v>-754837.52375499834</v>
      </c>
      <c r="X13" s="539">
        <f t="shared" si="13"/>
        <v>-287477.8915199968</v>
      </c>
      <c r="Y13" s="539">
        <f t="shared" si="13"/>
        <v>-1224292.1730279976</v>
      </c>
      <c r="Z13" s="539">
        <f t="shared" si="13"/>
        <v>-1390232.6525299973</v>
      </c>
      <c r="AA13" s="539">
        <f t="shared" si="13"/>
        <v>-1678662.999059998</v>
      </c>
      <c r="AB13" s="539">
        <f t="shared" si="13"/>
        <v>-2022423.1820719973</v>
      </c>
      <c r="AC13" s="539">
        <f t="shared" si="13"/>
        <v>-2418884.2503219969</v>
      </c>
      <c r="AD13" s="539">
        <f t="shared" si="13"/>
        <v>-3067053.2533299979</v>
      </c>
      <c r="AE13" s="539">
        <f t="shared" si="13"/>
        <v>-3722405.068684998</v>
      </c>
      <c r="AF13" s="539">
        <f t="shared" si="13"/>
        <v>-2684344.9824949973</v>
      </c>
      <c r="AG13" s="539">
        <f t="shared" si="13"/>
        <v>-3634681.6735539967</v>
      </c>
      <c r="AH13" s="539">
        <f t="shared" si="13"/>
        <v>-4349728.1832369966</v>
      </c>
      <c r="AI13" s="539">
        <f t="shared" si="13"/>
        <v>-4647235.483478996</v>
      </c>
      <c r="AJ13" s="539">
        <f t="shared" si="13"/>
        <v>-5147221.2688729959</v>
      </c>
      <c r="AK13" s="539">
        <f t="shared" si="13"/>
        <v>-6002096.6110229967</v>
      </c>
      <c r="AL13" s="539">
        <f>SUM(AL5:AL12)</f>
        <v>-6406273.944958997</v>
      </c>
      <c r="AM13" s="608">
        <f t="shared" si="13"/>
        <v>-7224717.6167209959</v>
      </c>
      <c r="AN13" s="539">
        <f t="shared" si="13"/>
        <v>-7883900.3474069955</v>
      </c>
      <c r="AO13" s="539">
        <f t="shared" si="13"/>
        <v>-8377930.5017169965</v>
      </c>
      <c r="AP13" s="539">
        <f t="shared" si="13"/>
        <v>-8679973.3135639969</v>
      </c>
      <c r="AQ13" s="539">
        <f>SUM(AQ5:AQ12)</f>
        <v>-8823949.1609619968</v>
      </c>
      <c r="AR13" s="602">
        <f t="shared" si="13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14">SUM(AU5:AU12)</f>
        <v>-5711247.8608159944</v>
      </c>
      <c r="AV13" s="539">
        <f t="shared" si="14"/>
        <v>-6448999.0074869944</v>
      </c>
      <c r="AW13" s="539">
        <f t="shared" si="14"/>
        <v>-7015364.4993119938</v>
      </c>
      <c r="AX13" s="539">
        <f>SUM(AX5:AX12)</f>
        <v>-7054984.0736179939</v>
      </c>
      <c r="AY13" s="608">
        <f t="shared" ref="AY13:BD13" si="15">SUM(AY5:AY12)</f>
        <v>-7031383.4194839951</v>
      </c>
      <c r="AZ13" s="539">
        <f t="shared" si="15"/>
        <v>-7784259.7960229954</v>
      </c>
      <c r="BA13" s="539">
        <f t="shared" si="15"/>
        <v>-8726194.3178779949</v>
      </c>
      <c r="BB13" s="539">
        <f t="shared" si="15"/>
        <v>-9565171.3693189938</v>
      </c>
      <c r="BC13" s="539">
        <f t="shared" si="15"/>
        <v>-11233614.522050994</v>
      </c>
      <c r="BD13" s="602">
        <f t="shared" si="15"/>
        <v>-4584019.459393994</v>
      </c>
      <c r="BE13" s="539">
        <f>SUM(BE5:BE12)</f>
        <v>-6235570.2125399923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_xll.Get_Balance(AV3,"YTD","USD","Total","A","","001",$A$3,"GD","ID","DL")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601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16">F13-F14</f>
        <v>-1.5300058177672327E-2</v>
      </c>
      <c r="G15" s="480">
        <f t="shared" si="16"/>
        <v>-2.2846999519970268E-2</v>
      </c>
      <c r="H15" s="480">
        <f t="shared" si="16"/>
        <v>-2.2846999461762607E-2</v>
      </c>
      <c r="I15" s="480">
        <f t="shared" si="16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17">T13-T14</f>
        <v>8.8100053835660219E-4</v>
      </c>
      <c r="U15" s="480">
        <f t="shared" si="17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Y15" si="18">X13-X14</f>
        <v>-1.5199967892840505E-3</v>
      </c>
      <c r="Y15" s="480">
        <f t="shared" si="18"/>
        <v>-3.0279976781457663E-3</v>
      </c>
      <c r="Z15" s="480">
        <f t="shared" si="18"/>
        <v>-2.5299973785877228E-3</v>
      </c>
      <c r="AA15" s="480">
        <f t="shared" si="18"/>
        <v>9.4000203534960747E-4</v>
      </c>
      <c r="AB15" s="480">
        <f t="shared" si="18"/>
        <v>-2.0719973836094141E-3</v>
      </c>
      <c r="AC15" s="480">
        <f t="shared" si="18"/>
        <v>-3.2199686393141747E-4</v>
      </c>
      <c r="AD15" s="480">
        <f t="shared" si="18"/>
        <v>-3.3299978822469711E-3</v>
      </c>
      <c r="AE15" s="480">
        <f t="shared" si="18"/>
        <v>1.3150018639862537E-3</v>
      </c>
      <c r="AF15" s="480">
        <f t="shared" si="18"/>
        <v>-2.4949973449110985E-3</v>
      </c>
      <c r="AG15" s="480">
        <f t="shared" si="18"/>
        <v>-3.5539967939257622E-3</v>
      </c>
      <c r="AH15" s="480">
        <f t="shared" si="18"/>
        <v>-3.2369969412684441E-3</v>
      </c>
      <c r="AI15" s="480">
        <f t="shared" si="18"/>
        <v>-3.4789955243468285E-3</v>
      </c>
      <c r="AJ15" s="480">
        <f t="shared" si="18"/>
        <v>1.1270036920905113E-3</v>
      </c>
      <c r="AK15" s="480">
        <f t="shared" si="18"/>
        <v>-1.0229963809251785E-3</v>
      </c>
      <c r="AL15" s="480">
        <f t="shared" si="18"/>
        <v>-4.9589965492486954E-3</v>
      </c>
      <c r="AM15" s="480">
        <f t="shared" si="18"/>
        <v>-6.7209955304861069E-3</v>
      </c>
      <c r="AN15" s="480">
        <f>AN13-AN14</f>
        <v>-7.4069956317543983E-3</v>
      </c>
      <c r="AO15" s="480">
        <f t="shared" si="18"/>
        <v>-1.1716996319591999E-2</v>
      </c>
      <c r="AP15" s="480">
        <f t="shared" si="18"/>
        <v>-1.3563996180891991E-2</v>
      </c>
      <c r="AQ15" s="480">
        <f t="shared" si="18"/>
        <v>-1.0961996391415596E-2</v>
      </c>
      <c r="AR15" s="480">
        <f t="shared" si="18"/>
        <v>-1.1067998129874468E-2</v>
      </c>
      <c r="AS15" s="480">
        <f t="shared" si="18"/>
        <v>-1.4213996473699808E-2</v>
      </c>
      <c r="AT15" s="480">
        <f t="shared" si="18"/>
        <v>-1.3354995287954807E-2</v>
      </c>
      <c r="AU15" s="480">
        <f t="shared" si="18"/>
        <v>-1.0815994814038277E-2</v>
      </c>
      <c r="AV15" s="480">
        <f t="shared" si="18"/>
        <v>5066.7625130051747</v>
      </c>
      <c r="AW15" s="480">
        <f t="shared" si="18"/>
        <v>10681.130688006058</v>
      </c>
      <c r="AX15" s="480">
        <f t="shared" si="18"/>
        <v>16552.676382006146</v>
      </c>
      <c r="AY15" s="480">
        <f t="shared" si="18"/>
        <v>22435.790516004898</v>
      </c>
      <c r="AZ15" s="480">
        <f>AZ13-AZ14</f>
        <v>28627.673977004364</v>
      </c>
      <c r="BA15" s="480">
        <f t="shared" ref="BA15:BE15" si="19">BA13-BA14</f>
        <v>35530.882122004405</v>
      </c>
      <c r="BB15" s="480">
        <f t="shared" si="19"/>
        <v>43181.890681006014</v>
      </c>
      <c r="BC15" s="480">
        <f t="shared" si="19"/>
        <v>-1625261.2620509937</v>
      </c>
      <c r="BD15" s="480">
        <f t="shared" si="19"/>
        <v>5024333.8006060058</v>
      </c>
      <c r="BE15" s="480">
        <f t="shared" si="19"/>
        <v>-6235570.2125399923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:AG18" si="20">V18+1</f>
        <v>201502</v>
      </c>
      <c r="X18" s="482">
        <f t="shared" si="20"/>
        <v>201503</v>
      </c>
      <c r="Y18" s="482">
        <f t="shared" si="20"/>
        <v>201504</v>
      </c>
      <c r="Z18" s="482">
        <f t="shared" si="20"/>
        <v>201505</v>
      </c>
      <c r="AA18" s="482">
        <f t="shared" si="20"/>
        <v>201506</v>
      </c>
      <c r="AB18" s="482">
        <f t="shared" si="20"/>
        <v>201507</v>
      </c>
      <c r="AC18" s="482">
        <f t="shared" si="20"/>
        <v>201508</v>
      </c>
      <c r="AD18" s="482">
        <f t="shared" si="20"/>
        <v>201509</v>
      </c>
      <c r="AE18" s="482">
        <f t="shared" si="20"/>
        <v>201510</v>
      </c>
      <c r="AF18" s="482">
        <f t="shared" si="20"/>
        <v>201511</v>
      </c>
      <c r="AG18" s="482">
        <f t="shared" si="20"/>
        <v>201512</v>
      </c>
      <c r="AH18" s="482">
        <v>201601</v>
      </c>
      <c r="AI18" s="482">
        <f>AH18+1</f>
        <v>201602</v>
      </c>
      <c r="AJ18" s="482">
        <f t="shared" ref="AJ18:AS18" si="21">AI18+1</f>
        <v>201603</v>
      </c>
      <c r="AK18" s="482">
        <f t="shared" si="21"/>
        <v>201604</v>
      </c>
      <c r="AL18" s="482">
        <f t="shared" si="21"/>
        <v>201605</v>
      </c>
      <c r="AM18" s="482">
        <f t="shared" si="21"/>
        <v>201606</v>
      </c>
      <c r="AN18" s="482">
        <f t="shared" si="21"/>
        <v>201607</v>
      </c>
      <c r="AO18" s="482">
        <f t="shared" si="21"/>
        <v>201608</v>
      </c>
      <c r="AP18" s="482">
        <f t="shared" si="21"/>
        <v>201609</v>
      </c>
      <c r="AQ18" s="482">
        <f t="shared" si="21"/>
        <v>201610</v>
      </c>
      <c r="AR18" s="482">
        <f t="shared" si="21"/>
        <v>201611</v>
      </c>
      <c r="AS18" s="482">
        <f t="shared" si="21"/>
        <v>201612</v>
      </c>
      <c r="AT18" s="482">
        <f>AT3</f>
        <v>201701</v>
      </c>
      <c r="AU18" s="482">
        <f>AT18+1</f>
        <v>201702</v>
      </c>
      <c r="AV18" s="482">
        <f t="shared" ref="AV18:BE18" si="22">AU18+1</f>
        <v>201703</v>
      </c>
      <c r="AW18" s="482">
        <f t="shared" si="22"/>
        <v>201704</v>
      </c>
      <c r="AX18" s="482">
        <f t="shared" si="22"/>
        <v>201705</v>
      </c>
      <c r="AY18" s="482">
        <f t="shared" si="22"/>
        <v>201706</v>
      </c>
      <c r="AZ18" s="482">
        <f t="shared" si="22"/>
        <v>201707</v>
      </c>
      <c r="BA18" s="482">
        <f t="shared" si="22"/>
        <v>201708</v>
      </c>
      <c r="BB18" s="482">
        <f t="shared" si="22"/>
        <v>201709</v>
      </c>
      <c r="BC18" s="482">
        <f t="shared" si="22"/>
        <v>201710</v>
      </c>
      <c r="BD18" s="482">
        <f t="shared" si="22"/>
        <v>201711</v>
      </c>
      <c r="BE18" s="482">
        <f t="shared" si="22"/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621">
        <f>Feb!$K36</f>
        <v>8205105</v>
      </c>
      <c r="AV19" s="489">
        <f>Mar!$K36</f>
        <v>7018804</v>
      </c>
      <c r="AW19" s="489">
        <f>Apr!$K36</f>
        <v>4807641</v>
      </c>
      <c r="AX19" s="489">
        <f>May!$K36</f>
        <v>2613793</v>
      </c>
      <c r="AY19" s="489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23">SUM(AH20:AS20)</f>
        <v>21177522</v>
      </c>
      <c r="E20" s="489">
        <f t="shared" ref="E20:E24" si="24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621">
        <f>Feb!$K37</f>
        <v>2972280</v>
      </c>
      <c r="AV20" s="489">
        <f>Mar!$K37</f>
        <v>2558534</v>
      </c>
      <c r="AW20" s="489">
        <f>Apr!$K37</f>
        <v>1910087</v>
      </c>
      <c r="AX20" s="489">
        <f>May!$K37</f>
        <v>1315495</v>
      </c>
      <c r="AY20" s="489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23"/>
        <v>0</v>
      </c>
      <c r="E21" s="489">
        <f t="shared" si="24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621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23"/>
        <v>0</v>
      </c>
      <c r="E22" s="489">
        <f t="shared" si="24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621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23"/>
        <v>0</v>
      </c>
      <c r="E23" s="489">
        <f t="shared" si="24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621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23"/>
        <v>0</v>
      </c>
      <c r="E24" s="489">
        <f t="shared" si="24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621">
        <f>Feb!$K41</f>
        <v>0</v>
      </c>
      <c r="AV24" s="489">
        <f>Mar!$K41</f>
        <v>0</v>
      </c>
      <c r="AW24" s="489">
        <f>Apr!$K41</f>
        <v>0</v>
      </c>
      <c r="AX24" s="489">
        <f>May!$K41</f>
        <v>0</v>
      </c>
      <c r="AY24" s="489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25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25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26">SUM(H19:H26)</f>
        <v>9508099</v>
      </c>
      <c r="I27" s="540">
        <f t="shared" si="26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BA27" si="27">SUM(V19:V26)</f>
        <v>11809937</v>
      </c>
      <c r="W27" s="540">
        <f t="shared" si="27"/>
        <v>7940694</v>
      </c>
      <c r="X27" s="540">
        <f t="shared" si="27"/>
        <v>7017973</v>
      </c>
      <c r="Y27" s="540">
        <f t="shared" si="27"/>
        <v>5254736</v>
      </c>
      <c r="Z27" s="540">
        <f t="shared" si="27"/>
        <v>2699945</v>
      </c>
      <c r="AA27" s="540">
        <f t="shared" si="27"/>
        <v>2074520</v>
      </c>
      <c r="AB27" s="540">
        <f t="shared" si="27"/>
        <v>2019015</v>
      </c>
      <c r="AC27" s="540">
        <f t="shared" si="27"/>
        <v>2252954</v>
      </c>
      <c r="AD27" s="540">
        <f t="shared" si="27"/>
        <v>2632656</v>
      </c>
      <c r="AE27" s="540">
        <f t="shared" si="27"/>
        <v>3869259</v>
      </c>
      <c r="AF27" s="540">
        <f t="shared" si="27"/>
        <v>9627846</v>
      </c>
      <c r="AG27" s="540">
        <f t="shared" si="27"/>
        <v>11920005</v>
      </c>
      <c r="AH27" s="540">
        <f t="shared" si="27"/>
        <v>11685014</v>
      </c>
      <c r="AI27" s="540">
        <f t="shared" si="27"/>
        <v>8801085</v>
      </c>
      <c r="AJ27" s="540">
        <f t="shared" si="27"/>
        <v>8059216</v>
      </c>
      <c r="AK27" s="540">
        <f t="shared" si="27"/>
        <v>3920264</v>
      </c>
      <c r="AL27" s="540">
        <f t="shared" si="27"/>
        <v>2996454</v>
      </c>
      <c r="AM27" s="540">
        <f t="shared" si="27"/>
        <v>2393145</v>
      </c>
      <c r="AN27" s="540">
        <f t="shared" si="27"/>
        <v>2156482</v>
      </c>
      <c r="AO27" s="540">
        <f t="shared" si="27"/>
        <v>2375301</v>
      </c>
      <c r="AP27" s="540">
        <f>SUM(AP19:AP26)</f>
        <v>2461198</v>
      </c>
      <c r="AQ27" s="540">
        <f t="shared" si="27"/>
        <v>5395279</v>
      </c>
      <c r="AR27" s="540">
        <f t="shared" si="27"/>
        <v>7768583</v>
      </c>
      <c r="AS27" s="540">
        <f t="shared" si="27"/>
        <v>15441922</v>
      </c>
      <c r="AT27" s="540">
        <f t="shared" si="27"/>
        <v>15961206</v>
      </c>
      <c r="AU27" s="540">
        <f t="shared" si="27"/>
        <v>11177385</v>
      </c>
      <c r="AV27" s="540">
        <f t="shared" si="27"/>
        <v>9577338</v>
      </c>
      <c r="AW27" s="540">
        <f t="shared" si="27"/>
        <v>6717728</v>
      </c>
      <c r="AX27" s="540">
        <f t="shared" si="27"/>
        <v>3929288</v>
      </c>
      <c r="AY27" s="540">
        <f t="shared" si="27"/>
        <v>2552767</v>
      </c>
      <c r="AZ27" s="540">
        <f>SUM(AZ19:AZ26)</f>
        <v>2019015</v>
      </c>
      <c r="BA27" s="540">
        <f t="shared" si="27"/>
        <v>2352916</v>
      </c>
      <c r="BB27" s="540">
        <f>SUM(BB19:BB26)</f>
        <v>2437391</v>
      </c>
      <c r="BC27" s="540">
        <f t="shared" ref="BC27:BE27" si="28">SUM(BC19:BC26)</f>
        <v>6761852</v>
      </c>
      <c r="BD27" s="540">
        <f t="shared" si="28"/>
        <v>7768583</v>
      </c>
      <c r="BE27" s="540">
        <f t="shared" si="2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8801085</v>
      </c>
      <c r="AV28" s="562">
        <v>8059216</v>
      </c>
      <c r="AW28" s="562">
        <v>3920264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:AG30" si="29">V30+1</f>
        <v>201502</v>
      </c>
      <c r="X30" s="482">
        <f t="shared" si="29"/>
        <v>201503</v>
      </c>
      <c r="Y30" s="482">
        <f t="shared" si="29"/>
        <v>201504</v>
      </c>
      <c r="Z30" s="482">
        <f t="shared" si="29"/>
        <v>201505</v>
      </c>
      <c r="AA30" s="482">
        <f t="shared" si="29"/>
        <v>201506</v>
      </c>
      <c r="AB30" s="482">
        <f t="shared" si="29"/>
        <v>201507</v>
      </c>
      <c r="AC30" s="482">
        <f t="shared" si="29"/>
        <v>201508</v>
      </c>
      <c r="AD30" s="482">
        <f t="shared" si="29"/>
        <v>201509</v>
      </c>
      <c r="AE30" s="482">
        <f t="shared" si="29"/>
        <v>201510</v>
      </c>
      <c r="AF30" s="482">
        <f t="shared" si="29"/>
        <v>201511</v>
      </c>
      <c r="AG30" s="482">
        <f t="shared" si="29"/>
        <v>201512</v>
      </c>
      <c r="AH30" s="482">
        <v>201601</v>
      </c>
      <c r="AI30" s="482">
        <f>AH30+1</f>
        <v>201602</v>
      </c>
      <c r="AJ30" s="482">
        <f t="shared" ref="AJ30:AS30" si="30">AI30+1</f>
        <v>201603</v>
      </c>
      <c r="AK30" s="482">
        <f t="shared" si="30"/>
        <v>201604</v>
      </c>
      <c r="AL30" s="482">
        <f t="shared" si="30"/>
        <v>201605</v>
      </c>
      <c r="AM30" s="482">
        <f t="shared" si="30"/>
        <v>201606</v>
      </c>
      <c r="AN30" s="482">
        <f t="shared" si="30"/>
        <v>201607</v>
      </c>
      <c r="AO30" s="482">
        <f t="shared" si="30"/>
        <v>201608</v>
      </c>
      <c r="AP30" s="482">
        <f t="shared" si="30"/>
        <v>201609</v>
      </c>
      <c r="AQ30" s="482">
        <f t="shared" si="30"/>
        <v>201610</v>
      </c>
      <c r="AR30" s="482">
        <f t="shared" si="30"/>
        <v>201611</v>
      </c>
      <c r="AS30" s="482">
        <f t="shared" si="30"/>
        <v>201612</v>
      </c>
      <c r="AT30" s="482">
        <f>AT3</f>
        <v>201701</v>
      </c>
      <c r="AU30" s="482">
        <f>AT30+1</f>
        <v>201702</v>
      </c>
      <c r="AV30" s="482">
        <f t="shared" ref="AV30:BE30" si="31">AU30+1</f>
        <v>201703</v>
      </c>
      <c r="AW30" s="482">
        <f t="shared" si="31"/>
        <v>201704</v>
      </c>
      <c r="AX30" s="482">
        <f t="shared" si="31"/>
        <v>201705</v>
      </c>
      <c r="AY30" s="482">
        <f t="shared" si="31"/>
        <v>201706</v>
      </c>
      <c r="AZ30" s="482">
        <f t="shared" si="31"/>
        <v>201707</v>
      </c>
      <c r="BA30" s="482">
        <f t="shared" si="31"/>
        <v>201708</v>
      </c>
      <c r="BB30" s="482">
        <f t="shared" si="31"/>
        <v>201709</v>
      </c>
      <c r="BC30" s="482">
        <f t="shared" si="31"/>
        <v>201710</v>
      </c>
      <c r="BD30" s="482">
        <f t="shared" si="31"/>
        <v>201711</v>
      </c>
      <c r="BE30" s="482">
        <f t="shared" si="31"/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8">
        <v>9.3079999999999996E-2</v>
      </c>
      <c r="AV31" s="613">
        <v>2.8709999999999999E-2</v>
      </c>
      <c r="AW31" s="613">
        <v>2.8709999999999999E-2</v>
      </c>
      <c r="AX31" s="613">
        <v>2.8709999999999999E-2</v>
      </c>
      <c r="AY31" s="613">
        <v>2.8709999999999999E-2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8">
        <v>9.3079999999999996E-2</v>
      </c>
      <c r="AV32" s="613">
        <v>2.8709999999999999E-2</v>
      </c>
      <c r="AW32" s="613">
        <v>2.8709999999999999E-2</v>
      </c>
      <c r="AX32" s="613">
        <v>2.8709999999999999E-2</v>
      </c>
      <c r="AY32" s="613">
        <v>2.8709999999999999E-2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8"/>
      <c r="AV33" s="613"/>
      <c r="AW33" s="613"/>
      <c r="AX33" s="613"/>
      <c r="AY33" s="613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8"/>
      <c r="AV34" s="613"/>
      <c r="AW34" s="613"/>
      <c r="AX34" s="613"/>
      <c r="AY34" s="613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8"/>
      <c r="AV35" s="613"/>
      <c r="AW35" s="613"/>
      <c r="AX35" s="613"/>
      <c r="AY35" s="613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8">
        <v>9.665E-2</v>
      </c>
      <c r="AV36" s="613">
        <v>3.0040000000000001E-2</v>
      </c>
      <c r="AW36" s="613">
        <v>3.0040000000000001E-2</v>
      </c>
      <c r="AX36" s="613">
        <v>3.0040000000000001E-2</v>
      </c>
      <c r="AY36" s="613">
        <v>3.0040000000000001E-2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:AG40" si="32">V40+1</f>
        <v>201502</v>
      </c>
      <c r="X40" s="482">
        <f t="shared" si="32"/>
        <v>201503</v>
      </c>
      <c r="Y40" s="482">
        <f t="shared" si="32"/>
        <v>201504</v>
      </c>
      <c r="Z40" s="482">
        <f t="shared" si="32"/>
        <v>201505</v>
      </c>
      <c r="AA40" s="482">
        <f t="shared" si="32"/>
        <v>201506</v>
      </c>
      <c r="AB40" s="482">
        <f t="shared" si="32"/>
        <v>201507</v>
      </c>
      <c r="AC40" s="482">
        <f t="shared" si="32"/>
        <v>201508</v>
      </c>
      <c r="AD40" s="482">
        <f t="shared" si="32"/>
        <v>201509</v>
      </c>
      <c r="AE40" s="482">
        <f t="shared" si="32"/>
        <v>201510</v>
      </c>
      <c r="AF40" s="482">
        <f t="shared" si="32"/>
        <v>201511</v>
      </c>
      <c r="AG40" s="482">
        <f t="shared" si="32"/>
        <v>201512</v>
      </c>
      <c r="AH40" s="482">
        <v>201601</v>
      </c>
      <c r="AI40" s="482">
        <f>AH40+1</f>
        <v>201602</v>
      </c>
      <c r="AJ40" s="482">
        <f t="shared" ref="AJ40:AS40" si="33">AI40+1</f>
        <v>201603</v>
      </c>
      <c r="AK40" s="482">
        <f t="shared" si="33"/>
        <v>201604</v>
      </c>
      <c r="AL40" s="482">
        <f t="shared" si="33"/>
        <v>201605</v>
      </c>
      <c r="AM40" s="482">
        <f t="shared" si="33"/>
        <v>201606</v>
      </c>
      <c r="AN40" s="482">
        <f t="shared" si="33"/>
        <v>201607</v>
      </c>
      <c r="AO40" s="587">
        <f t="shared" si="33"/>
        <v>201608</v>
      </c>
      <c r="AP40" s="482">
        <f t="shared" si="33"/>
        <v>201609</v>
      </c>
      <c r="AQ40" s="482">
        <f t="shared" si="33"/>
        <v>201610</v>
      </c>
      <c r="AR40" s="482">
        <f t="shared" si="33"/>
        <v>201611</v>
      </c>
      <c r="AS40" s="482">
        <f t="shared" si="33"/>
        <v>201612</v>
      </c>
      <c r="AT40" s="482">
        <f>AT3</f>
        <v>201701</v>
      </c>
      <c r="AU40" s="482">
        <f>AT40+1</f>
        <v>201702</v>
      </c>
      <c r="AV40" s="482">
        <f t="shared" ref="AV40:BE40" si="34">AU40+1</f>
        <v>201703</v>
      </c>
      <c r="AW40" s="482">
        <f t="shared" si="34"/>
        <v>201704</v>
      </c>
      <c r="AX40" s="482">
        <f t="shared" si="34"/>
        <v>201705</v>
      </c>
      <c r="AY40" s="482">
        <f t="shared" si="34"/>
        <v>201706</v>
      </c>
      <c r="AZ40" s="482">
        <f t="shared" si="34"/>
        <v>201707</v>
      </c>
      <c r="BA40" s="587">
        <f t="shared" si="34"/>
        <v>201708</v>
      </c>
      <c r="BB40" s="482">
        <f t="shared" si="34"/>
        <v>201709</v>
      </c>
      <c r="BC40" s="482">
        <f t="shared" si="34"/>
        <v>201710</v>
      </c>
      <c r="BD40" s="482">
        <f t="shared" si="34"/>
        <v>201711</v>
      </c>
      <c r="BE40" s="482">
        <f t="shared" si="34"/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617">
        <v>0.01</v>
      </c>
      <c r="AV41" s="486"/>
      <c r="AW41" s="486"/>
      <c r="AX41" s="486"/>
      <c r="AY41" s="486"/>
      <c r="AZ41" s="486"/>
      <c r="BA41" s="586"/>
      <c r="BB41" s="486"/>
      <c r="BC41" s="486"/>
      <c r="BD41" s="486"/>
      <c r="BE41" s="486"/>
      <c r="BF41" s="577"/>
      <c r="BG41" s="511">
        <f>BG4</f>
        <v>201702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:Z42" si="35">W47</f>
        <v>-1139196.8415066958</v>
      </c>
      <c r="Y42" s="480">
        <f t="shared" si="35"/>
        <v>-927936.74257669575</v>
      </c>
      <c r="Z42" s="480">
        <f t="shared" si="35"/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:AF42" si="36">AC47</f>
        <v>-496357.29729955469</v>
      </c>
      <c r="AE42" s="480">
        <f t="shared" si="36"/>
        <v>-416678.50147523766</v>
      </c>
      <c r="AF42" s="480">
        <f t="shared" si="36"/>
        <v>-299312.54063388787</v>
      </c>
      <c r="AG42" s="480">
        <f>AF47</f>
        <v>-1658528.5495927494</v>
      </c>
      <c r="AH42" s="480">
        <f t="shared" ref="AH42:AS42" si="37">AG47</f>
        <v>-1317584.0800507434</v>
      </c>
      <c r="AI42" s="480">
        <f t="shared" si="37"/>
        <v>-983065.53286414407</v>
      </c>
      <c r="AJ42" s="480">
        <f t="shared" si="37"/>
        <v>-731100.32081221836</v>
      </c>
      <c r="AK42" s="480">
        <f t="shared" si="37"/>
        <v>-500233.0713481619</v>
      </c>
      <c r="AL42" s="480">
        <f t="shared" si="37"/>
        <v>-388052.25664285204</v>
      </c>
      <c r="AM42" s="480">
        <f t="shared" si="37"/>
        <v>-302311.59410241275</v>
      </c>
      <c r="AN42" s="480">
        <f t="shared" si="37"/>
        <v>-233827.69948376893</v>
      </c>
      <c r="AO42" s="480">
        <f t="shared" si="37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37"/>
        <v>-6302479.3101892965</v>
      </c>
      <c r="AT42" s="480">
        <f>AS47</f>
        <v>-4876312.2000311213</v>
      </c>
      <c r="AU42" s="480">
        <f t="shared" ref="AU42:BA42" si="38">AT47</f>
        <v>-3394087.7102784473</v>
      </c>
      <c r="AV42" s="480">
        <f t="shared" si="38"/>
        <v>-2356091.6246554293</v>
      </c>
      <c r="AW42" s="480">
        <f t="shared" si="38"/>
        <v>-2081126.2506754294</v>
      </c>
      <c r="AX42" s="480">
        <f t="shared" si="38"/>
        <v>-1888260.2797954294</v>
      </c>
      <c r="AY42" s="480">
        <f t="shared" si="38"/>
        <v>-1775450.4213154295</v>
      </c>
      <c r="AZ42" s="480">
        <f t="shared" si="38"/>
        <v>-1702160.4807454294</v>
      </c>
      <c r="BA42" s="480">
        <f t="shared" si="38"/>
        <v>-1644194.5600954294</v>
      </c>
      <c r="BB42" s="480">
        <f>BA47</f>
        <v>-1576642.3417354294</v>
      </c>
      <c r="BC42" s="480">
        <f>BB47</f>
        <v>-1506664.8461254293</v>
      </c>
      <c r="BD42" s="480">
        <f>BC47</f>
        <v>-1312532.0752054292</v>
      </c>
      <c r="BE42" s="480">
        <f t="shared" ref="BE42" si="39">BD47</f>
        <v>-7730962.6952054296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40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41">SUMPRODUCT(W19:W26,W31:W38)</f>
        <v>241476.50453999999</v>
      </c>
      <c r="X43" s="480">
        <f t="shared" si="41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42">SUMPRODUCT(AD19:AD26,AD31:AD38)</f>
        <v>80059.068960000004</v>
      </c>
      <c r="AE43" s="480">
        <f t="shared" si="42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43">SUMPRODUCT(AU19:AU24,AU31:AU36)</f>
        <v>1040390.9957999999</v>
      </c>
      <c r="AV43" s="558">
        <f t="shared" si="43"/>
        <v>274965.37397999997</v>
      </c>
      <c r="AW43" s="558">
        <f t="shared" si="43"/>
        <v>192865.97087999998</v>
      </c>
      <c r="AX43" s="558">
        <f t="shared" si="43"/>
        <v>112809.85848</v>
      </c>
      <c r="AY43" s="558">
        <f t="shared" si="43"/>
        <v>73289.940570000006</v>
      </c>
      <c r="AZ43" s="558">
        <f t="shared" si="43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2394.9101769820395</v>
      </c>
      <c r="BL43" s="498">
        <v>0</v>
      </c>
    </row>
    <row r="44" spans="1:64">
      <c r="C44" s="479" t="s">
        <v>4</v>
      </c>
      <c r="D44" s="480">
        <f t="shared" ref="D44:D46" si="44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45">((AD42*(AD41/12))+((AD43/2)*(AD41/12)))</f>
        <v>-380.27313568296228</v>
      </c>
      <c r="AE44" s="487">
        <f t="shared" si="45"/>
        <v>-298.20534865019806</v>
      </c>
      <c r="AF44" s="487">
        <f>((AF42+AF45)*(AF41/12))+(((AF43+AF46)/2)*(AF41/12))</f>
        <v>-1514.5789588615733</v>
      </c>
      <c r="AG44" s="487">
        <f t="shared" ref="AG44:AO44" si="46">((AG42*(AG41/12))+((AG43/2)*(AG41/12)))</f>
        <v>-1239.530457993958</v>
      </c>
      <c r="AH44" s="487">
        <f t="shared" si="46"/>
        <v>-958.20475340061967</v>
      </c>
      <c r="AI44" s="487">
        <f t="shared" si="46"/>
        <v>-713.93829807428676</v>
      </c>
      <c r="AJ44" s="487">
        <f t="shared" si="46"/>
        <v>-512.8418959435154</v>
      </c>
      <c r="AK44" s="487">
        <f t="shared" si="46"/>
        <v>-369.96473469013495</v>
      </c>
      <c r="AL44" s="487">
        <f t="shared" si="46"/>
        <v>-287.53179956071006</v>
      </c>
      <c r="AM44" s="487">
        <f t="shared" si="46"/>
        <v>-223.2983313561773</v>
      </c>
      <c r="AN44" s="487">
        <f t="shared" si="46"/>
        <v>-169.05950031147412</v>
      </c>
      <c r="AO44" s="487">
        <f t="shared" si="46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>((AS42*(AS41/12))+((AS43/2)*(AS41/12)))</f>
        <v>-4655.8898418244135</v>
      </c>
      <c r="AT44" s="487">
        <f>((AT42*(AT41/12))+((AT43/2)*(AT41/12)))</f>
        <v>-3444.5647273259347</v>
      </c>
      <c r="AU44" s="487">
        <f>((AU42*(AU41/12))+((AU43/2)*(AU41/12)))</f>
        <v>-2394.9101769820395</v>
      </c>
      <c r="AV44" s="487">
        <f t="shared" ref="AV44:BB44" si="47">((AV42*(AV41/12))+((AV43/2)*(AV41/12)))</f>
        <v>0</v>
      </c>
      <c r="AW44" s="487">
        <f t="shared" si="47"/>
        <v>0</v>
      </c>
      <c r="AX44" s="487">
        <f t="shared" si="47"/>
        <v>0</v>
      </c>
      <c r="AY44" s="487">
        <f t="shared" si="47"/>
        <v>0</v>
      </c>
      <c r="AZ44" s="487">
        <f t="shared" si="47"/>
        <v>0</v>
      </c>
      <c r="BA44" s="487">
        <f t="shared" si="47"/>
        <v>0</v>
      </c>
      <c r="BB44" s="487">
        <f t="shared" si="47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1037996.0856230179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44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1040390.9957999999</v>
      </c>
    </row>
    <row r="46" spans="1:64">
      <c r="C46" s="479" t="s">
        <v>148</v>
      </c>
      <c r="D46" s="480">
        <f t="shared" si="44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48">BH44</f>
        <v>191000</v>
      </c>
      <c r="BI46" s="526" t="str">
        <f t="shared" si="48"/>
        <v>GD</v>
      </c>
      <c r="BJ46" s="526" t="str">
        <f t="shared" si="48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49">SUM(G42:G46)</f>
        <v>122203.74560073584</v>
      </c>
      <c r="H47" s="539">
        <f t="shared" si="49"/>
        <v>121907.05607206978</v>
      </c>
      <c r="I47" s="539">
        <f t="shared" si="49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50">SUM(W42:W46)</f>
        <v>-1139196.8415066958</v>
      </c>
      <c r="X47" s="539">
        <f t="shared" si="50"/>
        <v>-927936.74257669575</v>
      </c>
      <c r="Y47" s="539">
        <f t="shared" si="50"/>
        <v>-767403.9580847763</v>
      </c>
      <c r="Z47" s="539">
        <f t="shared" si="50"/>
        <v>-685903.92338007619</v>
      </c>
      <c r="AA47" s="539">
        <f t="shared" si="50"/>
        <v>-623363.07088572613</v>
      </c>
      <c r="AB47" s="539">
        <f t="shared" si="50"/>
        <v>-564427.81872858922</v>
      </c>
      <c r="AC47" s="539">
        <f t="shared" si="50"/>
        <v>-496357.29729955469</v>
      </c>
      <c r="AD47" s="539">
        <f t="shared" si="50"/>
        <v>-416678.50147523766</v>
      </c>
      <c r="AE47" s="539">
        <f t="shared" si="50"/>
        <v>-299312.54063388787</v>
      </c>
      <c r="AF47" s="539">
        <f t="shared" si="50"/>
        <v>-1658528.5495927494</v>
      </c>
      <c r="AG47" s="539">
        <f t="shared" si="50"/>
        <v>-1317584.0800507434</v>
      </c>
      <c r="AH47" s="539">
        <f t="shared" si="50"/>
        <v>-983065.53286414407</v>
      </c>
      <c r="AI47" s="539">
        <f t="shared" si="50"/>
        <v>-731100.32081221836</v>
      </c>
      <c r="AJ47" s="539">
        <f t="shared" si="50"/>
        <v>-500233.0713481619</v>
      </c>
      <c r="AK47" s="539">
        <f t="shared" si="50"/>
        <v>-388052.25664285204</v>
      </c>
      <c r="AL47" s="539">
        <f t="shared" si="50"/>
        <v>-302311.59410241275</v>
      </c>
      <c r="AM47" s="539">
        <f t="shared" si="50"/>
        <v>-233827.69948376893</v>
      </c>
      <c r="AN47" s="539">
        <f t="shared" si="50"/>
        <v>-172084.16076408038</v>
      </c>
      <c r="AO47" s="539">
        <f t="shared" si="50"/>
        <v>-104004.25798317129</v>
      </c>
      <c r="AP47" s="539">
        <f t="shared" si="50"/>
        <v>-33400.491537082271</v>
      </c>
      <c r="AQ47" s="539">
        <f t="shared" si="50"/>
        <v>121534.67583500767</v>
      </c>
      <c r="AR47" s="539">
        <f t="shared" si="50"/>
        <v>-6302479.3101892965</v>
      </c>
      <c r="AS47" s="539">
        <f>SUM(AS42:AS46)</f>
        <v>-4876312.2000311213</v>
      </c>
      <c r="AT47" s="539">
        <f t="shared" ref="AT47:BD47" si="51">SUM(AT42:AT46)</f>
        <v>-3394087.7102784473</v>
      </c>
      <c r="AU47" s="539">
        <f t="shared" si="51"/>
        <v>-2356091.6246554293</v>
      </c>
      <c r="AV47" s="539">
        <f t="shared" si="51"/>
        <v>-2081126.2506754294</v>
      </c>
      <c r="AW47" s="539">
        <f t="shared" si="51"/>
        <v>-1888260.2797954294</v>
      </c>
      <c r="AX47" s="539">
        <f t="shared" si="51"/>
        <v>-1775450.4213154295</v>
      </c>
      <c r="AY47" s="539">
        <f t="shared" si="51"/>
        <v>-1702160.4807454294</v>
      </c>
      <c r="AZ47" s="539">
        <f t="shared" si="51"/>
        <v>-1644194.5600954294</v>
      </c>
      <c r="BA47" s="539">
        <f t="shared" si="51"/>
        <v>-1576642.3417354294</v>
      </c>
      <c r="BB47" s="539">
        <f t="shared" si="51"/>
        <v>-1506664.8461254293</v>
      </c>
      <c r="BC47" s="539">
        <f t="shared" si="51"/>
        <v>-1312532.0752054292</v>
      </c>
      <c r="BD47" s="539">
        <f t="shared" si="51"/>
        <v>-7730962.6952054296</v>
      </c>
      <c r="BE47" s="539">
        <f>SUM(BE42:BE46)</f>
        <v>-6300139.6952054296</v>
      </c>
      <c r="BG47" s="499" t="str">
        <f>BG46</f>
        <v>Large Customer Refund</v>
      </c>
      <c r="BH47" s="527">
        <f t="shared" si="48"/>
        <v>805110</v>
      </c>
      <c r="BI47" s="527" t="str">
        <f t="shared" si="48"/>
        <v>GD</v>
      </c>
      <c r="BJ47" s="527" t="str">
        <f t="shared" si="48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_xll.Get_Balance(AV40,"YTD","USD","Total","A","","001",$A$40,"GD","ID","DL")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52">F47-F48</f>
        <v>2.2137390881653118E-2</v>
      </c>
      <c r="G49" s="480">
        <f t="shared" si="52"/>
        <v>90.56560073584842</v>
      </c>
      <c r="H49" s="480">
        <f t="shared" si="52"/>
        <v>90.646072069779621</v>
      </c>
      <c r="I49" s="480">
        <f t="shared" si="52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AR49" si="53">W47-W48</f>
        <v>-1.506695756688714E-3</v>
      </c>
      <c r="X49" s="480">
        <f t="shared" si="53"/>
        <v>-2.5766957551240921E-3</v>
      </c>
      <c r="Y49" s="480">
        <f t="shared" si="53"/>
        <v>1.9152236636728048E-3</v>
      </c>
      <c r="Z49" s="480">
        <f t="shared" si="53"/>
        <v>-3.3800761448219419E-3</v>
      </c>
      <c r="AA49" s="480">
        <f t="shared" si="53"/>
        <v>-8.8572618551552296E-4</v>
      </c>
      <c r="AB49" s="480">
        <f t="shared" si="53"/>
        <v>1.2714107288047671E-3</v>
      </c>
      <c r="AC49" s="480">
        <f t="shared" si="53"/>
        <v>2.7004453004337847E-3</v>
      </c>
      <c r="AD49" s="480">
        <f t="shared" si="53"/>
        <v>-1.4752376591786742E-3</v>
      </c>
      <c r="AE49" s="480">
        <f t="shared" si="53"/>
        <v>-6.3388788839802146E-4</v>
      </c>
      <c r="AF49" s="480">
        <f t="shared" si="53"/>
        <v>4.0725059807300568E-4</v>
      </c>
      <c r="AG49" s="480">
        <f t="shared" si="53"/>
        <v>-5.0743343308568001E-5</v>
      </c>
      <c r="AH49" s="480">
        <f>AH47-AH48</f>
        <v>-2.8641440439969301E-3</v>
      </c>
      <c r="AI49" s="480">
        <f t="shared" si="53"/>
        <v>-8.1221840810030699E-4</v>
      </c>
      <c r="AJ49" s="480">
        <f t="shared" si="53"/>
        <v>-1.3481618952937424E-3</v>
      </c>
      <c r="AK49" s="480">
        <f t="shared" si="53"/>
        <v>-6.6428520367480814E-3</v>
      </c>
      <c r="AL49" s="480">
        <f t="shared" si="53"/>
        <v>-4.1024127276614308E-3</v>
      </c>
      <c r="AM49" s="480">
        <f t="shared" si="53"/>
        <v>5.1623108447529376E-4</v>
      </c>
      <c r="AN49" s="480">
        <f t="shared" si="53"/>
        <v>-7.6408038148656487E-4</v>
      </c>
      <c r="AO49" s="480">
        <f t="shared" si="53"/>
        <v>2.0168287010164931E-3</v>
      </c>
      <c r="AP49" s="480">
        <f t="shared" si="53"/>
        <v>-1.5370822729892097E-3</v>
      </c>
      <c r="AQ49" s="480">
        <f>AQ47-AQ48</f>
        <v>-4.1649923223303631E-3</v>
      </c>
      <c r="AR49" s="480">
        <f t="shared" si="53"/>
        <v>-1.892969012260437E-4</v>
      </c>
      <c r="AS49" s="480">
        <f>AS47-AS48</f>
        <v>-3.112107515335083E-5</v>
      </c>
      <c r="AT49" s="480">
        <f t="shared" ref="AT49:BB49" si="54">AT47-AT48</f>
        <v>-2.7844728901982307E-4</v>
      </c>
      <c r="AU49" s="480">
        <f t="shared" si="54"/>
        <v>-4.6554291620850563E-3</v>
      </c>
      <c r="AV49" s="480">
        <f t="shared" si="54"/>
        <v>-614901.28067542939</v>
      </c>
      <c r="AW49" s="480">
        <f t="shared" si="54"/>
        <v>-1046360.1097954294</v>
      </c>
      <c r="AX49" s="480">
        <f t="shared" si="54"/>
        <v>-1298739.1813154295</v>
      </c>
      <c r="AY49" s="480">
        <f t="shared" si="54"/>
        <v>-1462762.5407454295</v>
      </c>
      <c r="AZ49" s="480">
        <f t="shared" si="54"/>
        <v>-1592605.3400954294</v>
      </c>
      <c r="BA49" s="480">
        <f t="shared" si="54"/>
        <v>-1744110.8017354293</v>
      </c>
      <c r="BB49" s="480">
        <f t="shared" si="54"/>
        <v>-1901239.7461254294</v>
      </c>
      <c r="BC49" s="480">
        <f>BC47-BC48</f>
        <v>-1707106.9752054294</v>
      </c>
      <c r="BD49" s="480">
        <f t="shared" ref="BD49" si="55">BD47-BD48</f>
        <v>-8125537.5952054299</v>
      </c>
      <c r="BE49" s="480">
        <f>BE47-BE48</f>
        <v>-6300139.6952054296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:AG51" si="56">V51+1</f>
        <v>201502</v>
      </c>
      <c r="X51" s="482">
        <f t="shared" si="56"/>
        <v>201503</v>
      </c>
      <c r="Y51" s="482">
        <f t="shared" si="56"/>
        <v>201504</v>
      </c>
      <c r="Z51" s="482">
        <f t="shared" si="56"/>
        <v>201505</v>
      </c>
      <c r="AA51" s="482">
        <f t="shared" si="56"/>
        <v>201506</v>
      </c>
      <c r="AB51" s="482">
        <f t="shared" si="56"/>
        <v>201507</v>
      </c>
      <c r="AC51" s="482">
        <f t="shared" si="56"/>
        <v>201508</v>
      </c>
      <c r="AD51" s="482">
        <f t="shared" si="56"/>
        <v>201509</v>
      </c>
      <c r="AE51" s="482">
        <f t="shared" si="56"/>
        <v>201510</v>
      </c>
      <c r="AF51" s="482">
        <f t="shared" si="56"/>
        <v>201511</v>
      </c>
      <c r="AG51" s="482">
        <f t="shared" si="56"/>
        <v>201512</v>
      </c>
      <c r="AH51" s="482">
        <v>201601</v>
      </c>
      <c r="AI51" s="482">
        <f>AH51+1</f>
        <v>201602</v>
      </c>
      <c r="AJ51" s="482">
        <f t="shared" ref="AJ51:AS51" si="57">AI51+1</f>
        <v>201603</v>
      </c>
      <c r="AK51" s="482">
        <f t="shared" si="57"/>
        <v>201604</v>
      </c>
      <c r="AL51" s="482">
        <f t="shared" si="57"/>
        <v>201605</v>
      </c>
      <c r="AM51" s="482">
        <f t="shared" si="57"/>
        <v>201606</v>
      </c>
      <c r="AN51" s="482">
        <f t="shared" si="57"/>
        <v>201607</v>
      </c>
      <c r="AO51" s="482">
        <f t="shared" si="57"/>
        <v>201608</v>
      </c>
      <c r="AP51" s="482">
        <f t="shared" si="57"/>
        <v>201609</v>
      </c>
      <c r="AQ51" s="482">
        <f t="shared" si="57"/>
        <v>201610</v>
      </c>
      <c r="AR51" s="482">
        <f t="shared" si="57"/>
        <v>201611</v>
      </c>
      <c r="AS51" s="482">
        <f t="shared" si="57"/>
        <v>201612</v>
      </c>
      <c r="AT51" s="482">
        <f>AT3</f>
        <v>201701</v>
      </c>
      <c r="AU51" s="482">
        <f>AT51+1</f>
        <v>201702</v>
      </c>
      <c r="AV51" s="482">
        <f t="shared" ref="AV51:BE51" si="58">AU51+1</f>
        <v>201703</v>
      </c>
      <c r="AW51" s="482">
        <f t="shared" si="58"/>
        <v>201704</v>
      </c>
      <c r="AX51" s="482">
        <f t="shared" si="58"/>
        <v>201705</v>
      </c>
      <c r="AY51" s="482">
        <f t="shared" si="58"/>
        <v>201706</v>
      </c>
      <c r="AZ51" s="482">
        <f t="shared" si="58"/>
        <v>201707</v>
      </c>
      <c r="BA51" s="482">
        <f t="shared" si="58"/>
        <v>201708</v>
      </c>
      <c r="BB51" s="482">
        <f t="shared" si="58"/>
        <v>201709</v>
      </c>
      <c r="BC51" s="482">
        <f t="shared" si="58"/>
        <v>201710</v>
      </c>
      <c r="BD51" s="482">
        <f t="shared" si="58"/>
        <v>201711</v>
      </c>
      <c r="BE51" s="482">
        <f t="shared" si="58"/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621">
        <f>Feb!$K36</f>
        <v>8205105</v>
      </c>
      <c r="AV52" s="489">
        <f>Mar!$K36</f>
        <v>7018804</v>
      </c>
      <c r="AW52" s="489">
        <f>Apr!$K36</f>
        <v>4807641</v>
      </c>
      <c r="AX52" s="489">
        <f>May!$K36</f>
        <v>2613793</v>
      </c>
      <c r="AY52" s="489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59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621">
        <f>Feb!$K37</f>
        <v>2972280</v>
      </c>
      <c r="AV53" s="489">
        <f>Mar!$K37</f>
        <v>2558534</v>
      </c>
      <c r="AW53" s="489">
        <f>Apr!$K37</f>
        <v>1910087</v>
      </c>
      <c r="AX53" s="489">
        <f>May!$K37</f>
        <v>1315495</v>
      </c>
      <c r="AY53" s="489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59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621">
        <f>Feb!$K38</f>
        <v>10876</v>
      </c>
      <c r="AV54" s="489">
        <f>Mar!$K38</f>
        <v>2902</v>
      </c>
      <c r="AW54" s="489">
        <f>Apr!$K38</f>
        <v>7675</v>
      </c>
      <c r="AX54" s="489">
        <f>May!$K38</f>
        <v>29168</v>
      </c>
      <c r="AY54" s="489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59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621">
        <f>Feb!$K39</f>
        <v>0</v>
      </c>
      <c r="AV55" s="489">
        <f>Mar!$K39</f>
        <v>0</v>
      </c>
      <c r="AW55" s="489">
        <f>Apr!$K39</f>
        <v>0</v>
      </c>
      <c r="AX55" s="489">
        <f>May!$K39</f>
        <v>0</v>
      </c>
      <c r="AY55" s="489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59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621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59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621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59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621">
        <f>Feb!$K42</f>
        <v>0</v>
      </c>
      <c r="AV58" s="489">
        <f>Mar!$K42</f>
        <v>0</v>
      </c>
      <c r="AW58" s="489">
        <f>Apr!$K42</f>
        <v>0</v>
      </c>
      <c r="AX58" s="489">
        <f>May!$K42</f>
        <v>0</v>
      </c>
      <c r="AY58" s="489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60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59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61">SUM(H52:H59)</f>
        <v>9560411</v>
      </c>
      <c r="I60" s="540">
        <f t="shared" si="61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BA60" si="62">SUM(V52:V59)</f>
        <v>11853389</v>
      </c>
      <c r="W60" s="540">
        <f t="shared" si="62"/>
        <v>7975879</v>
      </c>
      <c r="X60" s="540">
        <f t="shared" si="62"/>
        <v>7051984</v>
      </c>
      <c r="Y60" s="540">
        <f t="shared" si="62"/>
        <v>5286030</v>
      </c>
      <c r="Z60" s="540">
        <f t="shared" si="62"/>
        <v>2733897</v>
      </c>
      <c r="AA60" s="540">
        <f t="shared" si="62"/>
        <v>2096440</v>
      </c>
      <c r="AB60" s="540">
        <f t="shared" si="62"/>
        <v>1982316</v>
      </c>
      <c r="AC60" s="540">
        <f t="shared" si="62"/>
        <v>2300576</v>
      </c>
      <c r="AD60" s="540">
        <f t="shared" si="62"/>
        <v>2659390</v>
      </c>
      <c r="AE60" s="540">
        <f t="shared" si="62"/>
        <v>3938193</v>
      </c>
      <c r="AF60" s="540">
        <f t="shared" si="62"/>
        <v>9651342</v>
      </c>
      <c r="AG60" s="540">
        <f t="shared" si="62"/>
        <v>11926102</v>
      </c>
      <c r="AH60" s="540">
        <f>SUM(AH52:AH59)</f>
        <v>11687768</v>
      </c>
      <c r="AI60" s="540">
        <f t="shared" si="62"/>
        <v>8803437</v>
      </c>
      <c r="AJ60" s="540">
        <f t="shared" si="62"/>
        <v>8059448</v>
      </c>
      <c r="AK60" s="540">
        <f t="shared" si="62"/>
        <v>3932071</v>
      </c>
      <c r="AL60" s="540">
        <f t="shared" si="62"/>
        <v>3024022</v>
      </c>
      <c r="AM60" s="540">
        <f t="shared" si="62"/>
        <v>2420319</v>
      </c>
      <c r="AN60" s="540">
        <f t="shared" si="62"/>
        <v>2230031</v>
      </c>
      <c r="AO60" s="540">
        <f t="shared" si="62"/>
        <v>2423944</v>
      </c>
      <c r="AP60" s="540">
        <f>SUM(AP52:AP59)</f>
        <v>2496864</v>
      </c>
      <c r="AQ60" s="540">
        <f>SUM(AQ52:AQ59)</f>
        <v>5410298</v>
      </c>
      <c r="AR60" s="540">
        <f t="shared" si="62"/>
        <v>7791802</v>
      </c>
      <c r="AS60" s="540">
        <f t="shared" si="62"/>
        <v>15447189</v>
      </c>
      <c r="AT60" s="540">
        <f t="shared" si="62"/>
        <v>15965877</v>
      </c>
      <c r="AU60" s="540">
        <f t="shared" si="62"/>
        <v>11188261</v>
      </c>
      <c r="AV60" s="540">
        <f t="shared" si="62"/>
        <v>9580240</v>
      </c>
      <c r="AW60" s="540">
        <f t="shared" si="62"/>
        <v>6725403</v>
      </c>
      <c r="AX60" s="540">
        <f t="shared" si="62"/>
        <v>3958456</v>
      </c>
      <c r="AY60" s="540">
        <f t="shared" si="62"/>
        <v>2608260</v>
      </c>
      <c r="AZ60" s="540">
        <f t="shared" si="62"/>
        <v>2089849</v>
      </c>
      <c r="BA60" s="540">
        <f t="shared" si="6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63">SUM(BD52:BD59)</f>
        <v>7791802</v>
      </c>
      <c r="BE60" s="540">
        <f t="shared" si="6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8803437</v>
      </c>
      <c r="AV61" s="562">
        <v>8059448</v>
      </c>
      <c r="AW61" s="562">
        <v>3932071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:AG63" si="64">V63+1</f>
        <v>201502</v>
      </c>
      <c r="X63" s="482">
        <f t="shared" si="64"/>
        <v>201503</v>
      </c>
      <c r="Y63" s="482">
        <f t="shared" si="64"/>
        <v>201504</v>
      </c>
      <c r="Z63" s="482">
        <f t="shared" si="64"/>
        <v>201505</v>
      </c>
      <c r="AA63" s="482">
        <f t="shared" si="64"/>
        <v>201506</v>
      </c>
      <c r="AB63" s="482">
        <f t="shared" si="64"/>
        <v>201507</v>
      </c>
      <c r="AC63" s="482">
        <f t="shared" si="64"/>
        <v>201508</v>
      </c>
      <c r="AD63" s="482">
        <f t="shared" si="64"/>
        <v>201509</v>
      </c>
      <c r="AE63" s="482">
        <f t="shared" si="64"/>
        <v>201510</v>
      </c>
      <c r="AF63" s="482">
        <f t="shared" si="64"/>
        <v>201511</v>
      </c>
      <c r="AG63" s="482">
        <f t="shared" si="64"/>
        <v>201512</v>
      </c>
      <c r="AH63" s="482">
        <v>201601</v>
      </c>
      <c r="AI63" s="482">
        <f>AH63+1</f>
        <v>201602</v>
      </c>
      <c r="AJ63" s="482">
        <f t="shared" ref="AJ63:AS63" si="65">AI63+1</f>
        <v>201603</v>
      </c>
      <c r="AK63" s="482">
        <f t="shared" si="65"/>
        <v>201604</v>
      </c>
      <c r="AL63" s="482">
        <f t="shared" si="65"/>
        <v>201605</v>
      </c>
      <c r="AM63" s="482">
        <f t="shared" si="65"/>
        <v>201606</v>
      </c>
      <c r="AN63" s="482">
        <f t="shared" si="65"/>
        <v>201607</v>
      </c>
      <c r="AO63" s="482">
        <f t="shared" si="65"/>
        <v>201608</v>
      </c>
      <c r="AP63" s="482">
        <f t="shared" si="65"/>
        <v>201609</v>
      </c>
      <c r="AQ63" s="482">
        <f t="shared" si="65"/>
        <v>201610</v>
      </c>
      <c r="AR63" s="482">
        <f t="shared" si="65"/>
        <v>201611</v>
      </c>
      <c r="AS63" s="482">
        <f t="shared" si="65"/>
        <v>201612</v>
      </c>
      <c r="AT63" s="482">
        <f>AT3</f>
        <v>201701</v>
      </c>
      <c r="AU63" s="482">
        <f>AT63+1</f>
        <v>201702</v>
      </c>
      <c r="AV63" s="482">
        <f t="shared" ref="AV63:BE63" si="66">AU63+1</f>
        <v>201703</v>
      </c>
      <c r="AW63" s="482">
        <f t="shared" si="66"/>
        <v>201704</v>
      </c>
      <c r="AX63" s="482">
        <f t="shared" si="66"/>
        <v>201705</v>
      </c>
      <c r="AY63" s="482">
        <f t="shared" si="66"/>
        <v>201706</v>
      </c>
      <c r="AZ63" s="482">
        <f t="shared" si="66"/>
        <v>201707</v>
      </c>
      <c r="BA63" s="482">
        <f t="shared" si="66"/>
        <v>201708</v>
      </c>
      <c r="BB63" s="482">
        <f t="shared" si="66"/>
        <v>201709</v>
      </c>
      <c r="BC63" s="482">
        <f t="shared" si="66"/>
        <v>201710</v>
      </c>
      <c r="BD63" s="482">
        <f t="shared" si="66"/>
        <v>201711</v>
      </c>
      <c r="BE63" s="482">
        <f t="shared" si="66"/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8">
        <v>0</v>
      </c>
      <c r="AV64" s="613">
        <v>0</v>
      </c>
      <c r="AW64" s="613">
        <v>0</v>
      </c>
      <c r="AX64" s="613">
        <v>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8">
        <v>0</v>
      </c>
      <c r="AV65" s="613">
        <v>0</v>
      </c>
      <c r="AW65" s="613">
        <v>0</v>
      </c>
      <c r="AX65" s="613">
        <v>0</v>
      </c>
      <c r="AY65" s="613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8">
        <v>0</v>
      </c>
      <c r="AV66" s="613">
        <v>0</v>
      </c>
      <c r="AW66" s="613">
        <v>0</v>
      </c>
      <c r="AX66" s="613">
        <v>0</v>
      </c>
      <c r="AY66" s="613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8">
        <v>0</v>
      </c>
      <c r="AV67" s="613">
        <v>0</v>
      </c>
      <c r="AW67" s="613">
        <v>0</v>
      </c>
      <c r="AX67" s="613">
        <v>0</v>
      </c>
      <c r="AY67" s="613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8"/>
      <c r="AV68" s="613"/>
      <c r="AW68" s="613"/>
      <c r="AX68" s="613"/>
      <c r="AY68" s="613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8"/>
      <c r="AV69" s="613"/>
      <c r="AW69" s="613"/>
      <c r="AX69" s="613"/>
      <c r="AY69" s="613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8">
        <v>0</v>
      </c>
      <c r="AV70" s="613">
        <v>0</v>
      </c>
      <c r="AW70" s="613">
        <v>0</v>
      </c>
      <c r="AX70" s="613">
        <v>0</v>
      </c>
      <c r="AY70" s="613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:AG73" si="67">V73+1</f>
        <v>201502</v>
      </c>
      <c r="X73" s="482">
        <f t="shared" si="67"/>
        <v>201503</v>
      </c>
      <c r="Y73" s="482">
        <f t="shared" si="67"/>
        <v>201504</v>
      </c>
      <c r="Z73" s="482">
        <f t="shared" si="67"/>
        <v>201505</v>
      </c>
      <c r="AA73" s="482">
        <f t="shared" si="67"/>
        <v>201506</v>
      </c>
      <c r="AB73" s="482">
        <f t="shared" si="67"/>
        <v>201507</v>
      </c>
      <c r="AC73" s="482">
        <f t="shared" si="67"/>
        <v>201508</v>
      </c>
      <c r="AD73" s="482">
        <f t="shared" si="67"/>
        <v>201509</v>
      </c>
      <c r="AE73" s="482">
        <f t="shared" si="67"/>
        <v>201510</v>
      </c>
      <c r="AF73" s="482">
        <f t="shared" si="67"/>
        <v>201511</v>
      </c>
      <c r="AG73" s="482">
        <f t="shared" si="67"/>
        <v>201512</v>
      </c>
      <c r="AH73" s="482">
        <v>201601</v>
      </c>
      <c r="AI73" s="482">
        <f>AH73+1</f>
        <v>201602</v>
      </c>
      <c r="AJ73" s="482">
        <f t="shared" ref="AJ73:AS73" si="68">AI73+1</f>
        <v>201603</v>
      </c>
      <c r="AK73" s="482">
        <f t="shared" si="68"/>
        <v>201604</v>
      </c>
      <c r="AL73" s="482">
        <f t="shared" si="68"/>
        <v>201605</v>
      </c>
      <c r="AM73" s="482">
        <f t="shared" si="68"/>
        <v>201606</v>
      </c>
      <c r="AN73" s="482">
        <f t="shared" si="68"/>
        <v>201607</v>
      </c>
      <c r="AO73" s="587">
        <f t="shared" si="68"/>
        <v>201608</v>
      </c>
      <c r="AP73" s="482">
        <f t="shared" si="68"/>
        <v>201609</v>
      </c>
      <c r="AQ73" s="482">
        <f t="shared" si="68"/>
        <v>201610</v>
      </c>
      <c r="AR73" s="482">
        <f t="shared" si="68"/>
        <v>201611</v>
      </c>
      <c r="AS73" s="482">
        <f t="shared" si="68"/>
        <v>201612</v>
      </c>
      <c r="AT73" s="482">
        <f>AT3</f>
        <v>201701</v>
      </c>
      <c r="AU73" s="482">
        <f>AT73+1</f>
        <v>201702</v>
      </c>
      <c r="AV73" s="482">
        <f t="shared" ref="AV73:BE73" si="69">AU73+1</f>
        <v>201703</v>
      </c>
      <c r="AW73" s="482">
        <f t="shared" si="69"/>
        <v>201704</v>
      </c>
      <c r="AX73" s="482">
        <f t="shared" si="69"/>
        <v>201705</v>
      </c>
      <c r="AY73" s="482">
        <f t="shared" si="69"/>
        <v>201706</v>
      </c>
      <c r="AZ73" s="482">
        <f t="shared" si="69"/>
        <v>201707</v>
      </c>
      <c r="BA73" s="587">
        <f t="shared" si="69"/>
        <v>201708</v>
      </c>
      <c r="BB73" s="482">
        <f t="shared" si="69"/>
        <v>201709</v>
      </c>
      <c r="BC73" s="482">
        <f t="shared" si="69"/>
        <v>201710</v>
      </c>
      <c r="BD73" s="482">
        <f t="shared" si="69"/>
        <v>201711</v>
      </c>
      <c r="BE73" s="482">
        <f t="shared" si="69"/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617">
        <v>0.01</v>
      </c>
      <c r="AV74" s="486"/>
      <c r="AW74" s="486"/>
      <c r="AX74" s="486"/>
      <c r="AY74" s="486"/>
      <c r="AZ74" s="486"/>
      <c r="BA74" s="586"/>
      <c r="BB74" s="486"/>
      <c r="BC74" s="486"/>
      <c r="BD74" s="486"/>
      <c r="BE74" s="486"/>
      <c r="BF74" s="577"/>
      <c r="BG74" s="511">
        <f>BG4</f>
        <v>201702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70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:AM75" si="71">AB79</f>
        <v>-11951.205399782522</v>
      </c>
      <c r="AD75" s="480">
        <f t="shared" si="71"/>
        <v>-11961.164737615674</v>
      </c>
      <c r="AE75" s="480">
        <f t="shared" si="71"/>
        <v>-11971.132374897021</v>
      </c>
      <c r="AF75" s="480">
        <f t="shared" si="71"/>
        <v>-11981.108318542769</v>
      </c>
      <c r="AG75" s="480">
        <f t="shared" si="71"/>
        <v>-11991.092575474888</v>
      </c>
      <c r="AH75" s="480">
        <f t="shared" si="71"/>
        <v>-12001.085152621117</v>
      </c>
      <c r="AI75" s="480">
        <f t="shared" si="71"/>
        <v>-12011.086056914968</v>
      </c>
      <c r="AJ75" s="480">
        <f t="shared" si="71"/>
        <v>-12021.09529529573</v>
      </c>
      <c r="AK75" s="480">
        <f t="shared" si="71"/>
        <v>-12031.112874708477</v>
      </c>
      <c r="AL75" s="480">
        <f t="shared" si="71"/>
        <v>-12041.138802104068</v>
      </c>
      <c r="AM75" s="480">
        <f t="shared" si="71"/>
        <v>-12051.173084439155</v>
      </c>
      <c r="AN75" s="480">
        <f>AM79</f>
        <v>-12061.215728676189</v>
      </c>
      <c r="AO75" s="480">
        <f t="shared" ref="AO75:AP75" si="72">AN79</f>
        <v>-12071.266741783418</v>
      </c>
      <c r="AP75" s="480">
        <f t="shared" si="72"/>
        <v>-12081.326130734904</v>
      </c>
      <c r="AQ75" s="480">
        <f>AP79</f>
        <v>-12091.393902510516</v>
      </c>
      <c r="AR75" s="480">
        <f t="shared" ref="AR75:AS75" si="73">AQ79</f>
        <v>-12101.470064095942</v>
      </c>
      <c r="AS75" s="480">
        <f t="shared" si="73"/>
        <v>-12111.554622482689</v>
      </c>
      <c r="AT75" s="480">
        <f>AS79</f>
        <v>-12121.647584668091</v>
      </c>
      <c r="AU75" s="480">
        <f>AT79</f>
        <v>-12131.748957655314</v>
      </c>
      <c r="AV75" s="480">
        <f t="shared" ref="AV75:AY75" si="74">AU79</f>
        <v>-12141.85874845336</v>
      </c>
      <c r="AW75" s="480">
        <f t="shared" si="74"/>
        <v>-12141.85874845336</v>
      </c>
      <c r="AX75" s="480">
        <f t="shared" si="74"/>
        <v>-12141.85874845336</v>
      </c>
      <c r="AY75" s="480">
        <f t="shared" si="74"/>
        <v>-12141.85874845336</v>
      </c>
      <c r="AZ75" s="480">
        <f>AY79</f>
        <v>-12141.85874845336</v>
      </c>
      <c r="BA75" s="480">
        <f t="shared" ref="BA75:BB75" si="75">AZ79</f>
        <v>-12141.85874845336</v>
      </c>
      <c r="BB75" s="480">
        <f t="shared" si="75"/>
        <v>-12141.85874845336</v>
      </c>
      <c r="BC75" s="480">
        <f>BB79</f>
        <v>-12141.85874845336</v>
      </c>
      <c r="BD75" s="480">
        <f t="shared" ref="BD75:BE75" si="76">BC79</f>
        <v>-12141.85874845336</v>
      </c>
      <c r="BE75" s="480">
        <f t="shared" si="76"/>
        <v>-12141.85874845336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77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10.109790798046095</v>
      </c>
      <c r="BL76" s="498">
        <v>0</v>
      </c>
    </row>
    <row r="77" spans="1:64">
      <c r="C77" s="479" t="s">
        <v>4</v>
      </c>
      <c r="D77" s="480">
        <f t="shared" ref="D77:D78" si="78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79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79"/>
        <v>-9.9593378331521034</v>
      </c>
      <c r="AD77" s="487">
        <f t="shared" si="79"/>
        <v>-9.9676372813463967</v>
      </c>
      <c r="AE77" s="487">
        <f t="shared" si="79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Q77" si="80">((AH75*(AH74/12))+((AH76/2)*(AH74/12)))</f>
        <v>-10.000904293850931</v>
      </c>
      <c r="AI77" s="487">
        <f t="shared" si="80"/>
        <v>-10.009238380762474</v>
      </c>
      <c r="AJ77" s="487">
        <f t="shared" si="80"/>
        <v>-10.017579412746443</v>
      </c>
      <c r="AK77" s="487">
        <f t="shared" si="80"/>
        <v>-10.025927395590397</v>
      </c>
      <c r="AL77" s="487">
        <f t="shared" si="80"/>
        <v>-10.034282335086724</v>
      </c>
      <c r="AM77" s="487">
        <f t="shared" si="80"/>
        <v>-10.042644237032629</v>
      </c>
      <c r="AN77" s="487">
        <f t="shared" si="80"/>
        <v>-10.051013107230158</v>
      </c>
      <c r="AO77" s="487">
        <f t="shared" si="80"/>
        <v>-10.059388951486183</v>
      </c>
      <c r="AP77" s="487">
        <f>((AP75*(AP74/12))+((AP76/2)*(AP74/12)))</f>
        <v>-10.067771775612421</v>
      </c>
      <c r="AQ77" s="487">
        <f t="shared" si="80"/>
        <v>-10.07616158542543</v>
      </c>
      <c r="AR77" s="487">
        <f>((AR75*(AR74/12))+((AR76/2)*(AR74/12)))</f>
        <v>-10.084558386746618</v>
      </c>
      <c r="AS77" s="487">
        <f>((AS75*(AS74/12))+((AS76/2)*(AS74/12)))</f>
        <v>-10.092962185402241</v>
      </c>
      <c r="AT77" s="487">
        <f>((AT75*(AT74/12))+((AT76/2)*(AT74/12)))</f>
        <v>-10.10137298722341</v>
      </c>
      <c r="AU77" s="487">
        <f>((AU75*(AU74/12))+((AU76/2)*(AU74/12)))</f>
        <v>-10.109790798046095</v>
      </c>
      <c r="AV77" s="487">
        <f t="shared" ref="AV77:BC77" si="81">((AV75*(AV74/12))+((AV76/2)*(AV74/12)))</f>
        <v>0</v>
      </c>
      <c r="AW77" s="487">
        <f t="shared" si="81"/>
        <v>0</v>
      </c>
      <c r="AX77" s="487">
        <f t="shared" si="81"/>
        <v>0</v>
      </c>
      <c r="AY77" s="487">
        <f t="shared" si="81"/>
        <v>0</v>
      </c>
      <c r="AZ77" s="487">
        <f t="shared" si="81"/>
        <v>0</v>
      </c>
      <c r="BA77" s="487">
        <f t="shared" si="81"/>
        <v>0</v>
      </c>
      <c r="BB77" s="487">
        <f t="shared" si="81"/>
        <v>0</v>
      </c>
      <c r="BC77" s="487">
        <f t="shared" si="81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10.109790798046095</v>
      </c>
    </row>
    <row r="78" spans="1:64">
      <c r="C78" s="479" t="s">
        <v>148</v>
      </c>
      <c r="D78" s="480">
        <f t="shared" si="78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82">SUM(W75:W78)</f>
        <v>-11901.532960675278</v>
      </c>
      <c r="X79" s="539">
        <f t="shared" si="82"/>
        <v>-11911.450904809175</v>
      </c>
      <c r="Y79" s="539">
        <f t="shared" si="82"/>
        <v>-11921.377113896517</v>
      </c>
      <c r="Z79" s="539">
        <f t="shared" si="82"/>
        <v>-11931.311594824763</v>
      </c>
      <c r="AA79" s="539">
        <f t="shared" si="82"/>
        <v>-11941.254354487117</v>
      </c>
      <c r="AB79" s="539">
        <f t="shared" si="82"/>
        <v>-11951.205399782522</v>
      </c>
      <c r="AC79" s="539">
        <f t="shared" si="82"/>
        <v>-11961.164737615674</v>
      </c>
      <c r="AD79" s="539">
        <f t="shared" si="82"/>
        <v>-11971.132374897021</v>
      </c>
      <c r="AE79" s="539">
        <f t="shared" si="82"/>
        <v>-11981.108318542769</v>
      </c>
      <c r="AF79" s="539">
        <f t="shared" si="82"/>
        <v>-11991.092575474888</v>
      </c>
      <c r="AG79" s="539">
        <f t="shared" si="82"/>
        <v>-12001.085152621117</v>
      </c>
      <c r="AH79" s="539">
        <f t="shared" si="82"/>
        <v>-12011.086056914968</v>
      </c>
      <c r="AI79" s="539">
        <f t="shared" si="82"/>
        <v>-12021.09529529573</v>
      </c>
      <c r="AJ79" s="539">
        <f t="shared" si="82"/>
        <v>-12031.112874708477</v>
      </c>
      <c r="AK79" s="539">
        <f t="shared" si="82"/>
        <v>-12041.138802104068</v>
      </c>
      <c r="AL79" s="539">
        <f t="shared" si="82"/>
        <v>-12051.173084439155</v>
      </c>
      <c r="AM79" s="539">
        <f t="shared" si="82"/>
        <v>-12061.215728676189</v>
      </c>
      <c r="AN79" s="539">
        <f t="shared" si="82"/>
        <v>-12071.266741783418</v>
      </c>
      <c r="AO79" s="539">
        <f t="shared" si="82"/>
        <v>-12081.326130734904</v>
      </c>
      <c r="AP79" s="539">
        <f t="shared" si="82"/>
        <v>-12091.393902510516</v>
      </c>
      <c r="AQ79" s="539">
        <f t="shared" si="82"/>
        <v>-12101.470064095942</v>
      </c>
      <c r="AR79" s="539">
        <f t="shared" si="82"/>
        <v>-12111.554622482689</v>
      </c>
      <c r="AS79" s="539">
        <f>SUM(AS75:AS78)</f>
        <v>-12121.647584668091</v>
      </c>
      <c r="AT79" s="539">
        <f t="shared" ref="AT79:BD79" si="83">SUM(AT75:AT78)</f>
        <v>-12131.748957655314</v>
      </c>
      <c r="AU79" s="539">
        <f t="shared" si="83"/>
        <v>-12141.85874845336</v>
      </c>
      <c r="AV79" s="539">
        <f t="shared" si="83"/>
        <v>-12141.85874845336</v>
      </c>
      <c r="AW79" s="539">
        <f t="shared" si="83"/>
        <v>-12141.85874845336</v>
      </c>
      <c r="AX79" s="539">
        <f t="shared" si="83"/>
        <v>-12141.85874845336</v>
      </c>
      <c r="AY79" s="539">
        <f t="shared" si="83"/>
        <v>-12141.85874845336</v>
      </c>
      <c r="AZ79" s="539">
        <f t="shared" si="83"/>
        <v>-12141.85874845336</v>
      </c>
      <c r="BA79" s="539">
        <f t="shared" si="83"/>
        <v>-12141.85874845336</v>
      </c>
      <c r="BB79" s="539">
        <f t="shared" si="83"/>
        <v>-12141.85874845336</v>
      </c>
      <c r="BC79" s="539">
        <f t="shared" si="83"/>
        <v>-12141.85874845336</v>
      </c>
      <c r="BD79" s="539">
        <f t="shared" si="83"/>
        <v>-12141.85874845336</v>
      </c>
      <c r="BE79" s="539">
        <f>SUM(BE75:BE78)</f>
        <v>-12141.85874845336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BE81" si="84">W79-W80</f>
        <v>1.7039324720826698E-2</v>
      </c>
      <c r="X81" s="480">
        <f t="shared" si="84"/>
        <v>1.9095190824373276E-2</v>
      </c>
      <c r="Y81" s="480">
        <f t="shared" si="84"/>
        <v>2.2886103482960607E-2</v>
      </c>
      <c r="Z81" s="480">
        <f t="shared" si="84"/>
        <v>1.8405175236694049E-2</v>
      </c>
      <c r="AA81" s="480">
        <f t="shared" si="84"/>
        <v>1.5645512883565971E-2</v>
      </c>
      <c r="AB81" s="480">
        <f t="shared" si="84"/>
        <v>1.4600217476981925E-2</v>
      </c>
      <c r="AC81" s="480">
        <f t="shared" si="84"/>
        <v>1.5262384325978928E-2</v>
      </c>
      <c r="AD81" s="480">
        <f t="shared" si="84"/>
        <v>1.7625102978854557E-2</v>
      </c>
      <c r="AE81" s="480">
        <f t="shared" si="84"/>
        <v>2.1681457230442902E-2</v>
      </c>
      <c r="AF81" s="480">
        <f t="shared" si="84"/>
        <v>1.7424525112801348E-2</v>
      </c>
      <c r="AG81" s="480">
        <f t="shared" si="84"/>
        <v>1.4847378883132478E-2</v>
      </c>
      <c r="AH81" s="480">
        <f t="shared" si="84"/>
        <v>1.3943085032224189E-2</v>
      </c>
      <c r="AI81" s="480">
        <f t="shared" si="84"/>
        <v>1.4704704270116054E-2</v>
      </c>
      <c r="AJ81" s="480">
        <f t="shared" si="84"/>
        <v>1.7125291522461339E-2</v>
      </c>
      <c r="AK81" s="480">
        <f t="shared" si="84"/>
        <v>2.1197895932346E-2</v>
      </c>
      <c r="AL81" s="480">
        <f t="shared" si="84"/>
        <v>1.6915560845518485E-2</v>
      </c>
      <c r="AM81" s="480">
        <f t="shared" si="84"/>
        <v>1.4271323811044567E-2</v>
      </c>
      <c r="AN81" s="480">
        <f t="shared" si="84"/>
        <v>1.3258216582471505E-2</v>
      </c>
      <c r="AO81" s="480">
        <f t="shared" si="84"/>
        <v>1.3869265096218442E-2</v>
      </c>
      <c r="AP81" s="480">
        <f t="shared" si="84"/>
        <v>1.6097489484309335E-2</v>
      </c>
      <c r="AQ81" s="480">
        <f t="shared" si="84"/>
        <v>1.9935904058002052E-2</v>
      </c>
      <c r="AR81" s="480">
        <f t="shared" si="84"/>
        <v>1.5377517311208067E-2</v>
      </c>
      <c r="AS81" s="480">
        <f t="shared" si="84"/>
        <v>1.2415331908414373E-2</v>
      </c>
      <c r="AT81" s="480">
        <f t="shared" si="84"/>
        <v>1.1042344685847638E-2</v>
      </c>
      <c r="AU81" s="480">
        <f t="shared" si="84"/>
        <v>1.1251546640778542E-2</v>
      </c>
      <c r="AV81" s="480">
        <f t="shared" si="84"/>
        <v>10.13125154663976</v>
      </c>
      <c r="AW81" s="480">
        <f t="shared" si="84"/>
        <v>20.261251546640779</v>
      </c>
      <c r="AX81" s="480">
        <f t="shared" si="84"/>
        <v>30.401251546640196</v>
      </c>
      <c r="AY81" s="480">
        <f t="shared" si="84"/>
        <v>40.541251546639614</v>
      </c>
      <c r="AZ81" s="480">
        <f t="shared" si="84"/>
        <v>50.691251546639251</v>
      </c>
      <c r="BA81" s="480">
        <f t="shared" si="84"/>
        <v>60.851251546639105</v>
      </c>
      <c r="BB81" s="480">
        <f t="shared" si="84"/>
        <v>71.021251546639178</v>
      </c>
      <c r="BC81" s="480">
        <f t="shared" si="84"/>
        <v>71.021251546639178</v>
      </c>
      <c r="BD81" s="480">
        <f t="shared" si="84"/>
        <v>71.021251546639178</v>
      </c>
      <c r="BE81" s="480">
        <f t="shared" si="84"/>
        <v>-12141.85874845336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31:BK36"/>
    <mergeCell ref="BG67:BL72"/>
    <mergeCell ref="BG84:BL89"/>
  </mergeCells>
  <conditionalFormatting sqref="F28">
    <cfRule type="cellIs" dxfId="252" priority="26" operator="notEqual">
      <formula>F27</formula>
    </cfRule>
  </conditionalFormatting>
  <conditionalFormatting sqref="G28">
    <cfRule type="cellIs" dxfId="251" priority="25" operator="notEqual">
      <formula>G27</formula>
    </cfRule>
  </conditionalFormatting>
  <conditionalFormatting sqref="H28">
    <cfRule type="cellIs" dxfId="250" priority="24" operator="notEqual">
      <formula>H27</formula>
    </cfRule>
  </conditionalFormatting>
  <conditionalFormatting sqref="I28">
    <cfRule type="cellIs" dxfId="249" priority="23" operator="notEqual">
      <formula>I27</formula>
    </cfRule>
  </conditionalFormatting>
  <conditionalFormatting sqref="D28">
    <cfRule type="cellIs" dxfId="248" priority="22" operator="notEqual">
      <formula>D27</formula>
    </cfRule>
  </conditionalFormatting>
  <conditionalFormatting sqref="G61">
    <cfRule type="cellIs" dxfId="247" priority="21" operator="notEqual">
      <formula>G60</formula>
    </cfRule>
  </conditionalFormatting>
  <conditionalFormatting sqref="H61">
    <cfRule type="cellIs" dxfId="246" priority="20" operator="notEqual">
      <formula>H60</formula>
    </cfRule>
  </conditionalFormatting>
  <conditionalFormatting sqref="I61">
    <cfRule type="cellIs" dxfId="245" priority="19" operator="notEqual">
      <formula>I60</formula>
    </cfRule>
  </conditionalFormatting>
  <conditionalFormatting sqref="D61">
    <cfRule type="cellIs" dxfId="244" priority="18" operator="notEqual">
      <formula>D60</formula>
    </cfRule>
  </conditionalFormatting>
  <conditionalFormatting sqref="J61">
    <cfRule type="cellIs" dxfId="243" priority="17" operator="notEqual">
      <formula>J60</formula>
    </cfRule>
  </conditionalFormatting>
  <conditionalFormatting sqref="BL81 BL48 BL11">
    <cfRule type="cellIs" dxfId="242" priority="16" operator="notEqual">
      <formula>0</formula>
    </cfRule>
  </conditionalFormatting>
  <conditionalFormatting sqref="J28">
    <cfRule type="cellIs" dxfId="241" priority="15" operator="notEqual">
      <formula>J27</formula>
    </cfRule>
  </conditionalFormatting>
  <conditionalFormatting sqref="K28">
    <cfRule type="cellIs" dxfId="240" priority="14" operator="notEqual">
      <formula>K27</formula>
    </cfRule>
  </conditionalFormatting>
  <conditionalFormatting sqref="K61">
    <cfRule type="cellIs" dxfId="239" priority="13" operator="notEqual">
      <formula>K60</formula>
    </cfRule>
  </conditionalFormatting>
  <conditionalFormatting sqref="L28">
    <cfRule type="cellIs" dxfId="238" priority="12" operator="notEqual">
      <formula>L27</formula>
    </cfRule>
  </conditionalFormatting>
  <conditionalFormatting sqref="L61">
    <cfRule type="cellIs" dxfId="237" priority="11" operator="notEqual">
      <formula>L60</formula>
    </cfRule>
  </conditionalFormatting>
  <conditionalFormatting sqref="M28:N28">
    <cfRule type="cellIs" dxfId="236" priority="10" operator="notEqual">
      <formula>M27</formula>
    </cfRule>
  </conditionalFormatting>
  <conditionalFormatting sqref="O28">
    <cfRule type="cellIs" dxfId="235" priority="9" operator="notEqual">
      <formula>O27</formula>
    </cfRule>
  </conditionalFormatting>
  <conditionalFormatting sqref="V61">
    <cfRule type="cellIs" dxfId="234" priority="8" operator="notEqual">
      <formula>V60</formula>
    </cfRule>
  </conditionalFormatting>
  <conditionalFormatting sqref="V28:W28">
    <cfRule type="cellIs" dxfId="233" priority="7" operator="notEqual">
      <formula>V27</formula>
    </cfRule>
  </conditionalFormatting>
  <conditionalFormatting sqref="W28">
    <cfRule type="cellIs" dxfId="232" priority="6" operator="notEqual">
      <formula>W27</formula>
    </cfRule>
  </conditionalFormatting>
  <conditionalFormatting sqref="W61">
    <cfRule type="cellIs" dxfId="231" priority="5" operator="notEqual">
      <formula>W60</formula>
    </cfRule>
  </conditionalFormatting>
  <conditionalFormatting sqref="X28">
    <cfRule type="cellIs" dxfId="230" priority="4" operator="notEqual">
      <formula>X27</formula>
    </cfRule>
  </conditionalFormatting>
  <conditionalFormatting sqref="X61">
    <cfRule type="cellIs" dxfId="229" priority="3" operator="notEqual">
      <formula>X60</formula>
    </cfRule>
  </conditionalFormatting>
  <conditionalFormatting sqref="Y28:Z28">
    <cfRule type="cellIs" dxfId="228" priority="2" operator="notEqual">
      <formula>Y27</formula>
    </cfRule>
  </conditionalFormatting>
  <conditionalFormatting sqref="AA28">
    <cfRule type="cellIs" dxfId="227" priority="1" operator="notEqual">
      <formula>AA27</formula>
    </cfRule>
  </conditionalFormatting>
  <pageMargins left="0" right="0" top="0.75" bottom="0.75" header="0.3" footer="0.3"/>
  <pageSetup scale="49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K84"/>
  <sheetViews>
    <sheetView showGridLines="0" zoomScale="70" zoomScaleNormal="70" zoomScaleSheetLayoutView="85" workbookViewId="0">
      <pane xSplit="2" ySplit="3" topLeftCell="AK4" activePane="bottomRight" state="frozen"/>
      <selection activeCell="AV20" sqref="AV20"/>
      <selection pane="topRight" activeCell="AV20" sqref="AV20"/>
      <selection pane="bottomLeft" activeCell="AV20" sqref="AV20"/>
      <selection pane="bottomRight" activeCell="AV20" sqref="AV20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6.28515625" style="480" customWidth="1"/>
    <col min="5" max="5" width="15.5703125" style="480" customWidth="1"/>
    <col min="6" max="6" width="18.28515625" style="480" customWidth="1"/>
    <col min="7" max="7" width="16.28515625" style="480" customWidth="1"/>
    <col min="8" max="9" width="19.85546875" style="480" customWidth="1"/>
    <col min="10" max="10" width="16.28515625" style="480" customWidth="1"/>
    <col min="11" max="11" width="21.5703125" style="480" customWidth="1"/>
    <col min="12" max="20" width="16.28515625" style="480" customWidth="1"/>
    <col min="21" max="21" width="19.85546875" style="480" customWidth="1"/>
    <col min="22" max="22" width="16.28515625" style="480" customWidth="1"/>
    <col min="23" max="23" width="21.5703125" style="480" customWidth="1"/>
    <col min="24" max="34" width="16.28515625" style="480" customWidth="1"/>
    <col min="35" max="35" width="17.42578125" style="480" customWidth="1"/>
    <col min="36" max="36" width="15.5703125" style="480" customWidth="1"/>
    <col min="37" max="41" width="17.42578125" style="480" customWidth="1"/>
    <col min="42" max="42" width="16.28515625" style="480" customWidth="1"/>
    <col min="43" max="43" width="18.140625" style="480" customWidth="1"/>
    <col min="44" max="44" width="17.7109375" style="480" customWidth="1"/>
    <col min="45" max="45" width="16.28515625" style="480" customWidth="1"/>
    <col min="46" max="46" width="16.28515625" style="480" hidden="1" customWidth="1" outlineLevel="1"/>
    <col min="47" max="47" width="17.42578125" style="480" hidden="1" customWidth="1" outlineLevel="1"/>
    <col min="48" max="48" width="15.5703125" style="480" hidden="1" customWidth="1" outlineLevel="1"/>
    <col min="49" max="53" width="17.42578125" style="480" hidden="1" customWidth="1" outlineLevel="1"/>
    <col min="54" max="54" width="16.28515625" style="480" hidden="1" customWidth="1" outlineLevel="1"/>
    <col min="55" max="55" width="18.140625" style="480" hidden="1" customWidth="1" outlineLevel="1"/>
    <col min="56" max="56" width="17.7109375" style="480" hidden="1" customWidth="1" outlineLevel="1"/>
    <col min="57" max="57" width="3.42578125" style="560" customWidth="1" collapsed="1"/>
    <col min="58" max="58" width="31.85546875" style="480" customWidth="1"/>
    <col min="59" max="59" width="14.42578125" style="523" bestFit="1" customWidth="1"/>
    <col min="60" max="60" width="4.7109375" style="480" bestFit="1" customWidth="1"/>
    <col min="61" max="61" width="5" style="480" bestFit="1" customWidth="1"/>
    <col min="62" max="62" width="18.28515625" style="480" customWidth="1"/>
    <col min="63" max="63" width="17.140625" style="480" bestFit="1" customWidth="1"/>
    <col min="64" max="64" width="0.42578125" style="480" customWidth="1"/>
    <col min="65" max="16384" width="9.140625" style="480"/>
  </cols>
  <sheetData>
    <row r="1" spans="1:63">
      <c r="A1" s="478" t="s">
        <v>262</v>
      </c>
      <c r="BF1" s="478" t="s">
        <v>312</v>
      </c>
    </row>
    <row r="2" spans="1:63">
      <c r="A2" s="481" t="s">
        <v>263</v>
      </c>
    </row>
    <row r="3" spans="1:63" s="481" customFormat="1" ht="32.25" thickBot="1">
      <c r="A3" s="482">
        <v>191010</v>
      </c>
      <c r="B3" s="483" t="s">
        <v>253</v>
      </c>
      <c r="C3" s="484" t="s">
        <v>248</v>
      </c>
      <c r="D3" s="485" t="s">
        <v>258</v>
      </c>
      <c r="E3" s="482">
        <v>201309</v>
      </c>
      <c r="F3" s="482">
        <f>E3+1</f>
        <v>201310</v>
      </c>
      <c r="G3" s="482">
        <f>F3+1</f>
        <v>201311</v>
      </c>
      <c r="H3" s="482">
        <f>G3+1</f>
        <v>201312</v>
      </c>
      <c r="I3" s="482">
        <v>201401</v>
      </c>
      <c r="J3" s="482">
        <v>201402</v>
      </c>
      <c r="K3" s="482">
        <v>201403</v>
      </c>
      <c r="L3" s="482">
        <v>201404</v>
      </c>
      <c r="M3" s="482">
        <v>201405</v>
      </c>
      <c r="N3" s="482">
        <v>201406</v>
      </c>
      <c r="O3" s="482">
        <v>201407</v>
      </c>
      <c r="P3" s="482">
        <v>201408</v>
      </c>
      <c r="Q3" s="482">
        <v>201409</v>
      </c>
      <c r="R3" s="482">
        <v>201410</v>
      </c>
      <c r="S3" s="482">
        <v>201411</v>
      </c>
      <c r="T3" s="482">
        <v>201412</v>
      </c>
      <c r="U3" s="482">
        <v>201501</v>
      </c>
      <c r="V3" s="482">
        <f t="shared" ref="V3:AD3" si="0">U3+1</f>
        <v>201502</v>
      </c>
      <c r="W3" s="482">
        <f t="shared" si="0"/>
        <v>201503</v>
      </c>
      <c r="X3" s="482">
        <f t="shared" si="0"/>
        <v>201504</v>
      </c>
      <c r="Y3" s="482">
        <f t="shared" si="0"/>
        <v>201505</v>
      </c>
      <c r="Z3" s="482">
        <f t="shared" si="0"/>
        <v>201506</v>
      </c>
      <c r="AA3" s="482">
        <f t="shared" si="0"/>
        <v>201507</v>
      </c>
      <c r="AB3" s="482">
        <f t="shared" si="0"/>
        <v>201508</v>
      </c>
      <c r="AC3" s="482">
        <f t="shared" si="0"/>
        <v>201509</v>
      </c>
      <c r="AD3" s="482">
        <f t="shared" si="0"/>
        <v>201510</v>
      </c>
      <c r="AE3" s="482">
        <f>AD3+1</f>
        <v>201511</v>
      </c>
      <c r="AF3" s="482">
        <f>AE3+1</f>
        <v>201512</v>
      </c>
      <c r="AG3" s="482">
        <v>201601</v>
      </c>
      <c r="AH3" s="482">
        <f>AG3+1</f>
        <v>201602</v>
      </c>
      <c r="AI3" s="482">
        <f t="shared" ref="AI3:AQ3" si="1">AH3+1</f>
        <v>201603</v>
      </c>
      <c r="AJ3" s="482">
        <f t="shared" si="1"/>
        <v>201604</v>
      </c>
      <c r="AK3" s="482">
        <f t="shared" si="1"/>
        <v>201605</v>
      </c>
      <c r="AL3" s="482">
        <f t="shared" si="1"/>
        <v>201606</v>
      </c>
      <c r="AM3" s="482">
        <f>AL3+1</f>
        <v>201607</v>
      </c>
      <c r="AN3" s="482">
        <f t="shared" si="1"/>
        <v>201608</v>
      </c>
      <c r="AO3" s="482">
        <f t="shared" si="1"/>
        <v>201609</v>
      </c>
      <c r="AP3" s="482">
        <f t="shared" si="1"/>
        <v>201610</v>
      </c>
      <c r="AQ3" s="482">
        <f t="shared" si="1"/>
        <v>201611</v>
      </c>
      <c r="AR3" s="482">
        <f>AQ3+1</f>
        <v>201612</v>
      </c>
      <c r="AS3" s="482">
        <v>201701</v>
      </c>
      <c r="AT3" s="482">
        <f>AS3+1</f>
        <v>201702</v>
      </c>
      <c r="AU3" s="482">
        <f t="shared" ref="AU3:AX3" si="2">AT3+1</f>
        <v>201703</v>
      </c>
      <c r="AV3" s="482">
        <f t="shared" si="2"/>
        <v>201704</v>
      </c>
      <c r="AW3" s="482">
        <f t="shared" si="2"/>
        <v>201705</v>
      </c>
      <c r="AX3" s="482">
        <f t="shared" si="2"/>
        <v>201706</v>
      </c>
      <c r="AY3" s="482">
        <f>AX3+1</f>
        <v>201707</v>
      </c>
      <c r="AZ3" s="482">
        <f t="shared" ref="AZ3:BC3" si="3">AY3+1</f>
        <v>201708</v>
      </c>
      <c r="BA3" s="482">
        <f t="shared" si="3"/>
        <v>201709</v>
      </c>
      <c r="BB3" s="482">
        <f t="shared" si="3"/>
        <v>201710</v>
      </c>
      <c r="BC3" s="482">
        <f t="shared" si="3"/>
        <v>201711</v>
      </c>
      <c r="BD3" s="482">
        <f>BC3+1</f>
        <v>201712</v>
      </c>
      <c r="BE3" s="577"/>
      <c r="BG3" s="482"/>
    </row>
    <row r="4" spans="1:63" s="481" customFormat="1" ht="16.5" thickBot="1">
      <c r="B4" s="483" t="s">
        <v>254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3.2500000000000001E-2</v>
      </c>
      <c r="I4" s="486">
        <v>3.2500000000000001E-2</v>
      </c>
      <c r="J4" s="486">
        <v>3.2500000000000001E-2</v>
      </c>
      <c r="K4" s="486">
        <v>3.2500000000000001E-2</v>
      </c>
      <c r="L4" s="486">
        <v>3.2500000000000001E-2</v>
      </c>
      <c r="M4" s="486">
        <v>3.2500000000000001E-2</v>
      </c>
      <c r="N4" s="486">
        <v>3.2500000000000001E-2</v>
      </c>
      <c r="O4" s="486">
        <v>3.2500000000000001E-2</v>
      </c>
      <c r="P4" s="486">
        <v>3.2500000000000001E-2</v>
      </c>
      <c r="Q4" s="486">
        <v>3.2500000000000001E-2</v>
      </c>
      <c r="R4" s="486">
        <v>3.2500000000000001E-2</v>
      </c>
      <c r="S4" s="486">
        <v>3.2500000000000001E-2</v>
      </c>
      <c r="T4" s="486">
        <v>3.2500000000000001E-2</v>
      </c>
      <c r="U4" s="486">
        <v>3.2500000000000001E-2</v>
      </c>
      <c r="V4" s="486">
        <v>3.2500000000000001E-2</v>
      </c>
      <c r="W4" s="486">
        <v>3.2500000000000001E-2</v>
      </c>
      <c r="X4" s="486">
        <v>3.2500000000000001E-2</v>
      </c>
      <c r="Y4" s="486">
        <v>3.2500000000000001E-2</v>
      </c>
      <c r="Z4" s="486">
        <v>3.2500000000000001E-2</v>
      </c>
      <c r="AA4" s="486">
        <v>3.2500000000000001E-2</v>
      </c>
      <c r="AB4" s="486">
        <v>3.2500000000000001E-2</v>
      </c>
      <c r="AC4" s="486">
        <v>3.2500000000000001E-2</v>
      </c>
      <c r="AD4" s="486">
        <v>3.2500000000000001E-2</v>
      </c>
      <c r="AE4" s="486">
        <v>3.2500000000000001E-2</v>
      </c>
      <c r="AF4" s="486">
        <v>3.2500000000000001E-2</v>
      </c>
      <c r="AG4" s="486">
        <v>3.2500000000000001E-2</v>
      </c>
      <c r="AH4" s="486">
        <v>3.2500000000000001E-2</v>
      </c>
      <c r="AI4" s="486">
        <v>3.2500000000000001E-2</v>
      </c>
      <c r="AJ4" s="486">
        <v>3.4599999999999999E-2</v>
      </c>
      <c r="AK4" s="486">
        <v>3.4599999999999999E-2</v>
      </c>
      <c r="AL4" s="486">
        <v>3.4599999999999999E-2</v>
      </c>
      <c r="AM4" s="486">
        <v>3.5000000000000003E-2</v>
      </c>
      <c r="AN4" s="586">
        <v>3.5000000000000003E-2</v>
      </c>
      <c r="AO4" s="486">
        <v>3.5000000000000003E-2</v>
      </c>
      <c r="AP4" s="486">
        <v>3.5000000000000003E-2</v>
      </c>
      <c r="AQ4" s="486">
        <v>3.5000000000000003E-2</v>
      </c>
      <c r="AR4" s="486">
        <v>3.5000000000000003E-2</v>
      </c>
      <c r="AS4" s="617">
        <v>3.5000000000000003E-2</v>
      </c>
      <c r="AT4" s="486"/>
      <c r="AU4" s="486"/>
      <c r="AV4" s="486"/>
      <c r="AW4" s="486"/>
      <c r="AX4" s="486"/>
      <c r="AY4" s="486"/>
      <c r="AZ4" s="586"/>
      <c r="BA4" s="486"/>
      <c r="BB4" s="486"/>
      <c r="BC4" s="486"/>
      <c r="BD4" s="486"/>
      <c r="BE4" s="577"/>
      <c r="BF4" s="542">
        <v>201701</v>
      </c>
      <c r="BG4" s="524"/>
      <c r="BH4" s="512"/>
      <c r="BI4" s="512"/>
      <c r="BJ4" s="512"/>
      <c r="BK4" s="513"/>
    </row>
    <row r="5" spans="1:63">
      <c r="B5" s="479" t="s">
        <v>250</v>
      </c>
      <c r="E5" s="480">
        <v>2497021.39</v>
      </c>
      <c r="F5" s="480">
        <f>E13</f>
        <v>2712780.2600000002</v>
      </c>
      <c r="G5" s="480">
        <f>F13</f>
        <v>2255013.9900000002</v>
      </c>
      <c r="H5" s="480">
        <f>G13</f>
        <v>-33498.738666789999</v>
      </c>
      <c r="I5" s="480">
        <v>-4220307.8686667895</v>
      </c>
      <c r="J5" s="480">
        <v>-4984433.4563877899</v>
      </c>
      <c r="K5" s="480">
        <v>-5871867.3473837869</v>
      </c>
      <c r="L5" s="480">
        <v>-5287493.0298517896</v>
      </c>
      <c r="M5" s="480">
        <v>-4882582.0171147902</v>
      </c>
      <c r="N5" s="480">
        <v>-4072260.114518791</v>
      </c>
      <c r="O5" s="480">
        <v>-3063910.5457287901</v>
      </c>
      <c r="P5" s="480">
        <v>-1998209.0562817894</v>
      </c>
      <c r="Q5" s="480">
        <v>-1241540.0398927876</v>
      </c>
      <c r="R5" s="480">
        <v>-752741.83775978826</v>
      </c>
      <c r="S5" s="480">
        <v>-587853.14358878916</v>
      </c>
      <c r="T5" s="480">
        <v>1779828.4686352164</v>
      </c>
      <c r="U5" s="480">
        <v>-165690.83250377711</v>
      </c>
      <c r="V5" s="480">
        <v>-1154882.2995837801</v>
      </c>
      <c r="W5" s="480">
        <v>-1694440.0214187815</v>
      </c>
      <c r="X5" s="480">
        <v>-683405.33395377884</v>
      </c>
      <c r="Y5" s="480">
        <v>-2769396.4708657796</v>
      </c>
      <c r="Z5" s="480">
        <v>-2940906.6891037785</v>
      </c>
      <c r="AA5" s="480">
        <v>-3112721.2246137792</v>
      </c>
      <c r="AB5" s="480">
        <v>-3464489.8670317773</v>
      </c>
      <c r="AC5" s="480">
        <v>-3555298.2266717753</v>
      </c>
      <c r="AD5" s="480">
        <v>-4755858.0107337767</v>
      </c>
      <c r="AE5" s="480">
        <v>-5900360.3440987766</v>
      </c>
      <c r="AF5" s="480">
        <f>AE13</f>
        <v>-4407824.1695987741</v>
      </c>
      <c r="AG5" s="480">
        <f t="shared" ref="AG5:AR5" si="4">AF13</f>
        <v>-6508323.8685397729</v>
      </c>
      <c r="AH5" s="480">
        <f t="shared" si="4"/>
        <v>-8439847.1132167727</v>
      </c>
      <c r="AI5" s="480">
        <f t="shared" si="4"/>
        <v>-9264796.9494047705</v>
      </c>
      <c r="AJ5" s="480">
        <f t="shared" si="4"/>
        <v>-10398819.535470769</v>
      </c>
      <c r="AK5" s="480">
        <f t="shared" si="4"/>
        <v>-12153304.785960769</v>
      </c>
      <c r="AL5" s="480">
        <f t="shared" si="4"/>
        <v>-12778894.072104771</v>
      </c>
      <c r="AM5" s="480">
        <f>AL13</f>
        <v>-14182183.944992768</v>
      </c>
      <c r="AN5" s="480">
        <f t="shared" si="4"/>
        <v>-15130761.40771677</v>
      </c>
      <c r="AO5" s="480">
        <f>AN13</f>
        <v>-15660034.00335677</v>
      </c>
      <c r="AP5" s="480">
        <f t="shared" si="4"/>
        <v>-16306032.832939774</v>
      </c>
      <c r="AQ5" s="480">
        <f>AP13</f>
        <v>-16534597.329101773</v>
      </c>
      <c r="AR5" s="480">
        <f t="shared" si="4"/>
        <v>-3075004.5709557864</v>
      </c>
      <c r="AS5" s="480">
        <f>AR13</f>
        <v>-6818269.0378097855</v>
      </c>
      <c r="AT5" s="480">
        <f t="shared" ref="AT5:AX5" si="5">AS13</f>
        <v>-10248016.525328787</v>
      </c>
      <c r="AU5" s="480">
        <f t="shared" si="5"/>
        <v>-12305786.231237786</v>
      </c>
      <c r="AV5" s="480">
        <f t="shared" si="5"/>
        <v>-13919135.511666788</v>
      </c>
      <c r="AW5" s="480">
        <f t="shared" si="5"/>
        <v>-15057207.019781789</v>
      </c>
      <c r="AX5" s="480">
        <f t="shared" si="5"/>
        <v>-14935150.002345789</v>
      </c>
      <c r="AY5" s="480">
        <f>AX13</f>
        <v>-14562108.73731979</v>
      </c>
      <c r="AZ5" s="480">
        <f t="shared" ref="AZ5" si="6">AY13</f>
        <v>-15650163.872550789</v>
      </c>
      <c r="BA5" s="480">
        <f>AZ13</f>
        <v>-16663485.837435788</v>
      </c>
      <c r="BB5" s="480">
        <f t="shared" ref="BB5" si="7">BA13</f>
        <v>-18589428.948894788</v>
      </c>
      <c r="BC5" s="480">
        <f>BB13</f>
        <v>-21510274.593472786</v>
      </c>
      <c r="BD5" s="480">
        <f t="shared" ref="BD5" si="8">BC13</f>
        <v>-7662853.1729997825</v>
      </c>
      <c r="BF5" s="495" t="s">
        <v>291</v>
      </c>
      <c r="BG5" s="525">
        <v>419600</v>
      </c>
      <c r="BH5" s="496" t="s">
        <v>285</v>
      </c>
      <c r="BI5" s="496" t="s">
        <v>286</v>
      </c>
      <c r="BJ5" s="517">
        <v>0</v>
      </c>
      <c r="BK5" s="518">
        <f>IF(SUMIF(AG3:BD3,BF4,AG8:BD8)&gt;0,SUMIF(AG3:BD3,BF4,AG8:BD8),0)</f>
        <v>0</v>
      </c>
    </row>
    <row r="6" spans="1:63">
      <c r="B6" s="479" t="s">
        <v>328</v>
      </c>
      <c r="C6" s="480">
        <f t="shared" ref="C6:C12" si="9">SUM(AG6:AR6)</f>
        <v>-13172077.178500999</v>
      </c>
      <c r="D6" s="480">
        <f>-2523837.34+SUM(E6:AF6,E9:AE9)</f>
        <v>-7550270.0734567707</v>
      </c>
      <c r="E6" s="480">
        <v>-814688.69</v>
      </c>
      <c r="F6" s="480">
        <v>-726195.14</v>
      </c>
      <c r="G6" s="480">
        <v>-363626.87</v>
      </c>
      <c r="H6" s="480">
        <v>-1349424.41</v>
      </c>
      <c r="I6" s="480">
        <v>780719.13050599955</v>
      </c>
      <c r="J6" s="480">
        <v>666007.07733000256</v>
      </c>
      <c r="K6" s="480">
        <v>1165260.4529029969</v>
      </c>
      <c r="L6" s="480">
        <v>286815.84260799922</v>
      </c>
      <c r="M6" s="480">
        <v>-9385.0491200005636</v>
      </c>
      <c r="N6" s="480">
        <v>26985.713581000688</v>
      </c>
      <c r="O6" s="480">
        <v>-21317.404686999042</v>
      </c>
      <c r="P6" s="480">
        <v>-349090.61823999789</v>
      </c>
      <c r="Q6" s="480">
        <v>-532274.93525400059</v>
      </c>
      <c r="R6" s="480">
        <v>-727764.02710000053</v>
      </c>
      <c r="S6" s="480">
        <v>-2016344.4799999939</v>
      </c>
      <c r="T6" s="480">
        <v>-533760.94830399379</v>
      </c>
      <c r="U6" s="480">
        <v>688681.53940400109</v>
      </c>
      <c r="V6" s="480">
        <v>188634.08427399769</v>
      </c>
      <c r="W6" s="480">
        <v>1135107.4385570027</v>
      </c>
      <c r="X6" s="480">
        <v>-2310603.7085020011</v>
      </c>
      <c r="Y6" s="480">
        <v>-1026688.9535339989</v>
      </c>
      <c r="Z6" s="480">
        <v>-1511176.335440001</v>
      </c>
      <c r="AA6" s="591">
        <v>-1483614.197077998</v>
      </c>
      <c r="AB6" s="591">
        <v>-1288286.6270379988</v>
      </c>
      <c r="AC6" s="591">
        <v>-2088616.5970920017</v>
      </c>
      <c r="AD6" s="591">
        <v>-1862270.5500129997</v>
      </c>
      <c r="AE6" s="591">
        <v>-294955.25549999811</v>
      </c>
      <c r="AF6" s="591">
        <v>-532526.84243099857</v>
      </c>
      <c r="AG6" s="591">
        <v>-173856.58066100068</v>
      </c>
      <c r="AH6" s="591">
        <v>105835.91384800058</v>
      </c>
      <c r="AI6" s="591">
        <v>-604740.2805199977</v>
      </c>
      <c r="AJ6" s="591">
        <v>-2253526.4287800011</v>
      </c>
      <c r="AK6" s="591">
        <v>-1368171.1781060011</v>
      </c>
      <c r="AL6" s="591">
        <v>-2304890.4720699973</v>
      </c>
      <c r="AM6" s="480">
        <v>-1924994.8295020012</v>
      </c>
      <c r="AN6" s="480">
        <v>-1510253.5672820001</v>
      </c>
      <c r="AO6" s="480">
        <v>-1421303.766953001</v>
      </c>
      <c r="AP6" s="480">
        <v>-389419.70859999908</v>
      </c>
      <c r="AQ6" s="558">
        <f>Nov!$H$55</f>
        <v>-192874.3790970007</v>
      </c>
      <c r="AR6" s="480">
        <f>Dec!$H$55</f>
        <v>-1133881.9007779993</v>
      </c>
      <c r="AS6" s="558">
        <f>Jan!$H$55</f>
        <v>-491376.17008000147</v>
      </c>
      <c r="AT6" s="558">
        <f>Feb!$H$55</f>
        <v>-201411.09328799881</v>
      </c>
      <c r="AU6" s="558">
        <f>Mar!$H$55</f>
        <v>-696753.01067200163</v>
      </c>
      <c r="AV6" s="558">
        <f>Apr!$H$55</f>
        <v>-912928.80422000168</v>
      </c>
      <c r="AW6" s="558">
        <f>May!$H$55</f>
        <v>-482101.19766700035</v>
      </c>
      <c r="AX6" s="558">
        <f>Jun!$H$55</f>
        <v>-580245.48787200102</v>
      </c>
      <c r="AY6" s="558">
        <f>Jul!$H$55</f>
        <v>-2217856.2503400007</v>
      </c>
      <c r="AZ6" s="558">
        <f>Aug!$H$55</f>
        <v>-2108794.2989039999</v>
      </c>
      <c r="BA6" s="558">
        <f>Sep!$H$55</f>
        <v>-2779163.5886399997</v>
      </c>
      <c r="BB6" s="558">
        <f>Oct!$H$55</f>
        <v>-2935887.7038159985</v>
      </c>
      <c r="BC6" s="558">
        <f>Nov!$H$55</f>
        <v>-192874.3790970007</v>
      </c>
      <c r="BD6" s="480">
        <f>Dec!$H$55</f>
        <v>-1133881.9007779993</v>
      </c>
      <c r="BF6" s="497" t="s">
        <v>292</v>
      </c>
      <c r="BG6" s="526">
        <v>431600</v>
      </c>
      <c r="BH6" s="356" t="s">
        <v>285</v>
      </c>
      <c r="BI6" s="356" t="s">
        <v>286</v>
      </c>
      <c r="BJ6" s="379">
        <f>IF(SUMIF(AG3:BD3,BF4,AG8:BD8)&lt;0,-SUMIF(AG3:BD3,BF4,AG8:BD8),0)</f>
        <v>24852.09</v>
      </c>
      <c r="BK6" s="498">
        <v>0</v>
      </c>
    </row>
    <row r="7" spans="1:63">
      <c r="B7" s="479" t="s">
        <v>252</v>
      </c>
      <c r="C7" s="480">
        <f t="shared" si="9"/>
        <v>-937925.71114799753</v>
      </c>
      <c r="D7" s="480">
        <f>5059705.37+SUM(E7:AF7,E10:AE10)</f>
        <v>1110916.7149170018</v>
      </c>
      <c r="E7" s="480">
        <v>1023402.16</v>
      </c>
      <c r="F7" s="480">
        <v>261710.75</v>
      </c>
      <c r="G7" s="480">
        <v>-780538.84</v>
      </c>
      <c r="H7" s="480">
        <v>-1676402.67</v>
      </c>
      <c r="I7" s="480">
        <v>-1532396.8182269996</v>
      </c>
      <c r="J7" s="480">
        <v>-1538759.6083259992</v>
      </c>
      <c r="K7" s="480">
        <v>-565794.93537099916</v>
      </c>
      <c r="L7" s="480">
        <v>131848.5201290003</v>
      </c>
      <c r="M7" s="480">
        <v>831816.90171599982</v>
      </c>
      <c r="N7" s="480">
        <v>991014.35520899994</v>
      </c>
      <c r="O7" s="480">
        <v>1093864.5741339996</v>
      </c>
      <c r="P7" s="480">
        <v>1110140.8646289995</v>
      </c>
      <c r="Q7" s="480">
        <v>1023770.0773869999</v>
      </c>
      <c r="R7" s="480">
        <v>894465.65127099957</v>
      </c>
      <c r="S7" s="480">
        <v>1314360.0922239996</v>
      </c>
      <c r="T7" s="480">
        <v>-1413941.2128349997</v>
      </c>
      <c r="U7" s="480">
        <v>-1606244.3564840001</v>
      </c>
      <c r="V7" s="480">
        <v>-724338.56610899908</v>
      </c>
      <c r="W7" s="480">
        <v>-120857.11109200004</v>
      </c>
      <c r="X7" s="480">
        <v>229663.83159000031</v>
      </c>
      <c r="Y7" s="480">
        <v>862900.97529599979</v>
      </c>
      <c r="Z7" s="480">
        <v>1347548.3399299998</v>
      </c>
      <c r="AA7" s="592">
        <v>1140740.15466</v>
      </c>
      <c r="AB7" s="592">
        <v>1206971.3773980001</v>
      </c>
      <c r="AC7" s="592">
        <v>899296.28302999982</v>
      </c>
      <c r="AD7" s="592">
        <v>732178.99664799974</v>
      </c>
      <c r="AE7" s="592">
        <v>-1315498.72</v>
      </c>
      <c r="AF7" s="592">
        <v>-1552771.3765099996</v>
      </c>
      <c r="AG7" s="592">
        <v>-1737451.7240159996</v>
      </c>
      <c r="AH7" s="592">
        <v>-906843.13003599993</v>
      </c>
      <c r="AI7" s="592">
        <v>-502690.50554600032</v>
      </c>
      <c r="AJ7" s="592">
        <v>531507.01829000015</v>
      </c>
      <c r="AK7" s="592">
        <v>778474.07196199952</v>
      </c>
      <c r="AL7" s="592">
        <v>940413.5291820009</v>
      </c>
      <c r="AM7" s="480">
        <v>1019103.1667780007</v>
      </c>
      <c r="AN7" s="480">
        <v>1025818.8216420002</v>
      </c>
      <c r="AO7" s="480">
        <v>821854.23736999987</v>
      </c>
      <c r="AP7" s="480">
        <v>208678.05243800068</v>
      </c>
      <c r="AQ7" s="558">
        <f>Nov!$I$55</f>
        <v>-521813.363136</v>
      </c>
      <c r="AR7" s="480">
        <f>Dec!$I$55</f>
        <v>-2594975.8860759991</v>
      </c>
      <c r="AS7" s="558">
        <f>Jan!$I$55</f>
        <v>-2913519.2274390003</v>
      </c>
      <c r="AT7" s="558">
        <f>Feb!$I$55</f>
        <v>-1856358.6126210007</v>
      </c>
      <c r="AU7" s="558">
        <f>Mar!$I$55</f>
        <v>-916596.2697570005</v>
      </c>
      <c r="AV7" s="558">
        <f>Apr!$I$55</f>
        <v>-225142.70389499958</v>
      </c>
      <c r="AW7" s="558">
        <f>May!$I$55</f>
        <v>604158.21510300005</v>
      </c>
      <c r="AX7" s="558">
        <f>Jun!$I$55</f>
        <v>953286.75289800053</v>
      </c>
      <c r="AY7" s="558">
        <f>Jul!$I$55</f>
        <v>1129801.1151090004</v>
      </c>
      <c r="AZ7" s="558">
        <f>Aug!$I$55</f>
        <v>1095472.3340190002</v>
      </c>
      <c r="BA7" s="558">
        <f>Sep!$I$55</f>
        <v>853220.47718099994</v>
      </c>
      <c r="BB7" s="558">
        <f>Oct!$I$55</f>
        <v>15042.059238000307</v>
      </c>
      <c r="BC7" s="558">
        <f>Nov!$I$55</f>
        <v>-521813.363136</v>
      </c>
      <c r="BD7" s="480">
        <f>Dec!$I$55</f>
        <v>-2594975.8860759991</v>
      </c>
      <c r="BF7" s="497" t="s">
        <v>293</v>
      </c>
      <c r="BG7" s="526">
        <v>191010</v>
      </c>
      <c r="BH7" s="356" t="s">
        <v>285</v>
      </c>
      <c r="BI7" s="356" t="s">
        <v>286</v>
      </c>
      <c r="BJ7" s="379">
        <f>IF((SUMIF(AG3:BD3,BF4,AG6:BD6)+SUMIF(AG3:BD3,BF4,AG7:BD7)+SUMIF(AG3:BD3,BF4,AG8:BD8))&gt;0,(SUMIF(AG3:BD3,BF4,AG6:BD6)+SUMIF(AG3:BD3,BF4,AG7:BD7)+SUMIF(AG3:BD3,BF4,AG8:BD8)),0)</f>
        <v>0</v>
      </c>
      <c r="BK7" s="498">
        <f>IF((SUMIF(AG3:BD3,BF4,AG6:BD6)+SUMIF(AG3:BD3,BF4,AG7:BD7)+SUMIF(AG3:BD3,BF4,AG8:BD8))&lt;0,-(SUMIF(AG3:BD3,BF4,AG6:BD6)+SUMIF(AG3:BD3,BF4,AG7:BD7)++SUMIF(AG3:BD3,BF4,AG8:BD8)),0)</f>
        <v>3429747.4875190016</v>
      </c>
    </row>
    <row r="8" spans="1:63">
      <c r="B8" s="479" t="s">
        <v>255</v>
      </c>
      <c r="C8" s="480">
        <f t="shared" si="9"/>
        <v>-382126.24</v>
      </c>
      <c r="D8" s="480">
        <f>-38846.64+SUM(E8:AF8,E11:AE11)+X12</f>
        <v>-68530.340000000011</v>
      </c>
      <c r="E8" s="480">
        <f>ROUND(((E5+E9+E10+E11)*(E4/12))+((SUM(E6:E7)/2)*(E4/12)),2)</f>
        <v>7045.4</v>
      </c>
      <c r="F8" s="480">
        <f>ROUND(((F5+F9+F10+F11)*(F4/12))+((SUM(F6:F7)/2)*(F4/12)),2)</f>
        <v>6718.12</v>
      </c>
      <c r="G8" s="480">
        <f>ROUND(((G5+G9+G10+G11)*(G4/12))+((SUM(G6:G7)/2)*(G4/12)),2)</f>
        <v>1454.73</v>
      </c>
      <c r="H8" s="535">
        <f t="shared" ref="H8" si="10">ROUND(((H5)*(H4/12))+((SUM(H6:H7)/2)*(H4/12)),2)</f>
        <v>-4188.2</v>
      </c>
      <c r="I8" s="487">
        <v>-12447.9</v>
      </c>
      <c r="J8" s="487">
        <v>-14681.36</v>
      </c>
      <c r="K8" s="487">
        <v>-15091.2</v>
      </c>
      <c r="L8" s="487">
        <v>-13753.35</v>
      </c>
      <c r="M8" s="487">
        <v>-12109.95</v>
      </c>
      <c r="N8" s="487">
        <v>-9650.5</v>
      </c>
      <c r="O8" s="487">
        <v>-6845.68</v>
      </c>
      <c r="P8" s="487">
        <v>-4381.2299999999996</v>
      </c>
      <c r="Q8" s="487">
        <v>-2696.94</v>
      </c>
      <c r="R8" s="487">
        <v>-1812.93</v>
      </c>
      <c r="S8" s="554">
        <v>5755.39</v>
      </c>
      <c r="T8" s="487">
        <v>2182.86</v>
      </c>
      <c r="U8" s="487">
        <v>-1691.28</v>
      </c>
      <c r="V8" s="487">
        <v>-3853.24</v>
      </c>
      <c r="W8" s="487">
        <v>-3215.64</v>
      </c>
      <c r="X8" s="487">
        <v>-4669.8599999999997</v>
      </c>
      <c r="Y8" s="487">
        <v>-7722.24</v>
      </c>
      <c r="Z8" s="487">
        <v>-8186.54</v>
      </c>
      <c r="AA8" s="593">
        <v>-8894.6</v>
      </c>
      <c r="AB8" s="593">
        <v>-9493.11</v>
      </c>
      <c r="AC8" s="593">
        <v>-11239.47</v>
      </c>
      <c r="AD8" s="593">
        <v>-14410.78</v>
      </c>
      <c r="AE8" s="593">
        <v>-9730.68</v>
      </c>
      <c r="AF8" s="593">
        <f>ROUND(((AF5)*(AF4/12))+((SUM(AF6:AF7)/2)*(AF4/12)),2)</f>
        <v>-14761.7</v>
      </c>
      <c r="AG8" s="593">
        <v>-20214.939999999999</v>
      </c>
      <c r="AH8" s="593">
        <v>-23942.62</v>
      </c>
      <c r="AI8" s="593">
        <v>-26591.8</v>
      </c>
      <c r="AJ8" s="593">
        <v>-32465.84</v>
      </c>
      <c r="AK8" s="593">
        <v>-35892.18</v>
      </c>
      <c r="AL8" s="593">
        <v>-38812.93</v>
      </c>
      <c r="AM8" s="487">
        <v>-42685.8</v>
      </c>
      <c r="AN8" s="487">
        <v>-44837.85</v>
      </c>
      <c r="AO8" s="487">
        <v>-46549.3</v>
      </c>
      <c r="AP8" s="487">
        <v>-47822.84</v>
      </c>
      <c r="AQ8" s="555">
        <f>ROUND(((AQ5+AQ9+AQ10+AQ11)*(AQ4/12))+((SUM(AQ6:AQ7)/2)*(AQ4/12)),2)</f>
        <v>-7903.46</v>
      </c>
      <c r="AR8" s="487">
        <f>ROUND(((AR5)*(AR4/12))+((SUM(AR6:AR7)/2)*(AR4/12)),2)</f>
        <v>-14406.68</v>
      </c>
      <c r="AS8" s="555">
        <f>ROUND(((AS5)*(AS4/12))+((SUM(AS6:AS7)/2)*(AS4/12)),2)</f>
        <v>-24852.09</v>
      </c>
      <c r="AT8" s="555">
        <f t="shared" ref="AT8:BA8" si="11">ROUND(((AT5)*(AT4/12))+((SUM(AT6:AT7)/2)*(AT4/12)),2)</f>
        <v>0</v>
      </c>
      <c r="AU8" s="555">
        <f t="shared" si="11"/>
        <v>0</v>
      </c>
      <c r="AV8" s="555">
        <f t="shared" si="11"/>
        <v>0</v>
      </c>
      <c r="AW8" s="555">
        <f t="shared" si="11"/>
        <v>0</v>
      </c>
      <c r="AX8" s="555">
        <f t="shared" si="11"/>
        <v>0</v>
      </c>
      <c r="AY8" s="555">
        <f t="shared" si="11"/>
        <v>0</v>
      </c>
      <c r="AZ8" s="555">
        <f t="shared" si="11"/>
        <v>0</v>
      </c>
      <c r="BA8" s="555">
        <f t="shared" si="11"/>
        <v>0</v>
      </c>
      <c r="BB8" s="555">
        <f>ROUND(((BB5)*(BB4/12))+((SUM(BB6:BB7)/2)*(BB4/12)),2)</f>
        <v>0</v>
      </c>
      <c r="BC8" s="555">
        <f>ROUND(((BC5+BC9+BC10+BC11)*(BC4/12))+((SUM(BC6:BC7)/2)*(BC4/12)),2)</f>
        <v>0</v>
      </c>
      <c r="BD8" s="487">
        <f>ROUND(((BD5)*(BD4/12))+((SUM(BD6:BD7)/2)*(BD4/12)),2)</f>
        <v>0</v>
      </c>
      <c r="BF8" s="497" t="s">
        <v>294</v>
      </c>
      <c r="BG8" s="526">
        <v>805120</v>
      </c>
      <c r="BH8" s="356" t="s">
        <v>285</v>
      </c>
      <c r="BI8" s="356" t="s">
        <v>286</v>
      </c>
      <c r="BJ8" s="379">
        <f>IF((SUMIF(AG3:BD3,BF4,AG6:BD6)+SUMIF(AG3:BD3,BF4,AG7:BD7))&lt;0,-(SUMIF(AG3:BD3,BF4,AG6:BD6)+SUMIF(AG3:BD3,BF4,AG7:BD7)),0)</f>
        <v>3404895.3975190017</v>
      </c>
      <c r="BK8" s="498">
        <f>IF((SUMIF(AG3:BD3,BF4,AG6:BD6)+SUMIF(AG3:BD3,BF4,AG7:BD7))&gt;0,(SUMIF(AG3:BD3,BF4,AG6:BD6)+SUMIF(AG3:BD3,BF4,AG7:BD7)),0)</f>
        <v>0</v>
      </c>
    </row>
    <row r="9" spans="1:63">
      <c r="B9" s="479" t="s">
        <v>259</v>
      </c>
      <c r="C9" s="480">
        <f t="shared" si="9"/>
        <v>14149619.095440991</v>
      </c>
      <c r="E9" s="480">
        <v>0</v>
      </c>
      <c r="F9" s="480">
        <v>0</v>
      </c>
      <c r="G9" s="488">
        <v>1383047.9967132099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552">
        <v>1478321.29</v>
      </c>
      <c r="T9" s="480">
        <v>0</v>
      </c>
      <c r="U9" s="480">
        <v>-69937.37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552">
        <v>7086535.71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603">
        <f>-SUM(AA6:AL6)</f>
        <v>14149619.095440991</v>
      </c>
      <c r="AR9" s="480">
        <v>0</v>
      </c>
      <c r="AS9" s="558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609">
        <f>-SUM(AM6:AX6)</f>
        <v>9937543.9160110056</v>
      </c>
      <c r="BD9" s="480">
        <v>0</v>
      </c>
      <c r="BF9" s="497" t="s">
        <v>11</v>
      </c>
      <c r="BG9" s="526">
        <v>191010</v>
      </c>
      <c r="BH9" s="356" t="s">
        <v>285</v>
      </c>
      <c r="BI9" s="356" t="s">
        <v>286</v>
      </c>
      <c r="BJ9" s="379">
        <v>0</v>
      </c>
      <c r="BK9" s="498">
        <v>0</v>
      </c>
    </row>
    <row r="10" spans="1:63" ht="16.5" thickBot="1">
      <c r="B10" s="479" t="s">
        <v>260</v>
      </c>
      <c r="C10" s="480">
        <f t="shared" si="9"/>
        <v>-213886.19506200103</v>
      </c>
      <c r="E10" s="480">
        <v>0</v>
      </c>
      <c r="F10" s="480">
        <v>0</v>
      </c>
      <c r="G10" s="488">
        <v>-2577820.6653800001</v>
      </c>
      <c r="H10" s="488">
        <v>-1111877.48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552">
        <v>1484092.96</v>
      </c>
      <c r="T10" s="480">
        <v>0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552">
        <v>-4011333.16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604">
        <f>-SUM(AA7:AL7)-AF12</f>
        <v>-213886.19506200103</v>
      </c>
      <c r="AR10" s="480">
        <v>0</v>
      </c>
      <c r="AS10" s="558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610">
        <f>-SUM(AM7:AX7)-AR12</f>
        <v>4395506.8166949991</v>
      </c>
      <c r="BD10" s="480">
        <v>0</v>
      </c>
      <c r="BF10" s="499" t="str">
        <f>BF9</f>
        <v>Tracker Transfer</v>
      </c>
      <c r="BG10" s="527">
        <f>BG43</f>
        <v>191000</v>
      </c>
      <c r="BH10" s="527" t="str">
        <f>BH43</f>
        <v>GD</v>
      </c>
      <c r="BI10" s="527" t="str">
        <f>BI43</f>
        <v>WA</v>
      </c>
      <c r="BJ10" s="501">
        <v>0</v>
      </c>
      <c r="BK10" s="519">
        <f>BJ9</f>
        <v>0</v>
      </c>
    </row>
    <row r="11" spans="1:63" ht="16.5" thickBot="1">
      <c r="B11" s="479" t="s">
        <v>261</v>
      </c>
      <c r="C11" s="480">
        <f t="shared" si="9"/>
        <v>246450.64999999997</v>
      </c>
      <c r="E11" s="480">
        <v>0</v>
      </c>
      <c r="F11" s="480">
        <v>0</v>
      </c>
      <c r="G11" s="488">
        <v>48970.92</v>
      </c>
      <c r="H11" s="488">
        <v>-44916.37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552">
        <v>101496.36</v>
      </c>
      <c r="T11" s="480">
        <v>0</v>
      </c>
      <c r="U11" s="480">
        <v>0</v>
      </c>
      <c r="V11" s="480">
        <v>0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552">
        <v>37518.67</v>
      </c>
      <c r="AF11" s="480">
        <v>0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605">
        <f>-SUM(AA8:AL8)</f>
        <v>246450.64999999997</v>
      </c>
      <c r="AR11" s="480">
        <v>0</v>
      </c>
      <c r="AS11" s="558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610">
        <f>-SUM(AM8:AX8)</f>
        <v>229058.02</v>
      </c>
      <c r="BD11" s="480">
        <v>0</v>
      </c>
      <c r="BF11" s="514"/>
      <c r="BG11" s="528"/>
      <c r="BH11" s="515"/>
      <c r="BI11" s="515"/>
      <c r="BJ11" s="515" t="s">
        <v>159</v>
      </c>
      <c r="BK11" s="516">
        <f>SUM(BJ5:BJ10)-SUM(BK5:BK10)</f>
        <v>0</v>
      </c>
    </row>
    <row r="12" spans="1:63">
      <c r="B12" s="479" t="s">
        <v>148</v>
      </c>
      <c r="C12" s="480">
        <f t="shared" si="9"/>
        <v>0.41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</v>
      </c>
      <c r="U12" s="480">
        <v>0</v>
      </c>
      <c r="V12" s="480">
        <v>0</v>
      </c>
      <c r="W12" s="480">
        <v>0</v>
      </c>
      <c r="X12" s="480">
        <v>-381.4</v>
      </c>
      <c r="Y12" s="480">
        <v>0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552">
        <v>-0.39</v>
      </c>
      <c r="AF12" s="592">
        <f>-438.59-1.19</f>
        <v>-439.78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606">
        <v>0.41</v>
      </c>
      <c r="AR12" s="480">
        <v>0</v>
      </c>
      <c r="AS12" s="558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611">
        <v>0.41</v>
      </c>
      <c r="BD12" s="480">
        <v>0</v>
      </c>
    </row>
    <row r="13" spans="1:63" ht="16.5" thickBot="1">
      <c r="B13" s="479" t="s">
        <v>56</v>
      </c>
      <c r="C13" s="539">
        <f>SUM(C5:C12)</f>
        <v>-309945.16927000636</v>
      </c>
      <c r="D13" s="539"/>
      <c r="E13" s="539">
        <f>SUM(E5:E12)</f>
        <v>2712780.2600000002</v>
      </c>
      <c r="F13" s="539">
        <f t="shared" ref="F13:H13" si="12">SUM(F5:F12)</f>
        <v>2255013.9900000002</v>
      </c>
      <c r="G13" s="539">
        <f>SUM(G5:G12)</f>
        <v>-33498.738666789999</v>
      </c>
      <c r="H13" s="539">
        <f t="shared" si="12"/>
        <v>-4220307.8686667895</v>
      </c>
      <c r="I13" s="539">
        <v>-4984433.4563877899</v>
      </c>
      <c r="J13" s="539">
        <v>-5871867.3473837869</v>
      </c>
      <c r="K13" s="539">
        <v>-5287493.0298517896</v>
      </c>
      <c r="L13" s="539">
        <v>-4882582.0171147902</v>
      </c>
      <c r="M13" s="539">
        <v>-4072260.114518791</v>
      </c>
      <c r="N13" s="539">
        <v>-3063910.5457287901</v>
      </c>
      <c r="O13" s="539">
        <v>-1998209.0562817894</v>
      </c>
      <c r="P13" s="539">
        <v>-1241540.0398927876</v>
      </c>
      <c r="Q13" s="539">
        <v>-752741.83775978826</v>
      </c>
      <c r="R13" s="539">
        <v>-587853.14358878916</v>
      </c>
      <c r="S13" s="539">
        <v>1779828.4686352164</v>
      </c>
      <c r="T13" s="539">
        <v>-165690.83250377711</v>
      </c>
      <c r="U13" s="539">
        <v>-1154882.2995837759</v>
      </c>
      <c r="V13" s="539">
        <f t="shared" ref="V13:X13" si="13">SUM(V5:V12)</f>
        <v>-1694440.0214187815</v>
      </c>
      <c r="W13" s="539">
        <f t="shared" si="13"/>
        <v>-683405.33395377884</v>
      </c>
      <c r="X13" s="539">
        <f t="shared" si="13"/>
        <v>-2769396.4708657796</v>
      </c>
      <c r="Y13" s="539">
        <f>SUM(Y5:Y12)</f>
        <v>-2940906.6891037785</v>
      </c>
      <c r="Z13" s="539">
        <f t="shared" ref="Z13:AE13" si="14">SUM(Z5:Z12)</f>
        <v>-3112721.2246137792</v>
      </c>
      <c r="AA13" s="539">
        <f t="shared" si="14"/>
        <v>-3464489.8670317773</v>
      </c>
      <c r="AB13" s="539">
        <f t="shared" si="14"/>
        <v>-3555298.2266717753</v>
      </c>
      <c r="AC13" s="539">
        <f t="shared" si="14"/>
        <v>-4755858.0107337767</v>
      </c>
      <c r="AD13" s="539">
        <f t="shared" si="14"/>
        <v>-5900360.3440987766</v>
      </c>
      <c r="AE13" s="539">
        <f t="shared" si="14"/>
        <v>-4407824.1695987741</v>
      </c>
      <c r="AF13" s="539">
        <f>SUM(AF5:AF12)</f>
        <v>-6508323.8685397729</v>
      </c>
      <c r="AG13" s="539">
        <f>SUM(AG5:AG12)</f>
        <v>-8439847.1132167727</v>
      </c>
      <c r="AH13" s="539">
        <f>SUM(AH5:AH12)</f>
        <v>-9264796.9494047705</v>
      </c>
      <c r="AI13" s="539">
        <f t="shared" ref="AI13:AP13" si="15">SUM(AI5:AI12)</f>
        <v>-10398819.535470769</v>
      </c>
      <c r="AJ13" s="539">
        <f t="shared" si="15"/>
        <v>-12153304.785960769</v>
      </c>
      <c r="AK13" s="539">
        <f t="shared" si="15"/>
        <v>-12778894.072104771</v>
      </c>
      <c r="AL13" s="539">
        <f>SUM(AL5:AL12)</f>
        <v>-14182183.944992768</v>
      </c>
      <c r="AM13" s="539">
        <f>SUM(AM5:AM12)</f>
        <v>-15130761.40771677</v>
      </c>
      <c r="AN13" s="539">
        <f t="shared" si="15"/>
        <v>-15660034.00335677</v>
      </c>
      <c r="AO13" s="539">
        <f>SUM(AO5:AO12)</f>
        <v>-16306032.832939774</v>
      </c>
      <c r="AP13" s="539">
        <f t="shared" si="15"/>
        <v>-16534597.329101773</v>
      </c>
      <c r="AQ13" s="602">
        <f>SUM(AQ5:AQ12)</f>
        <v>-3075004.5709557864</v>
      </c>
      <c r="AR13" s="539">
        <f>SUM(AR5:AR12)</f>
        <v>-6818269.0378097855</v>
      </c>
      <c r="AS13" s="539">
        <f>SUM(AS5:AS12)</f>
        <v>-10248016.525328787</v>
      </c>
      <c r="AT13" s="539">
        <f>SUM(AT5:AT12)</f>
        <v>-12305786.231237786</v>
      </c>
      <c r="AU13" s="539">
        <f t="shared" ref="AU13:AW13" si="16">SUM(AU5:AU12)</f>
        <v>-13919135.511666788</v>
      </c>
      <c r="AV13" s="539">
        <f t="shared" si="16"/>
        <v>-15057207.019781789</v>
      </c>
      <c r="AW13" s="539">
        <f t="shared" si="16"/>
        <v>-14935150.002345789</v>
      </c>
      <c r="AX13" s="539">
        <f>SUM(AX5:AX12)</f>
        <v>-14562108.73731979</v>
      </c>
      <c r="AY13" s="539">
        <f t="shared" ref="AY13:AZ13" si="17">SUM(AY5:AY12)</f>
        <v>-15650163.872550789</v>
      </c>
      <c r="AZ13" s="539">
        <f t="shared" si="17"/>
        <v>-16663485.837435788</v>
      </c>
      <c r="BA13" s="539">
        <f>SUM(BA5:BA12)</f>
        <v>-18589428.948894788</v>
      </c>
      <c r="BB13" s="539">
        <f t="shared" ref="BB13" si="18">SUM(BB5:BB12)</f>
        <v>-21510274.593472786</v>
      </c>
      <c r="BC13" s="602">
        <f>SUM(BC5:BC12)</f>
        <v>-7662853.1729997825</v>
      </c>
      <c r="BD13" s="539">
        <f>SUM(BD5:BD12)</f>
        <v>-11391710.959853781</v>
      </c>
    </row>
    <row r="14" spans="1:63" ht="16.5" thickTop="1">
      <c r="B14" s="479" t="s">
        <v>257</v>
      </c>
      <c r="E14" s="480">
        <f>_xll.Get_Balance(E3,"YTD","USD","Total","A","","001",$A$3,"GD","WA","DL")</f>
        <v>2712780.25</v>
      </c>
      <c r="F14" s="480">
        <f>_xll.Get_Balance(F3,"YTD","USD","Total","A","","001",$A$3,"GD","WA","DL")</f>
        <v>2255013.98</v>
      </c>
      <c r="G14" s="480">
        <f>_xll.Get_Balance(G3,"YTD","USD","Total","A","","001",$A$3,"GD","WA","DL")</f>
        <v>-33498.75</v>
      </c>
      <c r="H14" s="480">
        <f>_xll.Get_Balance(H3,"YTD","USD","Total","A","","001",$A$3,"GD","WA","DL")</f>
        <v>-4220307.88</v>
      </c>
      <c r="I14" s="480">
        <v>-4984433.47</v>
      </c>
      <c r="J14" s="480">
        <v>-5871867.3600000003</v>
      </c>
      <c r="K14" s="480">
        <v>-5287493.04</v>
      </c>
      <c r="L14" s="480">
        <v>-4882582.03</v>
      </c>
      <c r="M14" s="480">
        <v>-4072260.13</v>
      </c>
      <c r="N14" s="480">
        <v>-3063910.56</v>
      </c>
      <c r="O14" s="480">
        <v>-1998209.07</v>
      </c>
      <c r="P14" s="480">
        <v>-1241540.05</v>
      </c>
      <c r="Q14" s="480">
        <v>-752741.85</v>
      </c>
      <c r="R14" s="480">
        <v>-587853.16</v>
      </c>
      <c r="S14" s="480">
        <v>1779828.45</v>
      </c>
      <c r="T14" s="480">
        <v>-165690.85</v>
      </c>
      <c r="U14" s="480">
        <v>-1154882.3</v>
      </c>
      <c r="V14" s="480">
        <f>_xll.Get_Balance(V3,"YTD","USD","Total","A","","001",$A$3,"GD","WA","DL")</f>
        <v>-1694440.02</v>
      </c>
      <c r="W14" s="480">
        <f>_xll.Get_Balance(W3,"YTD","USD","Total","A","","001",$A$3,"GD","WA","DL")</f>
        <v>-683405.33</v>
      </c>
      <c r="X14" s="480">
        <f>_xll.Get_Balance(X3,"YTD","USD","Total","A","","001",$A$3,"GD","WA","DL")</f>
        <v>-2769396.47</v>
      </c>
      <c r="Y14" s="480">
        <f>_xll.Get_Balance(Y3,"YTD","USD","Total","A","","001",$A$3,"GD","WA","DL")</f>
        <v>-2940906.69</v>
      </c>
      <c r="Z14" s="480">
        <f>_xll.Get_Balance(Z3,"YTD","USD","Total","A","","001",$A$3,"GD","WA","DL")</f>
        <v>-3112721.23</v>
      </c>
      <c r="AA14" s="480">
        <f>_xll.Get_Balance(AA3,"YTD","USD","Total","A","","001",$A$3,"GD","WA","DL")</f>
        <v>-3464489.87</v>
      </c>
      <c r="AB14" s="480">
        <f>_xll.Get_Balance(AB3,"YTD","USD","Total","A","","001",$A$3,"GD","WA","DL")</f>
        <v>-3555298.23</v>
      </c>
      <c r="AC14" s="480">
        <f>_xll.Get_Balance(AC3,"YTD","USD","Total","A","","001",$A$3,"GD","WA","DL")</f>
        <v>-4755858.01</v>
      </c>
      <c r="AD14" s="480">
        <f>_xll.Get_Balance(AD3,"YTD","USD","Total","A","","001",$A$3,"GD","WA","DL")</f>
        <v>-5900360.3399999999</v>
      </c>
      <c r="AE14" s="480">
        <f>_xll.Get_Balance(AE3,"YTD","USD","Total","A","","001",$A$3,"GD","WA","DL")</f>
        <v>-4407824.17</v>
      </c>
      <c r="AF14" s="480">
        <f>_xll.Get_Balance(AF3,"YTD","USD","Total","A","","001",$A$3,"GD","WA","DL")</f>
        <v>-6508323.8700000001</v>
      </c>
      <c r="AG14" s="480">
        <f>_xll.Get_Balance(AG3,"YTD","USD","Total","A","","001",$A$3,"GD","WA","DL")</f>
        <v>-8432290.1199999992</v>
      </c>
      <c r="AH14" s="480">
        <f>_xll.Get_Balance(AH3,"YTD","USD","Total","A","","001",$A$3,"GD","WA","DL")</f>
        <v>-9264796.9499999993</v>
      </c>
      <c r="AI14" s="480">
        <f>_xll.Get_Balance(AI3,"YTD","USD","Total","A","","001",$A$3,"GD","WA","DL")</f>
        <v>-10398819.539999999</v>
      </c>
      <c r="AJ14" s="480">
        <f>_xll.Get_Balance(AJ3,"YTD","USD","Total","A","","001",$A$3,"GD","WA","DL")</f>
        <v>-12153304.789999999</v>
      </c>
      <c r="AK14" s="480">
        <f>_xll.Get_Balance(AK3,"YTD","USD","Total","A","","001",$A$3,"GD","WA","DL")</f>
        <v>-12778894.08</v>
      </c>
      <c r="AL14" s="601">
        <f>_xll.Get_Balance(AL3,"YTD","USD","Total","A","","001",$A$3,"GD","WA","DL")</f>
        <v>-14182183.949999999</v>
      </c>
      <c r="AM14" s="480">
        <f>_xll.Get_Balance(AM3,"YTD","USD","Total","A","","001",$A$3,"GD","WA","DL")</f>
        <v>-15130761.41</v>
      </c>
      <c r="AN14" s="480">
        <f>_xll.Get_Balance(AN3,"YTD","USD","Total","A","","001",$A$3,"GD","WA","DL")</f>
        <v>-15660034.01</v>
      </c>
      <c r="AO14" s="480">
        <f>_xll.Get_Balance(AO3,"YTD","USD","Total","A","","001",$A$3,"GD","WA","DL")</f>
        <v>-16306032.84</v>
      </c>
      <c r="AP14" s="480">
        <f>_xll.Get_Balance(AP3,"YTD","USD","Total","A","","001",$A$3,"GD","WA","DL")</f>
        <v>-16534597.34</v>
      </c>
      <c r="AQ14" s="480">
        <f>_xll.Get_Balance(AQ3,"YTD","USD","Total","A","","001",$A$3,"GD","WA","DL")</f>
        <v>-3075004.58</v>
      </c>
      <c r="AR14" s="480">
        <f>_xll.Get_Balance(AR3,"YTD","USD","Total","A","","001",$A$3,"GD","WA","DL")</f>
        <v>-6818269.0499999998</v>
      </c>
      <c r="AS14" s="480">
        <f>_xll.Get_Balance(AS3,"YTD","USD","Total","A","","001",$A$3,"GD","WA","DL")</f>
        <v>-10248016.539999999</v>
      </c>
      <c r="AT14" s="480">
        <f>_xll.Get_Balance(AT3,"YTD","USD","Total","A","","001",$A$3,"GD","WA","DL")</f>
        <v>-12338677.210000001</v>
      </c>
      <c r="AU14" s="480">
        <f>_xll.Get_Balance(AU3,"YTD","USD","Total","A","","001",$A$3,"GD","WA","DL")</f>
        <v>-13990367.1</v>
      </c>
      <c r="AV14" s="480">
        <f>_xll.Get_Balance(AV3,"YTD","USD","Total","A","","001",$A$3,"GD","WA","DL")</f>
        <v>-15173451.43</v>
      </c>
      <c r="AW14" s="480">
        <f>_xll.Get_Balance(AW3,"YTD","USD","Total","A","","001",$A$3,"GD","WA","DL")</f>
        <v>-15098116.98</v>
      </c>
      <c r="AX14" s="601">
        <f>_xll.Get_Balance(AX3,"YTD","USD","Total","A","","001",$A$3,"GD","WA","DL")</f>
        <v>-14771177.4</v>
      </c>
      <c r="AY14" s="480">
        <f>_xll.Get_Balance(AY3,"YTD","USD","Total","A","","001",$A$3,"GD","WA","DL")</f>
        <v>-15909772.720000001</v>
      </c>
      <c r="AZ14" s="480">
        <f>_xll.Get_Balance(AZ3,"YTD","USD","Total","A","","001",$A$3,"GD","WA","DL")</f>
        <v>-16977268.91</v>
      </c>
      <c r="BA14" s="480">
        <f>_xll.Get_Balance(BA3,"YTD","USD","Total","A","","001",$A$3,"GD","WA","DL")</f>
        <v>-18962414.809999999</v>
      </c>
      <c r="BB14" s="480">
        <f>_xll.Get_Balance(BB3,"YTD","USD","Total","A","","001",$A$3,"GD","WA","DL")</f>
        <v>-18962414.809999999</v>
      </c>
      <c r="BC14" s="480">
        <f>_xll.Get_Balance(BC3,"YTD","USD","Total","A","","001",$A$3,"GD","WA","DL")</f>
        <v>-18962414.809999999</v>
      </c>
      <c r="BD14" s="480">
        <f>_xll.Get_Balance(BD3,"YTD","USD","Total","A","","001",$A$3,"GD","WA","DL")</f>
        <v>0</v>
      </c>
    </row>
    <row r="15" spans="1:63">
      <c r="B15" s="479" t="s">
        <v>243</v>
      </c>
      <c r="E15" s="480">
        <f t="shared" ref="E15:H15" si="19">E13-E14</f>
        <v>1.0000000242143869E-2</v>
      </c>
      <c r="F15" s="480">
        <f t="shared" si="19"/>
        <v>1.0000000242143869E-2</v>
      </c>
      <c r="G15" s="480">
        <f t="shared" si="19"/>
        <v>1.1333210000884719E-2</v>
      </c>
      <c r="H15" s="480">
        <f t="shared" si="19"/>
        <v>1.133321039378643E-2</v>
      </c>
      <c r="I15" s="480">
        <v>1.3612209819257259E-2</v>
      </c>
      <c r="J15" s="480">
        <v>1.2616213411092758E-2</v>
      </c>
      <c r="K15" s="480">
        <v>1.0148210451006889E-2</v>
      </c>
      <c r="L15" s="480">
        <v>1.2885210104286671E-2</v>
      </c>
      <c r="M15" s="480">
        <v>1.5481208916753531E-2</v>
      </c>
      <c r="N15" s="480">
        <v>1.4271209947764874E-2</v>
      </c>
      <c r="O15" s="480">
        <v>1.3718210626393557E-2</v>
      </c>
      <c r="P15" s="480">
        <v>1.0107212467119098E-2</v>
      </c>
      <c r="Q15" s="480">
        <v>1.2240211712196469E-2</v>
      </c>
      <c r="R15" s="480">
        <v>1.6411210875958204E-2</v>
      </c>
      <c r="S15" s="480">
        <v>1.863521640188992E-2</v>
      </c>
      <c r="T15" s="480">
        <v>1.749622289207764E-2</v>
      </c>
      <c r="U15" s="480">
        <v>4.1622412391006947E-4</v>
      </c>
      <c r="V15" s="480">
        <f t="shared" ref="V15:AE15" si="20">V13-V14</f>
        <v>-1.418781466782093E-3</v>
      </c>
      <c r="W15" s="480">
        <f t="shared" si="20"/>
        <v>-3.9537788834422827E-3</v>
      </c>
      <c r="X15" s="480">
        <f t="shared" si="20"/>
        <v>-8.6577935144305229E-4</v>
      </c>
      <c r="Y15" s="480">
        <f t="shared" si="20"/>
        <v>8.9622149243950844E-4</v>
      </c>
      <c r="Z15" s="480">
        <f t="shared" si="20"/>
        <v>5.3862207569181919E-3</v>
      </c>
      <c r="AA15" s="480">
        <f t="shared" si="20"/>
        <v>2.9682228341698647E-3</v>
      </c>
      <c r="AB15" s="480">
        <f t="shared" si="20"/>
        <v>3.3282246440649033E-3</v>
      </c>
      <c r="AC15" s="480">
        <f t="shared" si="20"/>
        <v>-7.3377694934606552E-4</v>
      </c>
      <c r="AD15" s="480">
        <f t="shared" si="20"/>
        <v>-4.0987767279148102E-3</v>
      </c>
      <c r="AE15" s="480">
        <f t="shared" si="20"/>
        <v>4.0122587233781815E-4</v>
      </c>
      <c r="AF15" s="480">
        <f>AF13-AF14</f>
        <v>1.4602271839976311E-3</v>
      </c>
      <c r="AG15" s="480">
        <f>AG13-AG14</f>
        <v>-7556.9932167734951</v>
      </c>
      <c r="AH15" s="480">
        <f t="shared" ref="AH15:AP15" si="21">AH13-AH14</f>
        <v>5.9522874653339386E-4</v>
      </c>
      <c r="AI15" s="480">
        <f t="shared" si="21"/>
        <v>4.5292302966117859E-3</v>
      </c>
      <c r="AJ15" s="480">
        <f t="shared" si="21"/>
        <v>4.0392298251390457E-3</v>
      </c>
      <c r="AK15" s="480">
        <f t="shared" si="21"/>
        <v>7.895229384303093E-3</v>
      </c>
      <c r="AL15" s="480">
        <f t="shared" si="21"/>
        <v>5.0072316080331802E-3</v>
      </c>
      <c r="AM15" s="480">
        <f>AM13-AM14</f>
        <v>2.2832304239273071E-3</v>
      </c>
      <c r="AN15" s="480">
        <f t="shared" si="21"/>
        <v>6.6432300955057144E-3</v>
      </c>
      <c r="AO15" s="480">
        <f t="shared" si="21"/>
        <v>7.0602260529994965E-3</v>
      </c>
      <c r="AP15" s="480">
        <f t="shared" si="21"/>
        <v>1.0898226872086525E-2</v>
      </c>
      <c r="AQ15" s="480">
        <f>AQ13-AQ14</f>
        <v>9.0442136861383915E-3</v>
      </c>
      <c r="AR15" s="480">
        <f>AR13-AR14</f>
        <v>1.2190214358270168E-2</v>
      </c>
      <c r="AS15" s="480">
        <f>AS13-AS14</f>
        <v>1.4671212062239647E-2</v>
      </c>
      <c r="AT15" s="480">
        <f t="shared" ref="AT15:BB15" si="22">AT13-AT14</f>
        <v>32890.978762215003</v>
      </c>
      <c r="AU15" s="480">
        <f t="shared" si="22"/>
        <v>71231.588333211839</v>
      </c>
      <c r="AV15" s="480">
        <f t="shared" si="22"/>
        <v>116244.41021821089</v>
      </c>
      <c r="AW15" s="480">
        <f t="shared" si="22"/>
        <v>162966.97765421122</v>
      </c>
      <c r="AX15" s="480">
        <f t="shared" si="22"/>
        <v>209068.66268021055</v>
      </c>
      <c r="AY15" s="480">
        <f t="shared" si="22"/>
        <v>259608.8474492114</v>
      </c>
      <c r="AZ15" s="480">
        <f t="shared" si="22"/>
        <v>313783.07256421261</v>
      </c>
      <c r="BA15" s="480">
        <f t="shared" si="22"/>
        <v>372985.86110521108</v>
      </c>
      <c r="BB15" s="480">
        <f t="shared" si="22"/>
        <v>-2547859.7834727876</v>
      </c>
      <c r="BC15" s="480">
        <f>BC13-BC14</f>
        <v>11299561.637000216</v>
      </c>
      <c r="BD15" s="480">
        <f>BD13-BD14</f>
        <v>-11391710.959853781</v>
      </c>
    </row>
    <row r="16" spans="1:63">
      <c r="A16" s="481" t="s">
        <v>265</v>
      </c>
    </row>
    <row r="17" spans="1:58">
      <c r="A17" s="481" t="s">
        <v>329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</row>
    <row r="18" spans="1:58">
      <c r="A18" s="482">
        <v>191000</v>
      </c>
      <c r="B18" s="483" t="s">
        <v>253</v>
      </c>
      <c r="C18" s="484" t="s">
        <v>248</v>
      </c>
      <c r="D18" s="484" t="s">
        <v>249</v>
      </c>
      <c r="E18" s="482">
        <v>201309</v>
      </c>
      <c r="F18" s="482">
        <f>E18+1</f>
        <v>201310</v>
      </c>
      <c r="G18" s="482">
        <f>F18+1</f>
        <v>201311</v>
      </c>
      <c r="H18" s="482">
        <f>G18+1</f>
        <v>201312</v>
      </c>
      <c r="I18" s="482">
        <v>201401</v>
      </c>
      <c r="J18" s="482">
        <v>201402</v>
      </c>
      <c r="K18" s="482">
        <v>201403</v>
      </c>
      <c r="L18" s="482">
        <v>201404</v>
      </c>
      <c r="M18" s="482">
        <v>201405</v>
      </c>
      <c r="N18" s="482">
        <v>201406</v>
      </c>
      <c r="O18" s="482">
        <v>201407</v>
      </c>
      <c r="P18" s="482">
        <v>201408</v>
      </c>
      <c r="Q18" s="482">
        <v>201409</v>
      </c>
      <c r="R18" s="482">
        <v>201410</v>
      </c>
      <c r="S18" s="482">
        <v>201411</v>
      </c>
      <c r="T18" s="482">
        <v>201412</v>
      </c>
      <c r="U18" s="482">
        <v>201501</v>
      </c>
      <c r="V18" s="482">
        <f t="shared" ref="V18:AD18" si="23">U18+1</f>
        <v>201502</v>
      </c>
      <c r="W18" s="482">
        <f t="shared" si="23"/>
        <v>201503</v>
      </c>
      <c r="X18" s="482">
        <f t="shared" si="23"/>
        <v>201504</v>
      </c>
      <c r="Y18" s="482">
        <f t="shared" si="23"/>
        <v>201505</v>
      </c>
      <c r="Z18" s="482">
        <f t="shared" si="23"/>
        <v>201506</v>
      </c>
      <c r="AA18" s="482">
        <f t="shared" si="23"/>
        <v>201507</v>
      </c>
      <c r="AB18" s="482">
        <f t="shared" si="23"/>
        <v>201508</v>
      </c>
      <c r="AC18" s="482">
        <f t="shared" si="23"/>
        <v>201509</v>
      </c>
      <c r="AD18" s="482">
        <f t="shared" si="23"/>
        <v>201510</v>
      </c>
      <c r="AE18" s="482">
        <f>AD18+1</f>
        <v>201511</v>
      </c>
      <c r="AF18" s="482">
        <f t="shared" ref="AF18" si="24">AE18+1</f>
        <v>201512</v>
      </c>
      <c r="AG18" s="482">
        <v>201601</v>
      </c>
      <c r="AH18" s="482">
        <f>AG18+1</f>
        <v>201602</v>
      </c>
      <c r="AI18" s="482">
        <f t="shared" ref="AI18:AR18" si="25">AH18+1</f>
        <v>201603</v>
      </c>
      <c r="AJ18" s="482">
        <f t="shared" si="25"/>
        <v>201604</v>
      </c>
      <c r="AK18" s="482">
        <f t="shared" si="25"/>
        <v>201605</v>
      </c>
      <c r="AL18" s="482">
        <f t="shared" si="25"/>
        <v>201606</v>
      </c>
      <c r="AM18" s="482">
        <f t="shared" si="25"/>
        <v>201607</v>
      </c>
      <c r="AN18" s="482">
        <f t="shared" si="25"/>
        <v>201608</v>
      </c>
      <c r="AO18" s="482">
        <f t="shared" si="25"/>
        <v>201609</v>
      </c>
      <c r="AP18" s="482">
        <f t="shared" si="25"/>
        <v>201610</v>
      </c>
      <c r="AQ18" s="482">
        <f t="shared" si="25"/>
        <v>201611</v>
      </c>
      <c r="AR18" s="482">
        <f t="shared" si="25"/>
        <v>201612</v>
      </c>
      <c r="AS18" s="482">
        <f>AS3</f>
        <v>201701</v>
      </c>
      <c r="AT18" s="482">
        <f>AS18+1</f>
        <v>201702</v>
      </c>
      <c r="AU18" s="482">
        <f t="shared" ref="AU18:BD18" si="26">AT18+1</f>
        <v>201703</v>
      </c>
      <c r="AV18" s="482">
        <f t="shared" si="26"/>
        <v>201704</v>
      </c>
      <c r="AW18" s="482">
        <f t="shared" si="26"/>
        <v>201705</v>
      </c>
      <c r="AX18" s="482">
        <f t="shared" si="26"/>
        <v>201706</v>
      </c>
      <c r="AY18" s="482">
        <f t="shared" si="26"/>
        <v>201707</v>
      </c>
      <c r="AZ18" s="482">
        <f t="shared" si="26"/>
        <v>201708</v>
      </c>
      <c r="BA18" s="482">
        <f t="shared" si="26"/>
        <v>201709</v>
      </c>
      <c r="BB18" s="482">
        <f t="shared" si="26"/>
        <v>201710</v>
      </c>
      <c r="BC18" s="482">
        <f t="shared" si="26"/>
        <v>201711</v>
      </c>
      <c r="BD18" s="482">
        <f t="shared" si="26"/>
        <v>201712</v>
      </c>
    </row>
    <row r="19" spans="1:58">
      <c r="A19" s="481"/>
      <c r="B19" s="479" t="s">
        <v>37</v>
      </c>
      <c r="C19" s="489">
        <f>SUM(AG19:AR19)</f>
        <v>129553839</v>
      </c>
      <c r="D19" s="489">
        <f>SUM(AE19:AP19)</f>
        <v>128827265</v>
      </c>
      <c r="E19" s="489">
        <v>2647538</v>
      </c>
      <c r="F19" s="489">
        <v>9244353</v>
      </c>
      <c r="G19" s="489">
        <v>15070678</v>
      </c>
      <c r="H19" s="489">
        <v>22636008</v>
      </c>
      <c r="I19" s="541">
        <v>20682450</v>
      </c>
      <c r="J19" s="541">
        <v>20184373</v>
      </c>
      <c r="K19" s="541">
        <v>14096743</v>
      </c>
      <c r="L19" s="541">
        <v>7776328</v>
      </c>
      <c r="M19" s="541">
        <v>3691303</v>
      </c>
      <c r="N19" s="541">
        <v>2545780</v>
      </c>
      <c r="O19" s="541">
        <v>2095088</v>
      </c>
      <c r="P19" s="541">
        <v>2047777</v>
      </c>
      <c r="Q19" s="541">
        <v>2727612</v>
      </c>
      <c r="R19" s="541">
        <v>4953664</v>
      </c>
      <c r="S19" s="541">
        <v>15823016</v>
      </c>
      <c r="T19" s="541">
        <v>19056609</v>
      </c>
      <c r="U19" s="541">
        <v>19909674</v>
      </c>
      <c r="V19" s="541">
        <v>13011547</v>
      </c>
      <c r="W19" s="541">
        <v>10479005</v>
      </c>
      <c r="X19" s="541">
        <v>7714478</v>
      </c>
      <c r="Y19" s="541">
        <v>3297360</v>
      </c>
      <c r="Z19" s="541">
        <v>1968489</v>
      </c>
      <c r="AA19" s="541">
        <v>2145139</v>
      </c>
      <c r="AB19" s="541">
        <v>1956853</v>
      </c>
      <c r="AC19" s="541">
        <v>3273457</v>
      </c>
      <c r="AD19" s="541">
        <v>4833518</v>
      </c>
      <c r="AE19" s="541">
        <v>15375028</v>
      </c>
      <c r="AF19" s="541">
        <v>19459801</v>
      </c>
      <c r="AG19" s="541">
        <f>Jan!$G23</f>
        <v>27259641</v>
      </c>
      <c r="AH19" s="541">
        <f>Feb!$G23</f>
        <v>19157522</v>
      </c>
      <c r="AI19" s="541">
        <f>Mar!$G23</f>
        <v>14316138</v>
      </c>
      <c r="AJ19" s="541">
        <f>Apr!$G23</f>
        <v>9641125</v>
      </c>
      <c r="AK19" s="541">
        <f>May!$G23</f>
        <v>4941679</v>
      </c>
      <c r="AL19" s="541">
        <f>Jun!$G23</f>
        <v>2542069</v>
      </c>
      <c r="AM19" s="541">
        <f>Jul!$G23</f>
        <v>2070483</v>
      </c>
      <c r="AN19" s="541">
        <f>Aug!$G23</f>
        <v>2080707</v>
      </c>
      <c r="AO19" s="541">
        <f>Sep!G23</f>
        <v>3147236</v>
      </c>
      <c r="AP19" s="541">
        <f>Oct!G23</f>
        <v>8835836</v>
      </c>
      <c r="AQ19" s="541">
        <f>Nov!G23</f>
        <v>11352396</v>
      </c>
      <c r="AR19" s="541">
        <f>Dec!$G23</f>
        <v>24209007</v>
      </c>
      <c r="AS19" s="620">
        <f>Jan!$G23</f>
        <v>27259641</v>
      </c>
      <c r="AT19" s="541">
        <f>Feb!$G23</f>
        <v>19157522</v>
      </c>
      <c r="AU19" s="541">
        <f>Mar!$G23</f>
        <v>14316138</v>
      </c>
      <c r="AV19" s="541">
        <f>Apr!$G23</f>
        <v>9641125</v>
      </c>
      <c r="AW19" s="541">
        <f>May!$G23</f>
        <v>4941679</v>
      </c>
      <c r="AX19" s="541">
        <f>Jun!$G23</f>
        <v>2542069</v>
      </c>
      <c r="AY19" s="541">
        <f>Jul!$G23</f>
        <v>2070483</v>
      </c>
      <c r="AZ19" s="541">
        <f>Aug!$G23</f>
        <v>2080707</v>
      </c>
      <c r="BA19" s="541">
        <f>Sep!S23</f>
        <v>0</v>
      </c>
      <c r="BB19" s="541">
        <f>Oct!S23</f>
        <v>0</v>
      </c>
      <c r="BC19" s="541">
        <f>Nov!S23</f>
        <v>0</v>
      </c>
      <c r="BD19" s="541">
        <f>Dec!$G23</f>
        <v>24209007</v>
      </c>
    </row>
    <row r="20" spans="1:58">
      <c r="A20" s="481"/>
      <c r="B20" s="565" t="s">
        <v>324</v>
      </c>
      <c r="C20" s="489">
        <f t="shared" ref="C20:C27" si="27">SUM(AG20:AR20)</f>
        <v>197284</v>
      </c>
      <c r="D20" s="489">
        <f>SUM(AE20:AP20)</f>
        <v>153855</v>
      </c>
      <c r="E20" s="489"/>
      <c r="F20" s="489"/>
      <c r="G20" s="489"/>
      <c r="H20" s="489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>
        <v>425</v>
      </c>
      <c r="AE20" s="541">
        <v>3502</v>
      </c>
      <c r="AF20" s="541">
        <v>7942</v>
      </c>
      <c r="AG20" s="541">
        <f>Jan!$G24</f>
        <v>40615</v>
      </c>
      <c r="AH20" s="541">
        <f>Feb!$G24</f>
        <v>29103</v>
      </c>
      <c r="AI20" s="541">
        <f>Mar!$G24</f>
        <v>22738</v>
      </c>
      <c r="AJ20" s="541">
        <f>Apr!$G24</f>
        <v>15697</v>
      </c>
      <c r="AK20" s="541">
        <f>May!$G24</f>
        <v>8078</v>
      </c>
      <c r="AL20" s="541">
        <f>Jun!$G24</f>
        <v>3619</v>
      </c>
      <c r="AM20" s="541">
        <f>Jul!$G24</f>
        <v>2296</v>
      </c>
      <c r="AN20" s="541">
        <f>Aug!$G24</f>
        <v>2393</v>
      </c>
      <c r="AO20" s="541">
        <f>Sep!$G24</f>
        <v>3920</v>
      </c>
      <c r="AP20" s="541">
        <f>Oct!$G24</f>
        <v>13952</v>
      </c>
      <c r="AQ20" s="541">
        <f>Nov!$G24</f>
        <v>19581</v>
      </c>
      <c r="AR20" s="541">
        <f>Dec!$G24</f>
        <v>35292</v>
      </c>
      <c r="AS20" s="620">
        <f>Jan!$G24</f>
        <v>40615</v>
      </c>
      <c r="AT20" s="541">
        <f>Feb!$G24</f>
        <v>29103</v>
      </c>
      <c r="AU20" s="541">
        <f>Mar!$G24</f>
        <v>22738</v>
      </c>
      <c r="AV20" s="541">
        <f>Apr!$G24</f>
        <v>15697</v>
      </c>
      <c r="AW20" s="541">
        <f>May!$G24</f>
        <v>8078</v>
      </c>
      <c r="AX20" s="541">
        <f>Jun!$G24</f>
        <v>3619</v>
      </c>
      <c r="AY20" s="541">
        <f>Jul!$G24</f>
        <v>2296</v>
      </c>
      <c r="AZ20" s="541">
        <f>Aug!$G24</f>
        <v>2393</v>
      </c>
      <c r="BA20" s="541">
        <f>Sep!$G24</f>
        <v>3920</v>
      </c>
      <c r="BB20" s="541">
        <f>Oct!$G24</f>
        <v>13952</v>
      </c>
      <c r="BC20" s="541">
        <f>Nov!$G24</f>
        <v>19581</v>
      </c>
      <c r="BD20" s="541">
        <f>Dec!$G24</f>
        <v>35292</v>
      </c>
      <c r="BF20" s="262"/>
    </row>
    <row r="21" spans="1:58">
      <c r="A21" s="481"/>
      <c r="B21" s="479" t="s">
        <v>38</v>
      </c>
      <c r="C21" s="489">
        <f t="shared" si="27"/>
        <v>51323965</v>
      </c>
      <c r="D21" s="489">
        <f t="shared" ref="D21:D27" si="28">SUM(AE21:AP21)</f>
        <v>50300771</v>
      </c>
      <c r="E21" s="489">
        <v>1599551</v>
      </c>
      <c r="F21" s="489">
        <v>3880001</v>
      </c>
      <c r="G21" s="489">
        <v>5651303</v>
      </c>
      <c r="H21" s="489">
        <v>7518125</v>
      </c>
      <c r="I21" s="541">
        <v>7025543</v>
      </c>
      <c r="J21" s="541">
        <v>6903553</v>
      </c>
      <c r="K21" s="541">
        <v>5310734</v>
      </c>
      <c r="L21" s="541">
        <v>3390429</v>
      </c>
      <c r="M21" s="541">
        <v>2183609</v>
      </c>
      <c r="N21" s="541">
        <v>1741655</v>
      </c>
      <c r="O21" s="541">
        <v>1476567</v>
      </c>
      <c r="P21" s="541">
        <v>1364087</v>
      </c>
      <c r="Q21" s="541">
        <v>1739755</v>
      </c>
      <c r="R21" s="541">
        <v>2776031</v>
      </c>
      <c r="S21" s="541">
        <v>6141604</v>
      </c>
      <c r="T21" s="541">
        <v>6045485</v>
      </c>
      <c r="U21" s="541">
        <v>6173752</v>
      </c>
      <c r="V21" s="541">
        <v>5630395</v>
      </c>
      <c r="W21" s="541">
        <v>4030672</v>
      </c>
      <c r="X21" s="541">
        <v>3448422</v>
      </c>
      <c r="Y21" s="541">
        <v>1901440</v>
      </c>
      <c r="Z21" s="541">
        <v>1561904</v>
      </c>
      <c r="AA21" s="541">
        <v>1323231</v>
      </c>
      <c r="AB21" s="541">
        <v>1284422</v>
      </c>
      <c r="AC21" s="541">
        <v>1854848</v>
      </c>
      <c r="AD21" s="541">
        <v>2624293</v>
      </c>
      <c r="AE21" s="541">
        <v>5503520</v>
      </c>
      <c r="AF21" s="541">
        <v>6165932</v>
      </c>
      <c r="AG21" s="541">
        <f>Jan!$G25</f>
        <v>8738107</v>
      </c>
      <c r="AH21" s="541">
        <f>Feb!$G25</f>
        <v>7258148</v>
      </c>
      <c r="AI21" s="541">
        <f>Mar!$G25</f>
        <v>5603968</v>
      </c>
      <c r="AJ21" s="541">
        <f>Apr!$G25</f>
        <v>4021494</v>
      </c>
      <c r="AK21" s="541">
        <f>May!$G25</f>
        <v>2425238</v>
      </c>
      <c r="AL21" s="541">
        <f>Jun!$G25</f>
        <v>1878375</v>
      </c>
      <c r="AM21" s="541">
        <f>Jul!$G25</f>
        <v>1446879</v>
      </c>
      <c r="AN21" s="541">
        <f>Aug!$G25</f>
        <v>1463939</v>
      </c>
      <c r="AO21" s="541">
        <f>Sep!$G25</f>
        <v>2165313</v>
      </c>
      <c r="AP21" s="541">
        <f>Oct!$G25</f>
        <v>3629858</v>
      </c>
      <c r="AQ21" s="541">
        <f>Nov!$G25</f>
        <v>4116109</v>
      </c>
      <c r="AR21" s="541">
        <f>Dec!$G25</f>
        <v>8576537</v>
      </c>
      <c r="AS21" s="620">
        <f>Jan!$G25</f>
        <v>8738107</v>
      </c>
      <c r="AT21" s="541">
        <f>Feb!$G25</f>
        <v>7258148</v>
      </c>
      <c r="AU21" s="541">
        <f>Mar!$G25</f>
        <v>5603968</v>
      </c>
      <c r="AV21" s="541">
        <f>Apr!$G25</f>
        <v>4021494</v>
      </c>
      <c r="AW21" s="541">
        <f>May!$G25</f>
        <v>2425238</v>
      </c>
      <c r="AX21" s="541">
        <f>Jun!$G25</f>
        <v>1878375</v>
      </c>
      <c r="AY21" s="541">
        <f>Jul!$G25</f>
        <v>1446879</v>
      </c>
      <c r="AZ21" s="541">
        <f>Aug!$G25</f>
        <v>1463939</v>
      </c>
      <c r="BA21" s="541">
        <f>Sep!$G25</f>
        <v>2165313</v>
      </c>
      <c r="BB21" s="541">
        <f>Oct!$G25</f>
        <v>3629858</v>
      </c>
      <c r="BC21" s="541">
        <f>Nov!$G25</f>
        <v>4116109</v>
      </c>
      <c r="BD21" s="541">
        <f>Dec!$G25</f>
        <v>8576537</v>
      </c>
      <c r="BF21" s="262"/>
    </row>
    <row r="22" spans="1:58" hidden="1" outlineLevel="1">
      <c r="A22" s="481"/>
      <c r="B22" s="574" t="s">
        <v>39</v>
      </c>
      <c r="C22" s="489"/>
      <c r="D22" s="489"/>
      <c r="E22" s="489">
        <v>0</v>
      </c>
      <c r="F22" s="489">
        <v>0</v>
      </c>
      <c r="G22" s="489">
        <v>0</v>
      </c>
      <c r="H22" s="489">
        <v>0</v>
      </c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620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F22" s="262"/>
    </row>
    <row r="23" spans="1:58" collapsed="1">
      <c r="A23" s="481"/>
      <c r="B23" s="479" t="s">
        <v>40</v>
      </c>
      <c r="C23" s="489">
        <f t="shared" si="27"/>
        <v>3609942</v>
      </c>
      <c r="D23" s="489">
        <f t="shared" si="28"/>
        <v>3933939</v>
      </c>
      <c r="E23" s="489">
        <v>344046</v>
      </c>
      <c r="F23" s="489">
        <v>595792</v>
      </c>
      <c r="G23" s="489">
        <v>396185</v>
      </c>
      <c r="H23" s="489">
        <v>588721</v>
      </c>
      <c r="I23" s="541">
        <v>534459</v>
      </c>
      <c r="J23" s="541">
        <v>540817</v>
      </c>
      <c r="K23" s="541">
        <v>425342</v>
      </c>
      <c r="L23" s="541">
        <v>407197</v>
      </c>
      <c r="M23" s="541">
        <v>340947</v>
      </c>
      <c r="N23" s="541">
        <v>361843</v>
      </c>
      <c r="O23" s="541">
        <v>251184</v>
      </c>
      <c r="P23" s="541">
        <v>332621</v>
      </c>
      <c r="Q23" s="541">
        <v>330926</v>
      </c>
      <c r="R23" s="541">
        <v>483057</v>
      </c>
      <c r="S23" s="541">
        <v>518418</v>
      </c>
      <c r="T23" s="541">
        <v>377457</v>
      </c>
      <c r="U23" s="541">
        <v>513680</v>
      </c>
      <c r="V23" s="541">
        <v>431734</v>
      </c>
      <c r="W23" s="541">
        <v>335852</v>
      </c>
      <c r="X23" s="541">
        <v>432834</v>
      </c>
      <c r="Y23" s="541">
        <v>249954</v>
      </c>
      <c r="Z23" s="541">
        <v>322862</v>
      </c>
      <c r="AA23" s="541">
        <v>247078</v>
      </c>
      <c r="AB23" s="541">
        <v>274690</v>
      </c>
      <c r="AC23" s="541">
        <v>336073</v>
      </c>
      <c r="AD23" s="541">
        <v>365802</v>
      </c>
      <c r="AE23" s="541">
        <v>541377</v>
      </c>
      <c r="AF23" s="541">
        <v>331801</v>
      </c>
      <c r="AG23" s="541">
        <f>Jan!$G27</f>
        <v>284721</v>
      </c>
      <c r="AH23" s="541">
        <f>Feb!$G27</f>
        <v>399264</v>
      </c>
      <c r="AI23" s="541">
        <f>Mar!$G27</f>
        <v>334116</v>
      </c>
      <c r="AJ23" s="541">
        <f>Apr!$G27</f>
        <v>288026</v>
      </c>
      <c r="AK23" s="541">
        <f>May!$G27</f>
        <v>302382</v>
      </c>
      <c r="AL23" s="541">
        <f>Jun!$G27</f>
        <v>289055</v>
      </c>
      <c r="AM23" s="541">
        <f>Jul!$G27</f>
        <v>274504</v>
      </c>
      <c r="AN23" s="541">
        <f>Aug!$G27</f>
        <v>291721</v>
      </c>
      <c r="AO23" s="541">
        <f>Sep!$G27</f>
        <v>348558</v>
      </c>
      <c r="AP23" s="541">
        <f>Oct!$G27</f>
        <v>248414</v>
      </c>
      <c r="AQ23" s="541">
        <f>Nov!$G27</f>
        <v>314956</v>
      </c>
      <c r="AR23" s="541">
        <f>Dec!$G27</f>
        <v>234225</v>
      </c>
      <c r="AS23" s="620">
        <f>Jan!$G27</f>
        <v>284721</v>
      </c>
      <c r="AT23" s="541">
        <f>Feb!$G27</f>
        <v>399264</v>
      </c>
      <c r="AU23" s="541">
        <f>Mar!$G27</f>
        <v>334116</v>
      </c>
      <c r="AV23" s="541">
        <f>Apr!$G27</f>
        <v>288026</v>
      </c>
      <c r="AW23" s="541">
        <f>May!$G27</f>
        <v>302382</v>
      </c>
      <c r="AX23" s="541">
        <f>Jun!$G27</f>
        <v>289055</v>
      </c>
      <c r="AY23" s="541">
        <f>Jul!$G27</f>
        <v>274504</v>
      </c>
      <c r="AZ23" s="541">
        <f>Aug!$G27</f>
        <v>291721</v>
      </c>
      <c r="BA23" s="541">
        <f>Sep!$G27</f>
        <v>348558</v>
      </c>
      <c r="BB23" s="541">
        <f>Oct!$G27</f>
        <v>248414</v>
      </c>
      <c r="BC23" s="541">
        <f>Nov!$G27</f>
        <v>314956</v>
      </c>
      <c r="BD23" s="541">
        <f>Dec!$G27</f>
        <v>234225</v>
      </c>
      <c r="BF23" s="262"/>
    </row>
    <row r="24" spans="1:58" hidden="1" outlineLevel="1">
      <c r="A24" s="481"/>
      <c r="B24" s="574" t="s">
        <v>41</v>
      </c>
      <c r="C24" s="489">
        <f t="shared" si="27"/>
        <v>0</v>
      </c>
      <c r="D24" s="489">
        <f t="shared" si="28"/>
        <v>0</v>
      </c>
      <c r="E24" s="489">
        <v>0</v>
      </c>
      <c r="F24" s="489">
        <v>0</v>
      </c>
      <c r="G24" s="489">
        <v>0</v>
      </c>
      <c r="H24" s="489">
        <v>0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620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F24" s="262"/>
    </row>
    <row r="25" spans="1:58" collapsed="1">
      <c r="A25" s="481"/>
      <c r="B25" s="565" t="s">
        <v>42</v>
      </c>
      <c r="C25" s="489">
        <f t="shared" si="27"/>
        <v>0</v>
      </c>
      <c r="D25" s="489">
        <f t="shared" si="28"/>
        <v>0</v>
      </c>
      <c r="E25" s="489">
        <v>0</v>
      </c>
      <c r="F25" s="489">
        <v>0</v>
      </c>
      <c r="G25" s="489">
        <v>0</v>
      </c>
      <c r="H25" s="489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>
        <v>0</v>
      </c>
      <c r="AB25" s="541">
        <v>0</v>
      </c>
      <c r="AC25" s="541">
        <v>0</v>
      </c>
      <c r="AD25" s="541">
        <v>0</v>
      </c>
      <c r="AE25" s="541">
        <v>0</v>
      </c>
      <c r="AF25" s="541">
        <v>0</v>
      </c>
      <c r="AG25" s="541">
        <f>Jan!$G29</f>
        <v>0</v>
      </c>
      <c r="AH25" s="541">
        <f>Feb!$G29</f>
        <v>0</v>
      </c>
      <c r="AI25" s="541">
        <f>Mar!$G29</f>
        <v>0</v>
      </c>
      <c r="AJ25" s="541">
        <f>Apr!$G29</f>
        <v>0</v>
      </c>
      <c r="AK25" s="541">
        <f>May!$G29</f>
        <v>0</v>
      </c>
      <c r="AL25" s="541">
        <f>Jun!$G29</f>
        <v>0</v>
      </c>
      <c r="AM25" s="541">
        <f>Jul!$G29</f>
        <v>0</v>
      </c>
      <c r="AN25" s="541">
        <f>Aug!$G29</f>
        <v>0</v>
      </c>
      <c r="AO25" s="541">
        <f>Sep!$G29</f>
        <v>0</v>
      </c>
      <c r="AP25" s="541">
        <f>Oct!$G29</f>
        <v>0</v>
      </c>
      <c r="AQ25" s="541">
        <f>Nov!$G29</f>
        <v>0</v>
      </c>
      <c r="AR25" s="541">
        <f>Dec!$G29</f>
        <v>0</v>
      </c>
      <c r="AS25" s="620">
        <f>Jan!$G29</f>
        <v>0</v>
      </c>
      <c r="AT25" s="541">
        <f>Feb!$G29</f>
        <v>0</v>
      </c>
      <c r="AU25" s="541">
        <f>Mar!$G29</f>
        <v>0</v>
      </c>
      <c r="AV25" s="541">
        <f>Apr!$G29</f>
        <v>0</v>
      </c>
      <c r="AW25" s="541">
        <f>May!$G29</f>
        <v>0</v>
      </c>
      <c r="AX25" s="541">
        <f>Jun!$G29</f>
        <v>0</v>
      </c>
      <c r="AY25" s="541">
        <f>Jul!$G29</f>
        <v>0</v>
      </c>
      <c r="AZ25" s="541">
        <f>Aug!$G29</f>
        <v>0</v>
      </c>
      <c r="BA25" s="541">
        <f>Sep!$G29</f>
        <v>0</v>
      </c>
      <c r="BB25" s="541">
        <f>Oct!$G29</f>
        <v>0</v>
      </c>
      <c r="BC25" s="541">
        <f>Nov!$G29</f>
        <v>0</v>
      </c>
      <c r="BD25" s="541">
        <f>Dec!$G29</f>
        <v>0</v>
      </c>
      <c r="BF25" s="262"/>
    </row>
    <row r="26" spans="1:58" hidden="1" outlineLevel="1">
      <c r="A26" s="481"/>
      <c r="B26" s="574" t="s">
        <v>43</v>
      </c>
      <c r="C26" s="489">
        <f t="shared" si="27"/>
        <v>0</v>
      </c>
      <c r="D26" s="489">
        <f t="shared" si="28"/>
        <v>0</v>
      </c>
      <c r="E26" s="489">
        <v>0</v>
      </c>
      <c r="F26" s="489">
        <v>0</v>
      </c>
      <c r="G26" s="489">
        <v>0</v>
      </c>
      <c r="H26" s="489">
        <v>0</v>
      </c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620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F26" s="262"/>
    </row>
    <row r="27" spans="1:58" collapsed="1">
      <c r="A27" s="481"/>
      <c r="B27" s="479" t="s">
        <v>74</v>
      </c>
      <c r="C27" s="489">
        <f t="shared" si="27"/>
        <v>35395192</v>
      </c>
      <c r="D27" s="489">
        <f t="shared" si="28"/>
        <v>35179950</v>
      </c>
      <c r="E27" s="489">
        <v>1818699</v>
      </c>
      <c r="F27" s="489">
        <v>2531895</v>
      </c>
      <c r="G27" s="489">
        <v>2936207</v>
      </c>
      <c r="H27" s="489">
        <v>3675604</v>
      </c>
      <c r="I27" s="541">
        <v>3517013</v>
      </c>
      <c r="J27" s="541">
        <v>3103551</v>
      </c>
      <c r="K27" s="541">
        <v>2882510</v>
      </c>
      <c r="L27" s="541">
        <v>2426511</v>
      </c>
      <c r="M27" s="541">
        <v>2096539</v>
      </c>
      <c r="N27" s="541">
        <v>1865473</v>
      </c>
      <c r="O27" s="541">
        <v>1934510</v>
      </c>
      <c r="P27" s="541">
        <v>1781233</v>
      </c>
      <c r="Q27" s="541">
        <v>1975142</v>
      </c>
      <c r="R27" s="541">
        <v>2307678</v>
      </c>
      <c r="S27" s="541">
        <v>3052956</v>
      </c>
      <c r="T27" s="541">
        <v>3180451</v>
      </c>
      <c r="U27" s="541">
        <v>3286166</v>
      </c>
      <c r="V27" s="541">
        <v>2735718</v>
      </c>
      <c r="W27" s="541">
        <v>2608561</v>
      </c>
      <c r="X27" s="541">
        <v>2436951</v>
      </c>
      <c r="Y27" s="541">
        <v>2203136</v>
      </c>
      <c r="Z27" s="541">
        <v>1941783</v>
      </c>
      <c r="AA27" s="541">
        <v>1912819</v>
      </c>
      <c r="AB27" s="541">
        <v>1943542</v>
      </c>
      <c r="AC27" s="541">
        <v>1945064</v>
      </c>
      <c r="AD27" s="541">
        <v>2201297</v>
      </c>
      <c r="AE27" s="541">
        <v>3020174</v>
      </c>
      <c r="AF27" s="541">
        <v>3321068</v>
      </c>
      <c r="AG27" s="541">
        <f>Jan!$G31</f>
        <v>4261630</v>
      </c>
      <c r="AH27" s="541">
        <f>Feb!$G31</f>
        <v>3513623</v>
      </c>
      <c r="AI27" s="541">
        <f>Mar!$G31</f>
        <v>3381923</v>
      </c>
      <c r="AJ27" s="541">
        <f>Apr!$G31</f>
        <v>2868630</v>
      </c>
      <c r="AK27" s="541">
        <f>May!$G31</f>
        <v>2501903</v>
      </c>
      <c r="AL27" s="541">
        <f>Jun!$G31</f>
        <v>2531843</v>
      </c>
      <c r="AM27" s="541">
        <f>Jul!$G31</f>
        <v>2144434</v>
      </c>
      <c r="AN27" s="541">
        <f>Aug!$G31</f>
        <v>2338940</v>
      </c>
      <c r="AO27" s="541">
        <f>Sep!$G31</f>
        <v>2209861</v>
      </c>
      <c r="AP27" s="541">
        <f>Oct!$G31</f>
        <v>3085921</v>
      </c>
      <c r="AQ27" s="541">
        <f>Nov!$G31</f>
        <v>2750386</v>
      </c>
      <c r="AR27" s="541">
        <f>Dec!$G31</f>
        <v>3806098</v>
      </c>
      <c r="AS27" s="620">
        <f>Jan!$G31</f>
        <v>4261630</v>
      </c>
      <c r="AT27" s="541">
        <f>Feb!$G31</f>
        <v>3513623</v>
      </c>
      <c r="AU27" s="541">
        <f>Mar!$G31</f>
        <v>3381923</v>
      </c>
      <c r="AV27" s="541">
        <f>Apr!$G31</f>
        <v>2868630</v>
      </c>
      <c r="AW27" s="541">
        <f>May!$G31</f>
        <v>2501903</v>
      </c>
      <c r="AX27" s="541">
        <f>Jun!$G31</f>
        <v>2531843</v>
      </c>
      <c r="AY27" s="541">
        <f>Jul!$G31</f>
        <v>2144434</v>
      </c>
      <c r="AZ27" s="541">
        <f>Aug!$G31</f>
        <v>2338940</v>
      </c>
      <c r="BA27" s="541">
        <f>Sep!$G31</f>
        <v>2209861</v>
      </c>
      <c r="BB27" s="541">
        <f>Oct!$G31</f>
        <v>3085921</v>
      </c>
      <c r="BC27" s="541">
        <f>Nov!$G31</f>
        <v>2750386</v>
      </c>
      <c r="BD27" s="541">
        <f>Dec!$G31</f>
        <v>3806098</v>
      </c>
      <c r="BF27" s="262"/>
    </row>
    <row r="28" spans="1:58" ht="16.5" thickBot="1">
      <c r="A28" s="481"/>
      <c r="B28" s="479" t="s">
        <v>21</v>
      </c>
      <c r="C28" s="489">
        <f>SUM(AG28:AR28)</f>
        <v>220080222</v>
      </c>
      <c r="D28" s="540">
        <f>SUM(S28:AD28)</f>
        <v>179344916</v>
      </c>
      <c r="E28" s="540">
        <f>SUM(E19:E27)</f>
        <v>6409834</v>
      </c>
      <c r="F28" s="540">
        <f>SUM(F19:F27)</f>
        <v>16252041</v>
      </c>
      <c r="G28" s="540">
        <f t="shared" ref="G28:H28" si="29">SUM(G19:G27)</f>
        <v>24054373</v>
      </c>
      <c r="H28" s="540">
        <f t="shared" si="29"/>
        <v>34418458</v>
      </c>
      <c r="I28" s="540">
        <v>31759465</v>
      </c>
      <c r="J28" s="540">
        <v>30732294</v>
      </c>
      <c r="K28" s="540">
        <v>22715329</v>
      </c>
      <c r="L28" s="540">
        <v>14000465</v>
      </c>
      <c r="M28" s="540">
        <v>8312398</v>
      </c>
      <c r="N28" s="540">
        <v>6514751</v>
      </c>
      <c r="O28" s="540">
        <v>5757349</v>
      </c>
      <c r="P28" s="540">
        <v>5525718</v>
      </c>
      <c r="Q28" s="540">
        <v>6773435</v>
      </c>
      <c r="R28" s="540">
        <v>10520430</v>
      </c>
      <c r="S28" s="540">
        <v>25535994</v>
      </c>
      <c r="T28" s="540">
        <v>28660002</v>
      </c>
      <c r="U28" s="540">
        <v>29883272</v>
      </c>
      <c r="V28" s="540">
        <f t="shared" ref="V28:AR28" si="30">SUM(V19:V27)</f>
        <v>21809394</v>
      </c>
      <c r="W28" s="540">
        <f t="shared" si="30"/>
        <v>17454090</v>
      </c>
      <c r="X28" s="540">
        <f t="shared" si="30"/>
        <v>14032685</v>
      </c>
      <c r="Y28" s="540">
        <f t="shared" si="30"/>
        <v>7651890</v>
      </c>
      <c r="Z28" s="540">
        <f t="shared" si="30"/>
        <v>5795038</v>
      </c>
      <c r="AA28" s="540">
        <f t="shared" si="30"/>
        <v>5628267</v>
      </c>
      <c r="AB28" s="540">
        <f t="shared" si="30"/>
        <v>5459507</v>
      </c>
      <c r="AC28" s="540">
        <f t="shared" si="30"/>
        <v>7409442</v>
      </c>
      <c r="AD28" s="540">
        <f t="shared" si="30"/>
        <v>10025335</v>
      </c>
      <c r="AE28" s="540">
        <f t="shared" si="30"/>
        <v>24443601</v>
      </c>
      <c r="AF28" s="540">
        <f t="shared" si="30"/>
        <v>29286544</v>
      </c>
      <c r="AG28" s="540">
        <f>SUM(AG19:AG27)</f>
        <v>40584714</v>
      </c>
      <c r="AH28" s="540">
        <f t="shared" si="30"/>
        <v>30357660</v>
      </c>
      <c r="AI28" s="540">
        <f t="shared" si="30"/>
        <v>23658883</v>
      </c>
      <c r="AJ28" s="540">
        <f t="shared" si="30"/>
        <v>16834972</v>
      </c>
      <c r="AK28" s="540">
        <f t="shared" si="30"/>
        <v>10179280</v>
      </c>
      <c r="AL28" s="540">
        <f>SUM(AL19:AL27)</f>
        <v>7244961</v>
      </c>
      <c r="AM28" s="540">
        <f>SUM(AM19:AM27)</f>
        <v>5938596</v>
      </c>
      <c r="AN28" s="540">
        <f t="shared" si="30"/>
        <v>6177700</v>
      </c>
      <c r="AO28" s="540">
        <f>SUM(AO19:AO27)</f>
        <v>7874888</v>
      </c>
      <c r="AP28" s="540">
        <f t="shared" si="30"/>
        <v>15813981</v>
      </c>
      <c r="AQ28" s="540">
        <f t="shared" si="30"/>
        <v>18553428</v>
      </c>
      <c r="AR28" s="540">
        <f t="shared" si="30"/>
        <v>36861159</v>
      </c>
      <c r="AS28" s="540">
        <f>SUM(AS19:AS27)</f>
        <v>40584714</v>
      </c>
      <c r="AT28" s="540">
        <f t="shared" ref="AT28:AW28" si="31">SUM(AT19:AT27)</f>
        <v>30357660</v>
      </c>
      <c r="AU28" s="540">
        <f t="shared" si="31"/>
        <v>23658883</v>
      </c>
      <c r="AV28" s="540">
        <f t="shared" si="31"/>
        <v>16834972</v>
      </c>
      <c r="AW28" s="540">
        <f t="shared" si="31"/>
        <v>10179280</v>
      </c>
      <c r="AX28" s="540">
        <f>SUM(AX19:AX27)</f>
        <v>7244961</v>
      </c>
      <c r="AY28" s="540">
        <f>SUM(AY19:AY27)</f>
        <v>5938596</v>
      </c>
      <c r="AZ28" s="540">
        <f t="shared" ref="AZ28" si="32">SUM(AZ19:AZ27)</f>
        <v>6177700</v>
      </c>
      <c r="BA28" s="540">
        <f>SUM(BA19:BA27)</f>
        <v>4727652</v>
      </c>
      <c r="BB28" s="540">
        <f t="shared" ref="BB28:BD28" si="33">SUM(BB19:BB27)</f>
        <v>6978145</v>
      </c>
      <c r="BC28" s="540">
        <f t="shared" si="33"/>
        <v>7201032</v>
      </c>
      <c r="BD28" s="540">
        <f t="shared" si="33"/>
        <v>36861159</v>
      </c>
      <c r="BF28" s="262"/>
    </row>
    <row r="29" spans="1:58" ht="16.5" thickTop="1">
      <c r="A29" s="481"/>
      <c r="B29" s="479" t="s">
        <v>266</v>
      </c>
      <c r="C29" s="489">
        <f>SUM(AG29:AR29)</f>
        <v>187919683</v>
      </c>
      <c r="D29" s="489">
        <f>SUM(S29:AD29)</f>
        <v>179344916</v>
      </c>
      <c r="E29" s="489">
        <v>6409834</v>
      </c>
      <c r="F29" s="489">
        <v>16252041</v>
      </c>
      <c r="G29" s="489">
        <v>24054373</v>
      </c>
      <c r="H29" s="489">
        <v>34418458</v>
      </c>
      <c r="I29" s="489">
        <v>31759465</v>
      </c>
      <c r="J29" s="489">
        <v>30732294</v>
      </c>
      <c r="K29" s="489">
        <v>22715329</v>
      </c>
      <c r="L29" s="489">
        <v>14000465</v>
      </c>
      <c r="M29" s="489">
        <v>8312398</v>
      </c>
      <c r="N29" s="489">
        <v>6514751</v>
      </c>
      <c r="O29" s="489">
        <v>5757349</v>
      </c>
      <c r="P29" s="489">
        <v>5525718</v>
      </c>
      <c r="Q29" s="489">
        <v>6773435</v>
      </c>
      <c r="R29" s="489">
        <v>10520430</v>
      </c>
      <c r="S29" s="489">
        <v>25535994</v>
      </c>
      <c r="T29" s="489">
        <v>28660002</v>
      </c>
      <c r="U29" s="489">
        <v>29883272</v>
      </c>
      <c r="V29" s="489">
        <v>21809394</v>
      </c>
      <c r="W29" s="489">
        <v>17454090</v>
      </c>
      <c r="X29" s="489">
        <v>14032685</v>
      </c>
      <c r="Y29" s="489">
        <v>7651890</v>
      </c>
      <c r="Z29" s="489">
        <v>5795038</v>
      </c>
      <c r="AA29" s="489">
        <v>5628267</v>
      </c>
      <c r="AB29" s="563">
        <v>5459507</v>
      </c>
      <c r="AC29" s="489">
        <v>7409442</v>
      </c>
      <c r="AD29" s="489">
        <v>10025335</v>
      </c>
      <c r="AE29" s="489">
        <v>24443601</v>
      </c>
      <c r="AF29" s="489">
        <v>29286544</v>
      </c>
      <c r="AG29" s="489">
        <v>30419523</v>
      </c>
      <c r="AH29" s="489">
        <v>22877234</v>
      </c>
      <c r="AI29" s="489">
        <v>20236365</v>
      </c>
      <c r="AJ29" s="489">
        <v>10637648</v>
      </c>
      <c r="AK29" s="489">
        <v>8282555</v>
      </c>
      <c r="AL29" s="489">
        <v>6819717</v>
      </c>
      <c r="AM29" s="489">
        <v>6029401</v>
      </c>
      <c r="AN29" s="563">
        <v>6166525</v>
      </c>
      <c r="AO29" s="489">
        <v>7391501</v>
      </c>
      <c r="AP29" s="489">
        <v>13644627</v>
      </c>
      <c r="AQ29" s="489">
        <v>18553428</v>
      </c>
      <c r="AR29" s="489">
        <v>36861159</v>
      </c>
      <c r="AS29" s="489">
        <v>40584714</v>
      </c>
      <c r="AT29" s="489">
        <v>22877234</v>
      </c>
      <c r="AU29" s="489">
        <v>20236365</v>
      </c>
      <c r="AV29" s="489">
        <v>10637648</v>
      </c>
      <c r="AW29" s="489">
        <v>8282555</v>
      </c>
      <c r="AX29" s="489">
        <v>6819717</v>
      </c>
      <c r="AY29" s="489">
        <v>6029401</v>
      </c>
      <c r="AZ29" s="563">
        <v>6166525</v>
      </c>
      <c r="BA29" s="563">
        <v>7391501</v>
      </c>
      <c r="BB29" s="563">
        <v>13644627</v>
      </c>
      <c r="BC29" s="563">
        <v>18553428</v>
      </c>
      <c r="BD29" s="489">
        <v>36861159</v>
      </c>
      <c r="BE29" s="579"/>
    </row>
    <row r="30" spans="1:58">
      <c r="A30" s="481" t="s">
        <v>22</v>
      </c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8">
      <c r="A31" s="482">
        <v>191000</v>
      </c>
      <c r="B31" s="483" t="s">
        <v>253</v>
      </c>
      <c r="E31" s="482">
        <v>201309</v>
      </c>
      <c r="F31" s="482">
        <f>E31+1</f>
        <v>201310</v>
      </c>
      <c r="G31" s="482">
        <f>F31+1</f>
        <v>201311</v>
      </c>
      <c r="H31" s="482">
        <f>G31+1</f>
        <v>201312</v>
      </c>
      <c r="I31" s="482">
        <v>201401</v>
      </c>
      <c r="J31" s="482">
        <v>201402</v>
      </c>
      <c r="K31" s="482">
        <v>201403</v>
      </c>
      <c r="L31" s="482">
        <v>201404</v>
      </c>
      <c r="M31" s="482">
        <v>201405</v>
      </c>
      <c r="N31" s="482">
        <v>201406</v>
      </c>
      <c r="O31" s="482">
        <v>201407</v>
      </c>
      <c r="P31" s="482">
        <v>201408</v>
      </c>
      <c r="Q31" s="482">
        <v>201409</v>
      </c>
      <c r="R31" s="482">
        <v>201410</v>
      </c>
      <c r="S31" s="482">
        <v>201411</v>
      </c>
      <c r="T31" s="482">
        <v>201412</v>
      </c>
      <c r="U31" s="482">
        <v>201501</v>
      </c>
      <c r="V31" s="482">
        <f t="shared" ref="V31:AD31" si="34">U31+1</f>
        <v>201502</v>
      </c>
      <c r="W31" s="482">
        <f t="shared" si="34"/>
        <v>201503</v>
      </c>
      <c r="X31" s="482">
        <f t="shared" si="34"/>
        <v>201504</v>
      </c>
      <c r="Y31" s="482">
        <f t="shared" si="34"/>
        <v>201505</v>
      </c>
      <c r="Z31" s="482">
        <f t="shared" si="34"/>
        <v>201506</v>
      </c>
      <c r="AA31" s="482">
        <f t="shared" si="34"/>
        <v>201507</v>
      </c>
      <c r="AB31" s="482">
        <f t="shared" si="34"/>
        <v>201508</v>
      </c>
      <c r="AC31" s="482">
        <f t="shared" si="34"/>
        <v>201509</v>
      </c>
      <c r="AD31" s="482">
        <f t="shared" si="34"/>
        <v>201510</v>
      </c>
      <c r="AE31" s="482">
        <f>AD31+1</f>
        <v>201511</v>
      </c>
      <c r="AF31" s="482">
        <f t="shared" ref="AF31" si="35">AE31+1</f>
        <v>201512</v>
      </c>
      <c r="AG31" s="482">
        <v>201601</v>
      </c>
      <c r="AH31" s="482">
        <f>AG31+1</f>
        <v>201602</v>
      </c>
      <c r="AI31" s="482">
        <f t="shared" ref="AI31:AR31" si="36">AH31+1</f>
        <v>201603</v>
      </c>
      <c r="AJ31" s="482">
        <f t="shared" si="36"/>
        <v>201604</v>
      </c>
      <c r="AK31" s="482">
        <f t="shared" si="36"/>
        <v>201605</v>
      </c>
      <c r="AL31" s="482">
        <f t="shared" si="36"/>
        <v>201606</v>
      </c>
      <c r="AM31" s="482">
        <f t="shared" si="36"/>
        <v>201607</v>
      </c>
      <c r="AN31" s="482">
        <f t="shared" si="36"/>
        <v>201608</v>
      </c>
      <c r="AO31" s="482">
        <f t="shared" si="36"/>
        <v>201609</v>
      </c>
      <c r="AP31" s="482">
        <f t="shared" si="36"/>
        <v>201610</v>
      </c>
      <c r="AQ31" s="482">
        <f t="shared" si="36"/>
        <v>201611</v>
      </c>
      <c r="AR31" s="482">
        <f t="shared" si="36"/>
        <v>201612</v>
      </c>
      <c r="AS31" s="482">
        <f>AS3</f>
        <v>201701</v>
      </c>
      <c r="AT31" s="482">
        <f>AS31+1</f>
        <v>201702</v>
      </c>
      <c r="AU31" s="482">
        <f t="shared" ref="AU31:BD31" si="37">AT31+1</f>
        <v>201703</v>
      </c>
      <c r="AV31" s="482">
        <f t="shared" si="37"/>
        <v>201704</v>
      </c>
      <c r="AW31" s="482">
        <f t="shared" si="37"/>
        <v>201705</v>
      </c>
      <c r="AX31" s="482">
        <f t="shared" si="37"/>
        <v>201706</v>
      </c>
      <c r="AY31" s="482">
        <f t="shared" si="37"/>
        <v>201707</v>
      </c>
      <c r="AZ31" s="482">
        <f t="shared" si="37"/>
        <v>201708</v>
      </c>
      <c r="BA31" s="482">
        <f t="shared" si="37"/>
        <v>201709</v>
      </c>
      <c r="BB31" s="482">
        <f t="shared" si="37"/>
        <v>201710</v>
      </c>
      <c r="BC31" s="482">
        <f t="shared" si="37"/>
        <v>201711</v>
      </c>
      <c r="BD31" s="482">
        <f t="shared" si="37"/>
        <v>201712</v>
      </c>
    </row>
    <row r="32" spans="1:58">
      <c r="A32" s="481"/>
      <c r="B32" s="479" t="s">
        <v>37</v>
      </c>
      <c r="E32" s="490">
        <v>3.3950000000000001E-2</v>
      </c>
      <c r="F32" s="490">
        <v>3.3950000000000001E-2</v>
      </c>
      <c r="G32" s="494" t="s">
        <v>267</v>
      </c>
      <c r="H32" s="494" t="s">
        <v>267</v>
      </c>
      <c r="I32" s="490">
        <v>-2.9299999999999999E-3</v>
      </c>
      <c r="J32" s="490">
        <v>-2.9299999999999999E-3</v>
      </c>
      <c r="K32" s="490">
        <v>-2.9299999999999999E-3</v>
      </c>
      <c r="L32" s="490">
        <v>-2.9299999999999999E-3</v>
      </c>
      <c r="M32" s="490">
        <v>-2.9299999999999999E-3</v>
      </c>
      <c r="N32" s="490">
        <v>-2.9299999999999999E-3</v>
      </c>
      <c r="O32" s="490">
        <v>-2.9299999999999999E-3</v>
      </c>
      <c r="P32" s="490">
        <v>-2.9299999999999999E-3</v>
      </c>
      <c r="Q32" s="490">
        <v>-2.9299999999999999E-3</v>
      </c>
      <c r="R32" s="490">
        <v>-2.9299999999999999E-3</v>
      </c>
      <c r="S32" s="494" t="s">
        <v>267</v>
      </c>
      <c r="T32" s="494" t="s">
        <v>267</v>
      </c>
      <c r="U32" s="490">
        <v>1.436E-2</v>
      </c>
      <c r="V32" s="490">
        <v>1.436E-2</v>
      </c>
      <c r="W32" s="490">
        <v>1.436E-2</v>
      </c>
      <c r="X32" s="490">
        <v>1.436E-2</v>
      </c>
      <c r="Y32" s="490">
        <v>1.436E-2</v>
      </c>
      <c r="Z32" s="490">
        <v>1.436E-2</v>
      </c>
      <c r="AA32" s="490">
        <v>1.436E-2</v>
      </c>
      <c r="AB32" s="490">
        <v>1.436E-2</v>
      </c>
      <c r="AC32" s="490">
        <v>1.436E-2</v>
      </c>
      <c r="AD32" s="490">
        <v>1.436E-2</v>
      </c>
      <c r="AE32" s="494" t="s">
        <v>326</v>
      </c>
      <c r="AF32" s="494" t="s">
        <v>326</v>
      </c>
      <c r="AG32" s="494">
        <v>2.571E-2</v>
      </c>
      <c r="AH32" s="494">
        <v>2.571E-2</v>
      </c>
      <c r="AI32" s="494">
        <v>2.571E-2</v>
      </c>
      <c r="AJ32" s="494">
        <v>2.571E-2</v>
      </c>
      <c r="AK32" s="494">
        <v>2.571E-2</v>
      </c>
      <c r="AL32" s="494">
        <v>2.571E-2</v>
      </c>
      <c r="AM32" s="494">
        <v>2.571E-2</v>
      </c>
      <c r="AN32" s="494">
        <v>2.571E-2</v>
      </c>
      <c r="AO32" s="494">
        <v>2.571E-2</v>
      </c>
      <c r="AP32" s="494">
        <v>2.571E-2</v>
      </c>
      <c r="AQ32" s="494" t="s">
        <v>326</v>
      </c>
      <c r="AR32" s="494" t="s">
        <v>326</v>
      </c>
      <c r="AS32" s="616">
        <v>9.1740000000000002E-2</v>
      </c>
      <c r="AT32" s="612">
        <v>2.571E-2</v>
      </c>
      <c r="AU32" s="612">
        <v>2.571E-2</v>
      </c>
      <c r="AV32" s="612">
        <v>2.571E-2</v>
      </c>
      <c r="AW32" s="612">
        <v>2.571E-2</v>
      </c>
      <c r="AX32" s="612">
        <v>2.571E-2</v>
      </c>
      <c r="AY32" s="612">
        <v>2.571E-2</v>
      </c>
      <c r="AZ32" s="612">
        <v>2.571E-2</v>
      </c>
      <c r="BA32" s="612">
        <v>2.571E-2</v>
      </c>
      <c r="BB32" s="612">
        <v>2.571E-2</v>
      </c>
      <c r="BC32" s="494" t="s">
        <v>326</v>
      </c>
      <c r="BD32" s="494" t="s">
        <v>326</v>
      </c>
    </row>
    <row r="33" spans="1:63">
      <c r="A33" s="481"/>
      <c r="B33" s="479" t="s">
        <v>324</v>
      </c>
      <c r="E33" s="490"/>
      <c r="F33" s="490"/>
      <c r="G33" s="494"/>
      <c r="H33" s="494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4"/>
      <c r="T33" s="494"/>
      <c r="U33" s="490"/>
      <c r="V33" s="490"/>
      <c r="W33" s="490"/>
      <c r="X33" s="490"/>
      <c r="Y33" s="490"/>
      <c r="Z33" s="490"/>
      <c r="AA33" s="490"/>
      <c r="AB33" s="490"/>
      <c r="AC33" s="490"/>
      <c r="AD33" s="564">
        <v>1.436E-2</v>
      </c>
      <c r="AE33" s="494" t="s">
        <v>326</v>
      </c>
      <c r="AF33" s="494" t="s">
        <v>326</v>
      </c>
      <c r="AG33" s="494">
        <v>2.571E-2</v>
      </c>
      <c r="AH33" s="494">
        <v>2.571E-2</v>
      </c>
      <c r="AI33" s="494">
        <v>2.571E-2</v>
      </c>
      <c r="AJ33" s="494">
        <v>2.571E-2</v>
      </c>
      <c r="AK33" s="494">
        <v>2.571E-2</v>
      </c>
      <c r="AL33" s="494">
        <v>2.571E-2</v>
      </c>
      <c r="AM33" s="494">
        <v>2.571E-2</v>
      </c>
      <c r="AN33" s="494">
        <v>2.571E-2</v>
      </c>
      <c r="AO33" s="494">
        <v>2.571E-2</v>
      </c>
      <c r="AP33" s="494">
        <v>2.571E-2</v>
      </c>
      <c r="AQ33" s="494" t="s">
        <v>326</v>
      </c>
      <c r="AR33" s="494" t="s">
        <v>326</v>
      </c>
      <c r="AS33" s="616">
        <v>9.1740000000000002E-2</v>
      </c>
      <c r="AT33" s="612">
        <v>2.571E-2</v>
      </c>
      <c r="AU33" s="612">
        <v>2.571E-2</v>
      </c>
      <c r="AV33" s="612">
        <v>2.571E-2</v>
      </c>
      <c r="AW33" s="612">
        <v>2.571E-2</v>
      </c>
      <c r="AX33" s="612">
        <v>2.571E-2</v>
      </c>
      <c r="AY33" s="612">
        <v>2.571E-2</v>
      </c>
      <c r="AZ33" s="612">
        <v>2.571E-2</v>
      </c>
      <c r="BA33" s="612">
        <v>2.571E-2</v>
      </c>
      <c r="BB33" s="612">
        <v>2.571E-2</v>
      </c>
      <c r="BC33" s="494" t="s">
        <v>326</v>
      </c>
      <c r="BD33" s="494" t="s">
        <v>326</v>
      </c>
    </row>
    <row r="34" spans="1:63">
      <c r="A34" s="481"/>
      <c r="B34" s="479" t="s">
        <v>38</v>
      </c>
      <c r="E34" s="490">
        <v>3.0599999999999999E-2</v>
      </c>
      <c r="F34" s="490">
        <v>3.0599999999999999E-2</v>
      </c>
      <c r="G34" s="494" t="s">
        <v>267</v>
      </c>
      <c r="H34" s="494" t="s">
        <v>267</v>
      </c>
      <c r="I34" s="490">
        <v>-5.5599999999999998E-3</v>
      </c>
      <c r="J34" s="490">
        <v>-5.5599999999999998E-3</v>
      </c>
      <c r="K34" s="490">
        <v>-5.5599999999999998E-3</v>
      </c>
      <c r="L34" s="490">
        <v>-5.5599999999999998E-3</v>
      </c>
      <c r="M34" s="490">
        <v>-5.5599999999999998E-3</v>
      </c>
      <c r="N34" s="490">
        <v>-5.5599999999999998E-3</v>
      </c>
      <c r="O34" s="490">
        <v>-5.5599999999999998E-3</v>
      </c>
      <c r="P34" s="490">
        <v>-5.5599999999999998E-3</v>
      </c>
      <c r="Q34" s="490">
        <v>-5.5599999999999998E-3</v>
      </c>
      <c r="R34" s="490">
        <v>-5.5599999999999998E-3</v>
      </c>
      <c r="S34" s="494" t="s">
        <v>267</v>
      </c>
      <c r="T34" s="494" t="s">
        <v>267</v>
      </c>
      <c r="U34" s="490">
        <v>8.0800000000000004E-3</v>
      </c>
      <c r="V34" s="490">
        <v>8.0800000000000004E-3</v>
      </c>
      <c r="W34" s="490">
        <v>8.0800000000000004E-3</v>
      </c>
      <c r="X34" s="490">
        <v>8.0800000000000004E-3</v>
      </c>
      <c r="Y34" s="490">
        <v>8.0800000000000004E-3</v>
      </c>
      <c r="Z34" s="490">
        <v>8.0800000000000004E-3</v>
      </c>
      <c r="AA34" s="490">
        <v>8.0800000000000004E-3</v>
      </c>
      <c r="AB34" s="490">
        <v>8.0800000000000004E-3</v>
      </c>
      <c r="AC34" s="490">
        <v>8.0800000000000004E-3</v>
      </c>
      <c r="AD34" s="490">
        <v>8.0800000000000004E-3</v>
      </c>
      <c r="AE34" s="494" t="s">
        <v>326</v>
      </c>
      <c r="AF34" s="494" t="s">
        <v>326</v>
      </c>
      <c r="AG34" s="494">
        <v>1.372E-2</v>
      </c>
      <c r="AH34" s="494">
        <v>1.372E-2</v>
      </c>
      <c r="AI34" s="494">
        <v>1.372E-2</v>
      </c>
      <c r="AJ34" s="494">
        <v>1.372E-2</v>
      </c>
      <c r="AK34" s="494">
        <v>1.372E-2</v>
      </c>
      <c r="AL34" s="494">
        <v>1.372E-2</v>
      </c>
      <c r="AM34" s="494">
        <v>1.372E-2</v>
      </c>
      <c r="AN34" s="494">
        <v>1.372E-2</v>
      </c>
      <c r="AO34" s="494">
        <v>1.372E-2</v>
      </c>
      <c r="AP34" s="494">
        <v>1.372E-2</v>
      </c>
      <c r="AQ34" s="494" t="s">
        <v>326</v>
      </c>
      <c r="AR34" s="494" t="s">
        <v>326</v>
      </c>
      <c r="AS34" s="616">
        <v>7.2489999999999999E-2</v>
      </c>
      <c r="AT34" s="612">
        <v>1.372E-2</v>
      </c>
      <c r="AU34" s="612">
        <v>1.372E-2</v>
      </c>
      <c r="AV34" s="612">
        <v>1.372E-2</v>
      </c>
      <c r="AW34" s="612">
        <v>1.372E-2</v>
      </c>
      <c r="AX34" s="612">
        <v>1.372E-2</v>
      </c>
      <c r="AY34" s="612">
        <v>1.372E-2</v>
      </c>
      <c r="AZ34" s="612">
        <v>1.372E-2</v>
      </c>
      <c r="BA34" s="612">
        <v>1.372E-2</v>
      </c>
      <c r="BB34" s="612">
        <v>1.372E-2</v>
      </c>
      <c r="BC34" s="494" t="s">
        <v>326</v>
      </c>
      <c r="BD34" s="494" t="s">
        <v>326</v>
      </c>
    </row>
    <row r="35" spans="1:63" hidden="1" outlineLevel="1">
      <c r="A35" s="481"/>
      <c r="B35" s="574" t="s">
        <v>39</v>
      </c>
      <c r="E35" s="490"/>
      <c r="F35" s="490"/>
      <c r="G35" s="494" t="s">
        <v>267</v>
      </c>
      <c r="H35" s="494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4" t="s">
        <v>267</v>
      </c>
      <c r="T35" s="494" t="s">
        <v>267</v>
      </c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4" t="s">
        <v>267</v>
      </c>
      <c r="AF35" s="494" t="s">
        <v>267</v>
      </c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616"/>
      <c r="AT35" s="612"/>
      <c r="AU35" s="612"/>
      <c r="AV35" s="612"/>
      <c r="AW35" s="612"/>
      <c r="AX35" s="612"/>
      <c r="AY35" s="612"/>
      <c r="AZ35" s="612"/>
      <c r="BA35" s="612"/>
      <c r="BB35" s="612"/>
      <c r="BC35" s="494"/>
      <c r="BD35" s="494"/>
    </row>
    <row r="36" spans="1:63" collapsed="1">
      <c r="A36" s="481"/>
      <c r="B36" s="479" t="s">
        <v>40</v>
      </c>
      <c r="E36" s="490">
        <v>2.998E-2</v>
      </c>
      <c r="F36" s="490">
        <v>2.998E-2</v>
      </c>
      <c r="G36" s="494" t="s">
        <v>267</v>
      </c>
      <c r="H36" s="494" t="s">
        <v>267</v>
      </c>
      <c r="I36" s="490">
        <v>-1.5820000000000001E-2</v>
      </c>
      <c r="J36" s="490">
        <v>-1.5820000000000001E-2</v>
      </c>
      <c r="K36" s="490">
        <v>-1.5820000000000001E-2</v>
      </c>
      <c r="L36" s="490">
        <v>-1.5820000000000001E-2</v>
      </c>
      <c r="M36" s="490">
        <v>-1.5820000000000001E-2</v>
      </c>
      <c r="N36" s="490">
        <v>-1.5820000000000001E-2</v>
      </c>
      <c r="O36" s="490">
        <v>-1.5820000000000001E-2</v>
      </c>
      <c r="P36" s="490">
        <v>-1.5820000000000001E-2</v>
      </c>
      <c r="Q36" s="490">
        <v>-1.5820000000000001E-2</v>
      </c>
      <c r="R36" s="490">
        <v>-1.5820000000000001E-2</v>
      </c>
      <c r="S36" s="494" t="s">
        <v>267</v>
      </c>
      <c r="T36" s="494" t="s">
        <v>267</v>
      </c>
      <c r="U36" s="490">
        <v>-1.0359999999999999E-2</v>
      </c>
      <c r="V36" s="490">
        <v>-1.0359999999999999E-2</v>
      </c>
      <c r="W36" s="490">
        <v>-1.0359999999999999E-2</v>
      </c>
      <c r="X36" s="490">
        <v>-1.0359999999999999E-2</v>
      </c>
      <c r="Y36" s="490">
        <v>-1.0359999999999999E-2</v>
      </c>
      <c r="Z36" s="490">
        <v>-1.0359999999999999E-2</v>
      </c>
      <c r="AA36" s="490">
        <v>-1.0359999999999999E-2</v>
      </c>
      <c r="AB36" s="490">
        <v>-1.0359999999999999E-2</v>
      </c>
      <c r="AC36" s="490">
        <v>-1.0359999999999999E-2</v>
      </c>
      <c r="AD36" s="490">
        <v>-1.0359999999999999E-2</v>
      </c>
      <c r="AE36" s="494" t="s">
        <v>326</v>
      </c>
      <c r="AF36" s="494" t="s">
        <v>326</v>
      </c>
      <c r="AG36" s="494">
        <v>-5.2900000000000004E-3</v>
      </c>
      <c r="AH36" s="494">
        <v>-5.2900000000000004E-3</v>
      </c>
      <c r="AI36" s="494">
        <v>-5.2900000000000004E-3</v>
      </c>
      <c r="AJ36" s="494">
        <v>-5.2900000000000004E-3</v>
      </c>
      <c r="AK36" s="494">
        <v>-5.2900000000000004E-3</v>
      </c>
      <c r="AL36" s="494">
        <v>-5.2900000000000004E-3</v>
      </c>
      <c r="AM36" s="494">
        <v>-5.2900000000000004E-3</v>
      </c>
      <c r="AN36" s="494">
        <v>-5.2900000000000004E-3</v>
      </c>
      <c r="AO36" s="494">
        <v>-5.2900000000000004E-3</v>
      </c>
      <c r="AP36" s="494">
        <v>-5.2900000000000004E-3</v>
      </c>
      <c r="AQ36" s="494" t="s">
        <v>326</v>
      </c>
      <c r="AR36" s="494" t="s">
        <v>326</v>
      </c>
      <c r="AS36" s="616">
        <v>4.4479999999999999E-2</v>
      </c>
      <c r="AT36" s="612">
        <v>-5.2900000000000004E-3</v>
      </c>
      <c r="AU36" s="612">
        <v>-5.2900000000000004E-3</v>
      </c>
      <c r="AV36" s="612">
        <v>-5.2900000000000004E-3</v>
      </c>
      <c r="AW36" s="612">
        <v>-5.2900000000000004E-3</v>
      </c>
      <c r="AX36" s="612">
        <v>-5.2900000000000004E-3</v>
      </c>
      <c r="AY36" s="612">
        <v>-5.2900000000000004E-3</v>
      </c>
      <c r="AZ36" s="612">
        <v>-5.2900000000000004E-3</v>
      </c>
      <c r="BA36" s="612">
        <v>-5.2900000000000004E-3</v>
      </c>
      <c r="BB36" s="612">
        <v>-5.2900000000000004E-3</v>
      </c>
      <c r="BC36" s="494" t="s">
        <v>326</v>
      </c>
      <c r="BD36" s="494" t="s">
        <v>326</v>
      </c>
    </row>
    <row r="37" spans="1:63" hidden="1" outlineLevel="1">
      <c r="A37" s="481"/>
      <c r="B37" s="574" t="s">
        <v>41</v>
      </c>
      <c r="E37" s="490"/>
      <c r="F37" s="490"/>
      <c r="G37" s="494" t="s">
        <v>267</v>
      </c>
      <c r="H37" s="494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4" t="s">
        <v>267</v>
      </c>
      <c r="T37" s="494" t="s">
        <v>267</v>
      </c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4" t="s">
        <v>267</v>
      </c>
      <c r="AF37" s="494" t="s">
        <v>267</v>
      </c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616"/>
      <c r="AT37" s="612"/>
      <c r="AU37" s="612"/>
      <c r="AV37" s="612"/>
      <c r="AW37" s="612"/>
      <c r="AX37" s="612"/>
      <c r="AY37" s="612"/>
      <c r="AZ37" s="612"/>
      <c r="BA37" s="612"/>
      <c r="BB37" s="612"/>
      <c r="BC37" s="494"/>
      <c r="BD37" s="494"/>
    </row>
    <row r="38" spans="1:63" ht="16.5" collapsed="1" thickBot="1">
      <c r="A38" s="481"/>
      <c r="B38" s="479" t="s">
        <v>42</v>
      </c>
      <c r="E38" s="490">
        <v>5.7389999999999997E-2</v>
      </c>
      <c r="F38" s="490">
        <v>5.7389999999999997E-2</v>
      </c>
      <c r="G38" s="494" t="s">
        <v>267</v>
      </c>
      <c r="H38" s="494" t="s">
        <v>267</v>
      </c>
      <c r="I38" s="490">
        <v>3.0499999999999999E-2</v>
      </c>
      <c r="J38" s="490">
        <v>3.0499999999999999E-2</v>
      </c>
      <c r="K38" s="490">
        <v>3.0499999999999999E-2</v>
      </c>
      <c r="L38" s="490">
        <v>3.0499999999999999E-2</v>
      </c>
      <c r="M38" s="490">
        <v>3.0499999999999999E-2</v>
      </c>
      <c r="N38" s="490">
        <v>3.0499999999999999E-2</v>
      </c>
      <c r="O38" s="490">
        <v>3.0499999999999999E-2</v>
      </c>
      <c r="P38" s="490">
        <v>3.0499999999999999E-2</v>
      </c>
      <c r="Q38" s="490">
        <v>3.0499999999999999E-2</v>
      </c>
      <c r="R38" s="490">
        <v>3.0499999999999999E-2</v>
      </c>
      <c r="S38" s="494" t="s">
        <v>267</v>
      </c>
      <c r="T38" s="494" t="s">
        <v>267</v>
      </c>
      <c r="U38" s="490">
        <v>-2.3310000000000001E-2</v>
      </c>
      <c r="V38" s="490">
        <v>-2.3310000000000001E-2</v>
      </c>
      <c r="W38" s="490">
        <v>-2.3310000000000001E-2</v>
      </c>
      <c r="X38" s="490">
        <v>-2.3310000000000001E-2</v>
      </c>
      <c r="Y38" s="490">
        <v>-2.3310000000000001E-2</v>
      </c>
      <c r="Z38" s="490">
        <v>-2.3310000000000001E-2</v>
      </c>
      <c r="AA38" s="490">
        <v>-2.3310000000000001E-2</v>
      </c>
      <c r="AB38" s="490">
        <v>-2.3310000000000001E-2</v>
      </c>
      <c r="AC38" s="490">
        <v>-2.3310000000000001E-2</v>
      </c>
      <c r="AD38" s="490">
        <v>-2.3310000000000001E-2</v>
      </c>
      <c r="AE38" s="494" t="s">
        <v>326</v>
      </c>
      <c r="AF38" s="494" t="s">
        <v>326</v>
      </c>
      <c r="AG38" s="494">
        <v>1.635E-2</v>
      </c>
      <c r="AH38" s="494">
        <v>1.635E-2</v>
      </c>
      <c r="AI38" s="494">
        <v>1.635E-2</v>
      </c>
      <c r="AJ38" s="494">
        <v>1.635E-2</v>
      </c>
      <c r="AK38" s="494">
        <v>1.635E-2</v>
      </c>
      <c r="AL38" s="494">
        <v>1.635E-2</v>
      </c>
      <c r="AM38" s="494">
        <v>1.635E-2</v>
      </c>
      <c r="AN38" s="494">
        <v>1.635E-2</v>
      </c>
      <c r="AO38" s="494">
        <v>1.635E-2</v>
      </c>
      <c r="AP38" s="494">
        <v>1.635E-2</v>
      </c>
      <c r="AQ38" s="494" t="s">
        <v>326</v>
      </c>
      <c r="AR38" s="494" t="s">
        <v>326</v>
      </c>
      <c r="AS38" s="616">
        <v>8.8340000000000002E-2</v>
      </c>
      <c r="AT38" s="612">
        <v>1.635E-2</v>
      </c>
      <c r="AU38" s="612">
        <v>1.635E-2</v>
      </c>
      <c r="AV38" s="612">
        <v>1.635E-2</v>
      </c>
      <c r="AW38" s="612">
        <v>1.635E-2</v>
      </c>
      <c r="AX38" s="612">
        <v>1.635E-2</v>
      </c>
      <c r="AY38" s="612">
        <v>1.635E-2</v>
      </c>
      <c r="AZ38" s="612">
        <v>1.635E-2</v>
      </c>
      <c r="BA38" s="612">
        <v>1.635E-2</v>
      </c>
      <c r="BB38" s="612">
        <v>1.635E-2</v>
      </c>
      <c r="BC38" s="494" t="s">
        <v>326</v>
      </c>
      <c r="BD38" s="494" t="s">
        <v>326</v>
      </c>
    </row>
    <row r="39" spans="1:63" ht="16.5" hidden="1" outlineLevel="1" thickBot="1">
      <c r="A39" s="481"/>
      <c r="B39" s="574" t="s">
        <v>43</v>
      </c>
      <c r="E39" s="490"/>
      <c r="F39" s="490"/>
      <c r="G39" s="494" t="s">
        <v>267</v>
      </c>
      <c r="H39" s="494" t="s">
        <v>267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4" t="s">
        <v>267</v>
      </c>
      <c r="T39" s="494" t="s">
        <v>267</v>
      </c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4" t="s">
        <v>267</v>
      </c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616"/>
      <c r="AT39" s="612"/>
      <c r="AU39" s="612"/>
      <c r="AV39" s="612"/>
      <c r="AW39" s="612"/>
      <c r="AX39" s="612"/>
      <c r="AY39" s="612"/>
      <c r="AZ39" s="612"/>
      <c r="BA39" s="612"/>
      <c r="BB39" s="612"/>
      <c r="BC39" s="494"/>
      <c r="BD39" s="494"/>
      <c r="BF39" s="481"/>
      <c r="BG39" s="482"/>
      <c r="BH39" s="481"/>
      <c r="BI39" s="481"/>
      <c r="BJ39" s="481"/>
      <c r="BK39" s="481"/>
    </row>
    <row r="40" spans="1:63" ht="16.5" collapsed="1" thickBot="1">
      <c r="A40" s="481"/>
      <c r="B40" s="479" t="s">
        <v>74</v>
      </c>
      <c r="E40" s="490">
        <v>0</v>
      </c>
      <c r="F40" s="490">
        <v>0</v>
      </c>
      <c r="G40" s="494" t="s">
        <v>267</v>
      </c>
      <c r="H40" s="494" t="s">
        <v>267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4" t="s">
        <v>267</v>
      </c>
      <c r="T40" s="494" t="s">
        <v>267</v>
      </c>
      <c r="U40" s="490">
        <v>0</v>
      </c>
      <c r="V40" s="490">
        <v>0</v>
      </c>
      <c r="W40" s="490">
        <v>0</v>
      </c>
      <c r="X40" s="490">
        <v>0</v>
      </c>
      <c r="Y40" s="490">
        <v>0</v>
      </c>
      <c r="Z40" s="490">
        <v>0</v>
      </c>
      <c r="AA40" s="490">
        <v>0</v>
      </c>
      <c r="AB40" s="490">
        <v>0</v>
      </c>
      <c r="AC40" s="490">
        <v>0</v>
      </c>
      <c r="AD40" s="490">
        <v>0</v>
      </c>
      <c r="AE40" s="494" t="s">
        <v>326</v>
      </c>
      <c r="AF40" s="494" t="s">
        <v>326</v>
      </c>
      <c r="AG40" s="494">
        <v>0</v>
      </c>
      <c r="AH40" s="494">
        <v>0</v>
      </c>
      <c r="AI40" s="494">
        <v>0</v>
      </c>
      <c r="AJ40" s="494">
        <v>0</v>
      </c>
      <c r="AK40" s="494">
        <v>0</v>
      </c>
      <c r="AL40" s="494">
        <v>0</v>
      </c>
      <c r="AM40" s="494">
        <v>0</v>
      </c>
      <c r="AN40" s="494">
        <v>0</v>
      </c>
      <c r="AO40" s="494">
        <v>0</v>
      </c>
      <c r="AP40" s="494">
        <v>0</v>
      </c>
      <c r="AQ40" s="494" t="s">
        <v>326</v>
      </c>
      <c r="AR40" s="494" t="s">
        <v>326</v>
      </c>
      <c r="AS40" s="616">
        <v>0</v>
      </c>
      <c r="AT40" s="612">
        <v>0</v>
      </c>
      <c r="AU40" s="612">
        <v>0</v>
      </c>
      <c r="AV40" s="612">
        <v>0</v>
      </c>
      <c r="AW40" s="612">
        <v>0</v>
      </c>
      <c r="AX40" s="612">
        <v>0</v>
      </c>
      <c r="AY40" s="612">
        <v>0</v>
      </c>
      <c r="AZ40" s="612">
        <v>0</v>
      </c>
      <c r="BA40" s="612">
        <v>0</v>
      </c>
      <c r="BB40" s="612">
        <v>0</v>
      </c>
      <c r="BC40" s="494" t="s">
        <v>326</v>
      </c>
      <c r="BD40" s="494" t="s">
        <v>326</v>
      </c>
      <c r="BF40" s="511">
        <f>BF4</f>
        <v>201701</v>
      </c>
      <c r="BG40" s="524"/>
      <c r="BH40" s="512"/>
      <c r="BI40" s="512"/>
      <c r="BJ40" s="512"/>
      <c r="BK40" s="513"/>
    </row>
    <row r="41" spans="1:63">
      <c r="A41" s="481" t="s">
        <v>290</v>
      </c>
      <c r="E41" s="490"/>
      <c r="F41" s="490"/>
      <c r="G41" s="494"/>
      <c r="H41" s="494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0"/>
      <c r="AZ41" s="490"/>
      <c r="BA41" s="490"/>
      <c r="BB41" s="490"/>
      <c r="BC41" s="490"/>
      <c r="BD41" s="490"/>
      <c r="BF41" s="495" t="s">
        <v>295</v>
      </c>
      <c r="BG41" s="525">
        <v>419600</v>
      </c>
      <c r="BH41" s="496" t="s">
        <v>285</v>
      </c>
      <c r="BI41" s="496" t="s">
        <v>286</v>
      </c>
      <c r="BJ41" s="517">
        <v>0</v>
      </c>
      <c r="BK41" s="518">
        <f>IF(SUMIF(Q42:AR42,BF40,Q46:AR46)&gt;0,SUMIF(Q42:AR42,BF40,Q46:AR46),0)</f>
        <v>0</v>
      </c>
    </row>
    <row r="42" spans="1:63" s="481" customFormat="1">
      <c r="A42" s="482">
        <v>191000</v>
      </c>
      <c r="B42" s="483" t="s">
        <v>253</v>
      </c>
      <c r="C42" s="484" t="s">
        <v>248</v>
      </c>
      <c r="D42" s="485" t="s">
        <v>249</v>
      </c>
      <c r="E42" s="482">
        <v>201309</v>
      </c>
      <c r="F42" s="482">
        <f>E42+1</f>
        <v>201310</v>
      </c>
      <c r="G42" s="482">
        <f>F42+1</f>
        <v>201311</v>
      </c>
      <c r="H42" s="482">
        <f>G42+1</f>
        <v>201312</v>
      </c>
      <c r="I42" s="482">
        <v>201401</v>
      </c>
      <c r="J42" s="482">
        <v>201402</v>
      </c>
      <c r="K42" s="482">
        <v>201403</v>
      </c>
      <c r="L42" s="482">
        <v>201404</v>
      </c>
      <c r="M42" s="482">
        <v>201405</v>
      </c>
      <c r="N42" s="482">
        <v>201406</v>
      </c>
      <c r="O42" s="482">
        <v>201407</v>
      </c>
      <c r="P42" s="482">
        <v>201408</v>
      </c>
      <c r="Q42" s="482">
        <v>201409</v>
      </c>
      <c r="R42" s="482">
        <v>201410</v>
      </c>
      <c r="S42" s="482">
        <v>201411</v>
      </c>
      <c r="T42" s="482">
        <v>201412</v>
      </c>
      <c r="U42" s="482">
        <v>201501</v>
      </c>
      <c r="V42" s="482">
        <f t="shared" ref="V42:AD42" si="38">U42+1</f>
        <v>201502</v>
      </c>
      <c r="W42" s="482">
        <f t="shared" si="38"/>
        <v>201503</v>
      </c>
      <c r="X42" s="482">
        <f t="shared" si="38"/>
        <v>201504</v>
      </c>
      <c r="Y42" s="482">
        <f t="shared" si="38"/>
        <v>201505</v>
      </c>
      <c r="Z42" s="482">
        <f t="shared" si="38"/>
        <v>201506</v>
      </c>
      <c r="AA42" s="482">
        <f t="shared" si="38"/>
        <v>201507</v>
      </c>
      <c r="AB42" s="482">
        <f t="shared" si="38"/>
        <v>201508</v>
      </c>
      <c r="AC42" s="482">
        <f t="shared" si="38"/>
        <v>201509</v>
      </c>
      <c r="AD42" s="482">
        <f t="shared" si="38"/>
        <v>201510</v>
      </c>
      <c r="AE42" s="482">
        <f>AD42+1</f>
        <v>201511</v>
      </c>
      <c r="AF42" s="482">
        <f t="shared" ref="AF42" si="39">AE42+1</f>
        <v>201512</v>
      </c>
      <c r="AG42" s="482">
        <v>201601</v>
      </c>
      <c r="AH42" s="482">
        <f>AG42+1</f>
        <v>201602</v>
      </c>
      <c r="AI42" s="482">
        <f t="shared" ref="AI42:AR42" si="40">AH42+1</f>
        <v>201603</v>
      </c>
      <c r="AJ42" s="482">
        <f t="shared" si="40"/>
        <v>201604</v>
      </c>
      <c r="AK42" s="482">
        <f t="shared" si="40"/>
        <v>201605</v>
      </c>
      <c r="AL42" s="482">
        <f t="shared" si="40"/>
        <v>201606</v>
      </c>
      <c r="AM42" s="482">
        <f t="shared" si="40"/>
        <v>201607</v>
      </c>
      <c r="AN42" s="482">
        <f t="shared" si="40"/>
        <v>201608</v>
      </c>
      <c r="AO42" s="482">
        <f t="shared" si="40"/>
        <v>201609</v>
      </c>
      <c r="AP42" s="482">
        <f t="shared" si="40"/>
        <v>201610</v>
      </c>
      <c r="AQ42" s="482">
        <f t="shared" si="40"/>
        <v>201611</v>
      </c>
      <c r="AR42" s="482">
        <f t="shared" si="40"/>
        <v>201612</v>
      </c>
      <c r="AS42" s="482">
        <f>AS3</f>
        <v>201701</v>
      </c>
      <c r="AT42" s="482">
        <f>AS42+1</f>
        <v>201702</v>
      </c>
      <c r="AU42" s="482">
        <f t="shared" ref="AU42:BD42" si="41">AT42+1</f>
        <v>201703</v>
      </c>
      <c r="AV42" s="482">
        <f t="shared" si="41"/>
        <v>201704</v>
      </c>
      <c r="AW42" s="482">
        <f t="shared" si="41"/>
        <v>201705</v>
      </c>
      <c r="AX42" s="482">
        <f t="shared" si="41"/>
        <v>201706</v>
      </c>
      <c r="AY42" s="482">
        <f t="shared" si="41"/>
        <v>201707</v>
      </c>
      <c r="AZ42" s="482">
        <f t="shared" si="41"/>
        <v>201708</v>
      </c>
      <c r="BA42" s="482">
        <f t="shared" si="41"/>
        <v>201709</v>
      </c>
      <c r="BB42" s="482">
        <f t="shared" si="41"/>
        <v>201710</v>
      </c>
      <c r="BC42" s="482">
        <f t="shared" si="41"/>
        <v>201711</v>
      </c>
      <c r="BD42" s="482">
        <f t="shared" si="41"/>
        <v>201712</v>
      </c>
      <c r="BE42" s="577"/>
      <c r="BF42" s="497" t="s">
        <v>296</v>
      </c>
      <c r="BG42" s="526">
        <v>431600</v>
      </c>
      <c r="BH42" s="356" t="s">
        <v>285</v>
      </c>
      <c r="BI42" s="356" t="s">
        <v>286</v>
      </c>
      <c r="BJ42" s="379">
        <f>IF(SUMIF(Q42:BD42,BF40,Q46:BD46)&lt;0,-SUMIF(Q42:BD42,BF40,Q46:BD46),0)</f>
        <v>24542.860758193601</v>
      </c>
      <c r="BK42" s="498">
        <v>0</v>
      </c>
    </row>
    <row r="43" spans="1:63" s="481" customFormat="1">
      <c r="B43" s="483" t="s">
        <v>254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3.2500000000000001E-2</v>
      </c>
      <c r="I43" s="486">
        <v>3.2500000000000001E-2</v>
      </c>
      <c r="J43" s="486">
        <v>3.2500000000000001E-2</v>
      </c>
      <c r="K43" s="486">
        <v>3.2500000000000001E-2</v>
      </c>
      <c r="L43" s="486">
        <v>3.2500000000000001E-2</v>
      </c>
      <c r="M43" s="486">
        <v>3.2500000000000001E-2</v>
      </c>
      <c r="N43" s="486">
        <v>3.2500000000000001E-2</v>
      </c>
      <c r="O43" s="486">
        <v>3.2500000000000001E-2</v>
      </c>
      <c r="P43" s="486">
        <v>3.2500000000000001E-2</v>
      </c>
      <c r="Q43" s="486">
        <v>3.2500000000000001E-2</v>
      </c>
      <c r="R43" s="486">
        <v>3.2500000000000001E-2</v>
      </c>
      <c r="S43" s="486">
        <v>3.2500000000000001E-2</v>
      </c>
      <c r="T43" s="486">
        <v>3.2500000000000001E-2</v>
      </c>
      <c r="U43" s="486">
        <v>3.2500000000000001E-2</v>
      </c>
      <c r="V43" s="486">
        <v>3.2500000000000001E-2</v>
      </c>
      <c r="W43" s="486">
        <v>3.2500000000000001E-2</v>
      </c>
      <c r="X43" s="486">
        <v>3.2500000000000001E-2</v>
      </c>
      <c r="Y43" s="486">
        <v>3.2500000000000001E-2</v>
      </c>
      <c r="Z43" s="486">
        <v>3.2500000000000001E-2</v>
      </c>
      <c r="AA43" s="486">
        <v>3.2500000000000001E-2</v>
      </c>
      <c r="AB43" s="486">
        <v>3.2500000000000001E-2</v>
      </c>
      <c r="AC43" s="486">
        <v>3.2500000000000001E-2</v>
      </c>
      <c r="AD43" s="486">
        <v>3.2500000000000001E-2</v>
      </c>
      <c r="AE43" s="486">
        <v>3.2500000000000001E-2</v>
      </c>
      <c r="AF43" s="486">
        <v>3.2500000000000001E-2</v>
      </c>
      <c r="AG43" s="486">
        <v>3.2500000000000001E-2</v>
      </c>
      <c r="AH43" s="486">
        <v>3.2500000000000001E-2</v>
      </c>
      <c r="AI43" s="486">
        <v>3.2500000000000001E-2</v>
      </c>
      <c r="AJ43" s="486">
        <v>3.4599999999999999E-2</v>
      </c>
      <c r="AK43" s="486">
        <v>3.4599999999999999E-2</v>
      </c>
      <c r="AL43" s="486">
        <v>3.4599999999999999E-2</v>
      </c>
      <c r="AM43" s="486">
        <v>3.5000000000000003E-2</v>
      </c>
      <c r="AN43" s="586">
        <v>3.5000000000000003E-2</v>
      </c>
      <c r="AO43" s="586">
        <v>3.5000000000000003E-2</v>
      </c>
      <c r="AP43" s="586">
        <v>3.5000000000000003E-2</v>
      </c>
      <c r="AQ43" s="586">
        <v>3.5000000000000003E-2</v>
      </c>
      <c r="AR43" s="586">
        <v>3.5000000000000003E-2</v>
      </c>
      <c r="AS43" s="617">
        <v>3.5000000000000003E-2</v>
      </c>
      <c r="AT43" s="486"/>
      <c r="AU43" s="486"/>
      <c r="AV43" s="486"/>
      <c r="AW43" s="486"/>
      <c r="AX43" s="486"/>
      <c r="AY43" s="486"/>
      <c r="AZ43" s="586"/>
      <c r="BA43" s="586"/>
      <c r="BB43" s="586"/>
      <c r="BC43" s="586"/>
      <c r="BD43" s="586"/>
      <c r="BE43" s="577"/>
      <c r="BF43" s="497" t="s">
        <v>297</v>
      </c>
      <c r="BG43" s="526">
        <v>191000</v>
      </c>
      <c r="BH43" s="356" t="s">
        <v>285</v>
      </c>
      <c r="BI43" s="356" t="s">
        <v>286</v>
      </c>
      <c r="BJ43" s="379">
        <f>IF((SUMIF(Q42:BD42,BF40,Q45:BD45)+SUMIF(Q42:BD42,BF40,Q46:BD46))&gt;0,(SUMIF(Q42:BD42,BF40,Q45:BD45)+SUMIF(Q42:BD42,BF40,Q46:BD46)),0)</f>
        <v>3126072.3911918062</v>
      </c>
      <c r="BK43" s="498">
        <f>IF((SUMIF(Q42:BD42,BF40,Q45:BD45)+SUMIF(Q42:BD42,BF40,Q46:BD46))&lt;0,-(SUMIF(Q42:BD42,BF40,Q45:BD45)+SUMIF(Q42:BD42,BF40,Q46:BD46)),0)</f>
        <v>0</v>
      </c>
    </row>
    <row r="44" spans="1:63">
      <c r="A44" s="491"/>
      <c r="B44" s="479" t="s">
        <v>250</v>
      </c>
      <c r="E44" s="480">
        <v>-194854.27149590768</v>
      </c>
      <c r="F44" s="480">
        <f>E49</f>
        <v>-46035.360287444513</v>
      </c>
      <c r="G44" s="480">
        <f>F49</f>
        <v>404885.58467682183</v>
      </c>
      <c r="H44" s="480">
        <f>G49</f>
        <v>1486369.5928734979</v>
      </c>
      <c r="I44" s="480">
        <v>1388326.8065187801</v>
      </c>
      <c r="J44" s="480">
        <v>1256080.2312424269</v>
      </c>
      <c r="K44" s="480">
        <v>1153258.7731084346</v>
      </c>
      <c r="L44" s="480">
        <v>1078717.1045833002</v>
      </c>
      <c r="M44" s="480">
        <v>1033496.2426010612</v>
      </c>
      <c r="N44" s="480">
        <v>1007906.7387058339</v>
      </c>
      <c r="O44" s="480">
        <v>987738.42680743511</v>
      </c>
      <c r="P44" s="480">
        <v>972066.68936231779</v>
      </c>
      <c r="Q44" s="480">
        <v>955827.4742971377</v>
      </c>
      <c r="R44" s="480">
        <v>935484.97275235492</v>
      </c>
      <c r="S44" s="480">
        <v>900376.74388303224</v>
      </c>
      <c r="T44" s="480">
        <v>-1984640.7833043733</v>
      </c>
      <c r="U44" s="480">
        <v>-1530288.7769039478</v>
      </c>
      <c r="V44" s="480">
        <v>-1203520.6941716045</v>
      </c>
      <c r="W44" s="480">
        <v>-978605.01769356499</v>
      </c>
      <c r="X44" s="480">
        <v>-801445.32791263924</v>
      </c>
      <c r="Y44" s="480">
        <v>-669275.24177190254</v>
      </c>
      <c r="Z44" s="480">
        <v>-610882.24266902648</v>
      </c>
      <c r="AA44" s="480">
        <v>-574943.04011245095</v>
      </c>
      <c r="AB44" s="480">
        <v>-537511.27700320142</v>
      </c>
      <c r="AC44" s="480">
        <v>-503286.03358886426</v>
      </c>
      <c r="AD44" s="480">
        <v>-446057.56644618412</v>
      </c>
      <c r="AE44" s="480">
        <v>-360318.05653003836</v>
      </c>
      <c r="AF44" s="480">
        <f t="shared" ref="AF44:AK44" si="42">AE49</f>
        <v>-2966848.8846008489</v>
      </c>
      <c r="AG44" s="480">
        <f t="shared" si="42"/>
        <v>-2400830.7877258095</v>
      </c>
      <c r="AH44" s="480">
        <f t="shared" si="42"/>
        <v>-1799942.4443073752</v>
      </c>
      <c r="AI44" s="480">
        <f t="shared" si="42"/>
        <v>-1367080.388300563</v>
      </c>
      <c r="AJ44" s="480">
        <f t="shared" si="42"/>
        <v>-991269.16134300514</v>
      </c>
      <c r="AK44" s="480">
        <f t="shared" si="42"/>
        <v>-820633.96798459429</v>
      </c>
      <c r="AL44" s="480">
        <f>AK49</f>
        <v>-706831.28344430251</v>
      </c>
      <c r="AM44" s="480">
        <f t="shared" ref="AM44:AN44" si="43">AL49</f>
        <v>-615740.82707996247</v>
      </c>
      <c r="AN44" s="480">
        <f t="shared" si="43"/>
        <v>-539081.43298013532</v>
      </c>
      <c r="AO44" s="480">
        <f>AN49</f>
        <v>-459570.5002163836</v>
      </c>
      <c r="AP44" s="480">
        <f>AO49</f>
        <v>-353667.8760235564</v>
      </c>
      <c r="AQ44" s="558">
        <f>AP49</f>
        <v>-123445.19123732927</v>
      </c>
      <c r="AR44" s="480">
        <f>AQ49</f>
        <v>-12794629.54065969</v>
      </c>
      <c r="AS44" s="480">
        <f>AR49</f>
        <v>-9990002.7430699486</v>
      </c>
      <c r="AT44" s="480">
        <f t="shared" ref="AT44:AW44" si="44">AS49</f>
        <v>-6863930.3518781429</v>
      </c>
      <c r="AU44" s="480">
        <f t="shared" si="44"/>
        <v>-6273172.5391281433</v>
      </c>
      <c r="AV44" s="480">
        <f t="shared" si="44"/>
        <v>-5829401.0698481435</v>
      </c>
      <c r="AW44" s="480">
        <f t="shared" si="44"/>
        <v>-5527472.9360881438</v>
      </c>
      <c r="AX44" s="480">
        <f>AW49</f>
        <v>-5368540.0190381436</v>
      </c>
      <c r="AY44" s="480">
        <f t="shared" ref="AY44:AZ44" si="45">AX49</f>
        <v>-5278848.1765081435</v>
      </c>
      <c r="AZ44" s="480">
        <f t="shared" si="45"/>
        <v>-5207157.9746981431</v>
      </c>
      <c r="BA44" s="480">
        <f>AZ49</f>
        <v>-5135059.4347081427</v>
      </c>
      <c r="BB44" s="480">
        <f>BA49</f>
        <v>-5107094.4289681427</v>
      </c>
      <c r="BC44" s="558">
        <f>BB49</f>
        <v>-5058248.1813481431</v>
      </c>
      <c r="BD44" s="480">
        <f>BC49</f>
        <v>-17689968.871348146</v>
      </c>
      <c r="BF44" s="497" t="s">
        <v>298</v>
      </c>
      <c r="BG44" s="526">
        <v>805110</v>
      </c>
      <c r="BH44" s="356" t="s">
        <v>285</v>
      </c>
      <c r="BI44" s="356" t="s">
        <v>286</v>
      </c>
      <c r="BJ44" s="379">
        <f>IF((SUMIF(Q42:BD42,BF40,Q45:BD45))&lt;0,-(SUMIF(Q42:BD42,BF40,Q45:BD45)),0)</f>
        <v>0</v>
      </c>
      <c r="BK44" s="498">
        <f>IF((SUMIF(Q42:BD42,BF40,Q45:BD45))&gt;0,(SUMIF(Q42:BD42,BF40,Q45:BD45)),0)</f>
        <v>3150615.2519499999</v>
      </c>
    </row>
    <row r="45" spans="1:63">
      <c r="B45" s="479" t="s">
        <v>23</v>
      </c>
      <c r="C45" s="480">
        <f>SUM(AG45:AR45)</f>
        <v>6501100.8283500001</v>
      </c>
      <c r="D45" s="492">
        <f>SUM(AE45:AP45)</f>
        <v>3332637.8283500001</v>
      </c>
      <c r="E45" s="480">
        <f>SUMPRODUCT(E19:E27,E32:E40)</f>
        <v>149144.67478</v>
      </c>
      <c r="F45" s="480">
        <f>SUMPRODUCT(F19:F27,F32:F40)</f>
        <v>450435.65911000001</v>
      </c>
      <c r="G45" s="480">
        <v>-82277.84</v>
      </c>
      <c r="H45" s="480">
        <v>-101930.34</v>
      </c>
      <c r="I45" s="480">
        <v>-108116.73896</v>
      </c>
      <c r="J45" s="480">
        <v>-106079.69250999999</v>
      </c>
      <c r="K45" s="480">
        <v>-77560.048470000009</v>
      </c>
      <c r="L45" s="480">
        <v>-48077.28282</v>
      </c>
      <c r="M45" s="480">
        <v>-28350.165369999999</v>
      </c>
      <c r="N45" s="480">
        <v>-22867.09346</v>
      </c>
      <c r="O45" s="480">
        <v>-18322.051239999997</v>
      </c>
      <c r="P45" s="480">
        <v>-18846.37455</v>
      </c>
      <c r="Q45" s="480">
        <v>-22900.190279999999</v>
      </c>
      <c r="R45" s="480">
        <v>-37590.929620000003</v>
      </c>
      <c r="S45" s="552">
        <v>257672.26615000004</v>
      </c>
      <c r="T45" s="552">
        <v>312766.45</v>
      </c>
      <c r="U45" s="480">
        <v>330465.11</v>
      </c>
      <c r="V45" s="480">
        <v>227866.64228000003</v>
      </c>
      <c r="W45" s="480">
        <v>179566.91484000001</v>
      </c>
      <c r="X45" s="480">
        <v>134158.99359999999</v>
      </c>
      <c r="Y45" s="480">
        <v>60124.201359999999</v>
      </c>
      <c r="Z45" s="480">
        <v>37542.836040000002</v>
      </c>
      <c r="AA45" s="480">
        <v>38936.174440000003</v>
      </c>
      <c r="AB45" s="480">
        <v>35632.750439999996</v>
      </c>
      <c r="AC45" s="480">
        <v>58512.29808</v>
      </c>
      <c r="AD45" s="480">
        <v>86830.000200000009</v>
      </c>
      <c r="AE45" s="480">
        <v>457096</v>
      </c>
      <c r="AF45" s="480">
        <v>573277</v>
      </c>
      <c r="AG45" s="480">
        <v>606569.19767999998</v>
      </c>
      <c r="AH45" s="480">
        <v>437144.93303000001</v>
      </c>
      <c r="AI45" s="480">
        <v>379000.50648999994</v>
      </c>
      <c r="AJ45" s="480">
        <v>173243.59325999999</v>
      </c>
      <c r="AK45" s="480">
        <v>116001.61016</v>
      </c>
      <c r="AL45" s="480">
        <v>92994.419610000012</v>
      </c>
      <c r="AM45" s="480">
        <v>78341.057469999985</v>
      </c>
      <c r="AN45" s="480">
        <v>80965.179390000005</v>
      </c>
      <c r="AO45" s="480">
        <v>107086.8698</v>
      </c>
      <c r="AP45" s="480">
        <v>230917.46145999999</v>
      </c>
      <c r="AQ45" s="558">
        <v>1361030</v>
      </c>
      <c r="AR45" s="480">
        <f>2837806</f>
        <v>2837806</v>
      </c>
      <c r="AS45" s="480">
        <f>SUMPRODUCT(AS19:AS27,AS32:AS40)</f>
        <v>3150615.2519499999</v>
      </c>
      <c r="AT45" s="480">
        <f t="shared" ref="AT45" si="46">SUMPRODUCT(AT19:AT27,AT32:AT40)</f>
        <v>590757.81275000004</v>
      </c>
      <c r="AU45" s="480">
        <f>SUMPRODUCT(AU19:AU27,AU32:AU40)</f>
        <v>443771.46928000002</v>
      </c>
      <c r="AV45" s="480">
        <f t="shared" ref="AV45:AW45" si="47">SUMPRODUCT(AV19:AV27,AV32:AV40)</f>
        <v>301928.13376000006</v>
      </c>
      <c r="AW45" s="480">
        <f t="shared" si="47"/>
        <v>158932.91704999999</v>
      </c>
      <c r="AX45" s="480">
        <f>SUMPRODUCT(AX19:AX27,AX32:AX40)</f>
        <v>89691.842529999994</v>
      </c>
      <c r="AY45" s="480">
        <f t="shared" ref="AY45:AZ45" si="48">SUMPRODUCT(AY19:AY27,AY32:AY40)</f>
        <v>71690.201809999999</v>
      </c>
      <c r="AZ45" s="480">
        <f t="shared" si="48"/>
        <v>72098.539990000005</v>
      </c>
      <c r="BA45" s="480">
        <f>SUMPRODUCT(BA19:BA27,BA32:BA40)</f>
        <v>27965.005740000001</v>
      </c>
      <c r="BB45" s="480">
        <f>SUMPRODUCT(BB19:BB27,BB32:BB40)</f>
        <v>48846.247620000002</v>
      </c>
      <c r="BC45" s="558">
        <v>1361030</v>
      </c>
      <c r="BD45" s="480">
        <f>2837806</f>
        <v>2837806</v>
      </c>
      <c r="BF45" s="153" t="s">
        <v>156</v>
      </c>
      <c r="BG45" s="208">
        <f>BG43</f>
        <v>191000</v>
      </c>
      <c r="BH45" s="208" t="str">
        <f t="shared" ref="BH45:BI46" si="49">BH43</f>
        <v>GD</v>
      </c>
      <c r="BI45" s="208" t="str">
        <f t="shared" si="49"/>
        <v>WA</v>
      </c>
      <c r="BJ45" s="470">
        <v>0</v>
      </c>
      <c r="BK45" s="460">
        <v>0</v>
      </c>
    </row>
    <row r="46" spans="1:63" ht="16.5" thickBot="1">
      <c r="B46" s="479" t="s">
        <v>4</v>
      </c>
      <c r="C46" s="480">
        <f t="shared" ref="C46:C48" si="50">SUM(AG46:AR46)</f>
        <v>-97522.093694136056</v>
      </c>
      <c r="D46" s="492">
        <f t="shared" ref="D46" si="51">SUM(AE46:AP46)</f>
        <v>-40847.023057290899</v>
      </c>
      <c r="E46" s="480">
        <f>(E44*(E43/12))+((E45/2)*(E43/12))</f>
        <v>-325.7635715368333</v>
      </c>
      <c r="F46" s="480">
        <f>(F44*(F43/12))+((F45/2)*(F43/12))</f>
        <v>485.28585426629616</v>
      </c>
      <c r="G46" s="480">
        <f>((G44+G47)*(G43/12))+(((G45+G48)/2)*(G43/12))</f>
        <v>4107.1195298889406</v>
      </c>
      <c r="H46" s="487">
        <f>(H44*(H43/12))+((H45/2)*(H43/12))</f>
        <v>3887.5536452823899</v>
      </c>
      <c r="I46" s="487">
        <v>3613.643683646696</v>
      </c>
      <c r="J46" s="487">
        <v>3258.2343760076146</v>
      </c>
      <c r="K46" s="487">
        <v>3018.3799448655523</v>
      </c>
      <c r="L46" s="487">
        <v>2856.4208377610212</v>
      </c>
      <c r="M46" s="487">
        <v>2760.6614747726658</v>
      </c>
      <c r="N46" s="487">
        <v>2698.7815616012172</v>
      </c>
      <c r="O46" s="487">
        <v>2650.3137948826366</v>
      </c>
      <c r="P46" s="487">
        <v>2607.1594848198192</v>
      </c>
      <c r="Q46" s="487">
        <v>2557.688735217248</v>
      </c>
      <c r="R46" s="487">
        <v>2482.7007506772115</v>
      </c>
      <c r="S46" s="554">
        <v>-5609.7233374053303</v>
      </c>
      <c r="T46" s="555">
        <v>-4753.3635995743443</v>
      </c>
      <c r="U46" s="487">
        <v>-3697.0272676565255</v>
      </c>
      <c r="V46" s="487">
        <v>-2950.9658019605959</v>
      </c>
      <c r="W46" s="487">
        <v>-2407.2250590742387</v>
      </c>
      <c r="X46" s="487">
        <v>-1988.9074592633983</v>
      </c>
      <c r="Y46" s="487">
        <v>-1731.2022571239027</v>
      </c>
      <c r="Z46" s="487">
        <v>-1603.6334834244467</v>
      </c>
      <c r="AA46" s="487">
        <v>-1504.4113307503878</v>
      </c>
      <c r="AB46" s="487">
        <v>-1407.5070256628373</v>
      </c>
      <c r="AC46" s="487">
        <v>-1283.8309373198406</v>
      </c>
      <c r="AD46" s="487">
        <v>-1090.4902838542487</v>
      </c>
      <c r="AE46" s="487">
        <v>-8708.8880708105207</v>
      </c>
      <c r="AF46" s="487">
        <f>((AF44+AF47)*(AF43/12))+(((AF45+AF48)/2)*(AF43/12))</f>
        <v>-7258.9031249606332</v>
      </c>
      <c r="AG46" s="487">
        <v>-5680.8542615657343</v>
      </c>
      <c r="AH46" s="487">
        <v>-4282.8770231876824</v>
      </c>
      <c r="AI46" s="487">
        <v>-3189.27953244215</v>
      </c>
      <c r="AJ46" s="487">
        <v>-2608.3999015891645</v>
      </c>
      <c r="AK46" s="487">
        <v>-2198.9256197082468</v>
      </c>
      <c r="AL46" s="487">
        <v>-1903.9632456599886</v>
      </c>
      <c r="AM46" s="487">
        <v>-1681.6633701728074</v>
      </c>
      <c r="AN46" s="487">
        <v>-1454.2466262483115</v>
      </c>
      <c r="AO46" s="487">
        <v>-1184.2456071727854</v>
      </c>
      <c r="AP46" s="487">
        <v>-694.77667377287275</v>
      </c>
      <c r="AQ46" s="555">
        <f>((AQ44+AQ47)*(AQ43/12))+(((AQ45+AQ48)/2)*(AQ43/12))</f>
        <v>-39463.659422358884</v>
      </c>
      <c r="AR46" s="487">
        <f>((AR44+AR47)*(AR43/12))+(((AR45+AR48)/2)*(AR43/12))</f>
        <v>-33179.202410257429</v>
      </c>
      <c r="AS46" s="487">
        <f>((AS44+AS47)*(AS43/12))+(((AS45+AS48)/2)*(AS43/12))</f>
        <v>-24542.860758193601</v>
      </c>
      <c r="AT46" s="487">
        <f t="shared" ref="AT46:AY46" si="52">((AT44+AT47)*(AT43/12))+(((AT45+AT48)/2)*(AT43/12))</f>
        <v>0</v>
      </c>
      <c r="AU46" s="487">
        <f t="shared" si="52"/>
        <v>0</v>
      </c>
      <c r="AV46" s="487">
        <f t="shared" si="52"/>
        <v>0</v>
      </c>
      <c r="AW46" s="487">
        <f t="shared" si="52"/>
        <v>0</v>
      </c>
      <c r="AX46" s="487">
        <f t="shared" si="52"/>
        <v>0</v>
      </c>
      <c r="AY46" s="487">
        <f t="shared" si="52"/>
        <v>0</v>
      </c>
      <c r="AZ46" s="487">
        <f>((AZ44+AZ47)*(AZ43/12))+(((AZ45+AZ48)/2)*(AZ43/12))</f>
        <v>0</v>
      </c>
      <c r="BA46" s="487">
        <f>((BA44+BA47)*(BA43/12))+(((BA45+BA48)/2)*(BA43/12))</f>
        <v>0</v>
      </c>
      <c r="BB46" s="487">
        <f>((BB44+BB47)*(BB43/12))+(((BB45+BB48)/2)*(BB43/12))</f>
        <v>0</v>
      </c>
      <c r="BC46" s="555">
        <f>((BC44+BC47)*(BC43/12))+(((BC45+BC48)/2)*(BC43/12))</f>
        <v>0</v>
      </c>
      <c r="BD46" s="487">
        <f>((BD44+BD47)*(BD43/12))+(((BD45+BD48)/2)*(BD43/12))</f>
        <v>0</v>
      </c>
      <c r="BF46" s="154" t="str">
        <f>BF45</f>
        <v>Large Customer Refund</v>
      </c>
      <c r="BG46" s="556">
        <f>BG44</f>
        <v>805110</v>
      </c>
      <c r="BH46" s="556" t="str">
        <f t="shared" si="49"/>
        <v>GD</v>
      </c>
      <c r="BI46" s="556" t="str">
        <f t="shared" si="49"/>
        <v>WA</v>
      </c>
      <c r="BJ46" s="462">
        <f>BK45</f>
        <v>0</v>
      </c>
      <c r="BK46" s="471">
        <f>BJ45</f>
        <v>0</v>
      </c>
    </row>
    <row r="47" spans="1:63" ht="16.5" thickBot="1">
      <c r="B47" s="479" t="s">
        <v>256</v>
      </c>
      <c r="C47" s="480">
        <f t="shared" si="50"/>
        <v>-14182183.960000001</v>
      </c>
      <c r="D47" s="492"/>
      <c r="E47" s="480">
        <v>0</v>
      </c>
      <c r="F47" s="480">
        <v>0</v>
      </c>
      <c r="G47" s="480">
        <v>1145801.7486667871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552">
        <v>-3063910.6100000003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480">
        <v>0</v>
      </c>
      <c r="AB47" s="480">
        <v>0</v>
      </c>
      <c r="AC47" s="480">
        <v>0</v>
      </c>
      <c r="AD47" s="480">
        <v>0</v>
      </c>
      <c r="AE47" s="552">
        <v>-3112720.83</v>
      </c>
      <c r="AF47" s="480">
        <v>0</v>
      </c>
      <c r="AG47" s="480">
        <v>0</v>
      </c>
      <c r="AH47" s="480">
        <v>0</v>
      </c>
      <c r="AI47" s="480">
        <v>0</v>
      </c>
      <c r="AJ47" s="480">
        <v>0</v>
      </c>
      <c r="AK47" s="480">
        <v>0</v>
      </c>
      <c r="AL47" s="480">
        <v>0</v>
      </c>
      <c r="AM47" s="480">
        <v>0</v>
      </c>
      <c r="AN47" s="480">
        <v>0</v>
      </c>
      <c r="AO47" s="480">
        <v>0</v>
      </c>
      <c r="AP47" s="480">
        <v>0</v>
      </c>
      <c r="AQ47" s="607">
        <v>-14182183.960000001</v>
      </c>
      <c r="AR47" s="480">
        <v>0</v>
      </c>
      <c r="AS47" s="480">
        <v>0</v>
      </c>
      <c r="AT47" s="480">
        <v>0</v>
      </c>
      <c r="AU47" s="480">
        <v>0</v>
      </c>
      <c r="AV47" s="480">
        <v>0</v>
      </c>
      <c r="AW47" s="480">
        <v>0</v>
      </c>
      <c r="AX47" s="480">
        <v>0</v>
      </c>
      <c r="AY47" s="480">
        <v>0</v>
      </c>
      <c r="AZ47" s="480">
        <v>0</v>
      </c>
      <c r="BA47" s="480">
        <v>0</v>
      </c>
      <c r="BB47" s="480">
        <v>0</v>
      </c>
      <c r="BC47" s="607">
        <v>-14182183.960000001</v>
      </c>
      <c r="BD47" s="480">
        <v>0</v>
      </c>
      <c r="BF47" s="514"/>
      <c r="BG47" s="528"/>
      <c r="BH47" s="515"/>
      <c r="BI47" s="515"/>
      <c r="BJ47" s="515" t="s">
        <v>159</v>
      </c>
      <c r="BK47" s="516">
        <f>SUM(BJ41:BJ46)-SUM(BK41:BK46)</f>
        <v>0</v>
      </c>
    </row>
    <row r="48" spans="1:63">
      <c r="B48" s="479" t="s">
        <v>148</v>
      </c>
      <c r="C48" s="480">
        <f t="shared" si="50"/>
        <v>189433.27</v>
      </c>
      <c r="D48" s="492"/>
      <c r="E48" s="480">
        <v>0</v>
      </c>
      <c r="F48" s="480">
        <v>0</v>
      </c>
      <c r="G48" s="480">
        <v>13852.98</v>
      </c>
      <c r="H48" s="480">
        <v>0</v>
      </c>
      <c r="I48" s="536">
        <v>-27743.479999999981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480">
        <v>0</v>
      </c>
      <c r="P48" s="480">
        <v>0</v>
      </c>
      <c r="Q48" s="480">
        <v>0</v>
      </c>
      <c r="R48" s="480">
        <v>0</v>
      </c>
      <c r="S48" s="552">
        <v>-73169.460000000006</v>
      </c>
      <c r="T48" s="552">
        <v>146338.92000000001</v>
      </c>
      <c r="U48" s="558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480">
        <v>0</v>
      </c>
      <c r="AB48" s="480">
        <v>0</v>
      </c>
      <c r="AC48" s="480">
        <v>0</v>
      </c>
      <c r="AD48" s="480">
        <v>0</v>
      </c>
      <c r="AE48" s="552">
        <v>57802.89</v>
      </c>
      <c r="AF48" s="480">
        <v>0</v>
      </c>
      <c r="AG48" s="480">
        <v>0</v>
      </c>
      <c r="AH48" s="480">
        <v>0</v>
      </c>
      <c r="AI48" s="480">
        <v>0</v>
      </c>
      <c r="AJ48" s="480">
        <v>0</v>
      </c>
      <c r="AK48" s="480">
        <v>0</v>
      </c>
      <c r="AL48" s="480">
        <v>0</v>
      </c>
      <c r="AM48" s="480">
        <v>0</v>
      </c>
      <c r="AN48" s="480">
        <v>0</v>
      </c>
      <c r="AO48" s="480">
        <v>0</v>
      </c>
      <c r="AP48" s="480">
        <v>0</v>
      </c>
      <c r="AQ48" s="558">
        <v>189433.27</v>
      </c>
      <c r="AR48" s="480">
        <v>0</v>
      </c>
      <c r="AS48" s="480">
        <v>0</v>
      </c>
      <c r="AT48" s="480">
        <v>0</v>
      </c>
      <c r="AU48" s="480">
        <v>0</v>
      </c>
      <c r="AV48" s="480">
        <v>0</v>
      </c>
      <c r="AW48" s="480">
        <v>0</v>
      </c>
      <c r="AX48" s="480">
        <v>0</v>
      </c>
      <c r="AY48" s="480">
        <v>0</v>
      </c>
      <c r="AZ48" s="480">
        <v>0</v>
      </c>
      <c r="BA48" s="480">
        <v>0</v>
      </c>
      <c r="BB48" s="480">
        <v>0</v>
      </c>
      <c r="BC48" s="558">
        <v>189433.27</v>
      </c>
      <c r="BD48" s="480">
        <v>0</v>
      </c>
    </row>
    <row r="49" spans="1:62" ht="16.5" thickBot="1">
      <c r="B49" s="479" t="s">
        <v>56</v>
      </c>
      <c r="C49" s="539">
        <f>SUM(C45:C48)</f>
        <v>-7589171.9553441377</v>
      </c>
      <c r="D49" s="539"/>
      <c r="E49" s="539">
        <f>SUM(E44:E48)</f>
        <v>-46035.360287444513</v>
      </c>
      <c r="F49" s="539">
        <f t="shared" ref="F49:H49" si="53">SUM(F44:F48)</f>
        <v>404885.58467682183</v>
      </c>
      <c r="G49" s="539">
        <f t="shared" si="53"/>
        <v>1486369.5928734979</v>
      </c>
      <c r="H49" s="539">
        <f t="shared" si="53"/>
        <v>1388326.8065187801</v>
      </c>
      <c r="I49" s="539">
        <v>1256080.2312424269</v>
      </c>
      <c r="J49" s="539">
        <v>1153258.7731084346</v>
      </c>
      <c r="K49" s="539">
        <v>1078717.1045833002</v>
      </c>
      <c r="L49" s="539">
        <v>1033496.2426010612</v>
      </c>
      <c r="M49" s="539">
        <v>1007906.7387058339</v>
      </c>
      <c r="N49" s="539">
        <v>987738.42680743511</v>
      </c>
      <c r="O49" s="539">
        <v>972066.68936231779</v>
      </c>
      <c r="P49" s="539">
        <v>955827.4742971377</v>
      </c>
      <c r="Q49" s="539">
        <v>935484.97275235492</v>
      </c>
      <c r="R49" s="539">
        <v>900376.74388303224</v>
      </c>
      <c r="S49" s="539">
        <v>-1984640.7833043733</v>
      </c>
      <c r="T49" s="539">
        <v>-1530288.7769039478</v>
      </c>
      <c r="U49" s="539">
        <v>-1203520.6941716045</v>
      </c>
      <c r="V49" s="539">
        <f t="shared" ref="V49:AR49" si="54">SUM(V44:V48)</f>
        <v>-978605.01769356499</v>
      </c>
      <c r="W49" s="539">
        <f t="shared" si="54"/>
        <v>-801445.32791263924</v>
      </c>
      <c r="X49" s="539">
        <f t="shared" si="54"/>
        <v>-669275.24177190254</v>
      </c>
      <c r="Y49" s="539">
        <f t="shared" si="54"/>
        <v>-610882.24266902648</v>
      </c>
      <c r="Z49" s="539">
        <f t="shared" si="54"/>
        <v>-574943.04011245095</v>
      </c>
      <c r="AA49" s="539">
        <f t="shared" si="54"/>
        <v>-537511.27700320142</v>
      </c>
      <c r="AB49" s="539">
        <f t="shared" si="54"/>
        <v>-503286.03358886426</v>
      </c>
      <c r="AC49" s="539">
        <f t="shared" si="54"/>
        <v>-446057.56644618412</v>
      </c>
      <c r="AD49" s="539">
        <f t="shared" si="54"/>
        <v>-360318.05653003836</v>
      </c>
      <c r="AE49" s="539">
        <f t="shared" si="54"/>
        <v>-2966848.8846008489</v>
      </c>
      <c r="AF49" s="539">
        <f t="shared" si="54"/>
        <v>-2400830.7877258095</v>
      </c>
      <c r="AG49" s="539">
        <f t="shared" si="54"/>
        <v>-1799942.4443073752</v>
      </c>
      <c r="AH49" s="539">
        <f t="shared" si="54"/>
        <v>-1367080.388300563</v>
      </c>
      <c r="AI49" s="539">
        <f t="shared" si="54"/>
        <v>-991269.16134300514</v>
      </c>
      <c r="AJ49" s="539">
        <f t="shared" si="54"/>
        <v>-820633.96798459429</v>
      </c>
      <c r="AK49" s="539">
        <f t="shared" si="54"/>
        <v>-706831.28344430251</v>
      </c>
      <c r="AL49" s="539">
        <f t="shared" si="54"/>
        <v>-615740.82707996247</v>
      </c>
      <c r="AM49" s="539">
        <f>SUM(AM44:AM48)</f>
        <v>-539081.43298013532</v>
      </c>
      <c r="AN49" s="539">
        <f t="shared" si="54"/>
        <v>-459570.5002163836</v>
      </c>
      <c r="AO49" s="539">
        <f t="shared" si="54"/>
        <v>-353667.8760235564</v>
      </c>
      <c r="AP49" s="539">
        <f t="shared" si="54"/>
        <v>-123445.19123732927</v>
      </c>
      <c r="AQ49" s="539">
        <f>SUM(AQ44:AQ48)</f>
        <v>-12794629.54065969</v>
      </c>
      <c r="AR49" s="539">
        <f t="shared" si="54"/>
        <v>-9990002.7430699486</v>
      </c>
      <c r="AS49" s="539">
        <f>SUM(AS44:AS48)</f>
        <v>-6863930.3518781429</v>
      </c>
      <c r="AT49" s="539">
        <f t="shared" ref="AT49:AX49" si="55">SUM(AT44:AT48)</f>
        <v>-6273172.5391281433</v>
      </c>
      <c r="AU49" s="539">
        <f t="shared" si="55"/>
        <v>-5829401.0698481435</v>
      </c>
      <c r="AV49" s="539">
        <f t="shared" si="55"/>
        <v>-5527472.9360881438</v>
      </c>
      <c r="AW49" s="539">
        <f t="shared" si="55"/>
        <v>-5368540.0190381436</v>
      </c>
      <c r="AX49" s="539">
        <f t="shared" si="55"/>
        <v>-5278848.1765081435</v>
      </c>
      <c r="AY49" s="539">
        <f>SUM(AY44:AY48)</f>
        <v>-5207157.9746981431</v>
      </c>
      <c r="AZ49" s="539">
        <f t="shared" ref="AZ49:BB49" si="56">SUM(AZ44:AZ48)</f>
        <v>-5135059.4347081427</v>
      </c>
      <c r="BA49" s="539">
        <f t="shared" si="56"/>
        <v>-5107094.4289681427</v>
      </c>
      <c r="BB49" s="539">
        <f t="shared" si="56"/>
        <v>-5058248.1813481431</v>
      </c>
      <c r="BC49" s="539">
        <f>SUM(BC44:BC48)</f>
        <v>-17689968.871348146</v>
      </c>
      <c r="BD49" s="539">
        <f t="shared" ref="BD49" si="57">SUM(BD44:BD48)</f>
        <v>-14852162.871348146</v>
      </c>
    </row>
    <row r="50" spans="1:62" ht="16.5" thickTop="1">
      <c r="B50" s="479" t="s">
        <v>257</v>
      </c>
      <c r="E50" s="480">
        <f>_xll.Get_Balance(E42,"YTD","USD","Total","A","","001",$A$42,"GD","WA","DL")</f>
        <v>-46035.14</v>
      </c>
      <c r="F50" s="480">
        <f>_xll.Get_Balance(F42,"YTD","USD","Total","A","","001",$A$42,"GD","WA","DL")</f>
        <v>404885.81</v>
      </c>
      <c r="G50" s="480">
        <f>_xll.Get_Balance(G42,"YTD","USD","Total","A","","001",$A$42,"GD","WA","DL")</f>
        <v>1486369.82</v>
      </c>
      <c r="H50" s="480">
        <f>_xll.Get_Balance(H42,"YTD","USD","Total","A","","001",$A$42,"GD","WA","DL")</f>
        <v>1388327.03</v>
      </c>
      <c r="I50" s="480">
        <v>1256080.45</v>
      </c>
      <c r="J50" s="480">
        <v>1153258.99</v>
      </c>
      <c r="K50" s="480">
        <v>1078717.32</v>
      </c>
      <c r="L50" s="480">
        <v>1033496.46</v>
      </c>
      <c r="M50" s="480">
        <v>1007906.96</v>
      </c>
      <c r="N50" s="480">
        <v>987738.65</v>
      </c>
      <c r="O50" s="480">
        <v>972066.91</v>
      </c>
      <c r="P50" s="480">
        <v>955827.69</v>
      </c>
      <c r="Q50" s="480">
        <v>935485.19</v>
      </c>
      <c r="R50" s="480">
        <v>900376.96</v>
      </c>
      <c r="S50" s="480">
        <v>-1984640.57</v>
      </c>
      <c r="T50" s="480">
        <v>-1530288.56</v>
      </c>
      <c r="U50" s="480">
        <v>-1203520.48</v>
      </c>
      <c r="V50" s="480">
        <f>_xll.Get_Balance(V42,"YTD","USD","Total","A","","001",$A$42,"GD","WA","DL")</f>
        <v>-978604.8</v>
      </c>
      <c r="W50" s="480">
        <f>_xll.Get_Balance(W42,"YTD","USD","Total","A","","001",$A$42,"GD","WA","DL")</f>
        <v>-801445.11</v>
      </c>
      <c r="X50" s="480">
        <f>_xll.Get_Balance(X42,"YTD","USD","Total","A","","001",$A$42,"GD","WA","DL")</f>
        <v>-669275.02</v>
      </c>
      <c r="Y50" s="480">
        <f>_xll.Get_Balance(Y42,"YTD","USD","Total","A","","001",$A$42,"GD","WA","DL")</f>
        <v>-610882.02</v>
      </c>
      <c r="Z50" s="480">
        <f>_xll.Get_Balance(Z42,"YTD","USD","Total","A","","001",$A$42,"GD","WA","DL")</f>
        <v>-574942.81999999995</v>
      </c>
      <c r="AA50" s="480">
        <f>_xll.Get_Balance(AA42,"YTD","USD","Total","A","","001",$A$42,"GD","WA","DL")</f>
        <v>-537511.06000000006</v>
      </c>
      <c r="AB50" s="480">
        <f>_xll.Get_Balance(AB42,"YTD","USD","Total","A","","001",$A$42,"GD","WA","DL")</f>
        <v>-503285.82</v>
      </c>
      <c r="AC50" s="480">
        <f>_xll.Get_Balance(AC42,"YTD","USD","Total","A","","001",$A$42,"GD","WA","DL")</f>
        <v>-446057.35</v>
      </c>
      <c r="AD50" s="480">
        <f>_xll.Get_Balance(AD42,"YTD","USD","Total","A","","001",$A$42,"GD","WA","DL")</f>
        <v>-360317.84</v>
      </c>
      <c r="AE50" s="480">
        <f>_xll.Get_Balance(AE42,"YTD","USD","Total","A","","001",$A$42,"GD","WA","DL")</f>
        <v>-2966848.67</v>
      </c>
      <c r="AF50" s="480">
        <f>_xll.Get_Balance(AF42,"YTD","USD","Total","A","","001",$A$42,"GD","WA","DL")</f>
        <v>-2400830.5699999998</v>
      </c>
      <c r="AG50" s="480">
        <f>_xll.Get_Balance(AG42,"YTD","USD","Total","A","","001",$A$42,"GD","WA","DL")</f>
        <v>-1799942.22</v>
      </c>
      <c r="AH50" s="480">
        <f>_xll.Get_Balance(AH42,"YTD","USD","Total","A","","001",$A$42,"GD","WA","DL")</f>
        <v>-1367080.17</v>
      </c>
      <c r="AI50" s="480">
        <f>_xll.Get_Balance(AI42,"YTD","USD","Total","A","","001",$A$42,"GD","WA","DL")</f>
        <v>-991268.94</v>
      </c>
      <c r="AJ50" s="480">
        <f>_xll.Get_Balance(AJ42,"YTD","USD","Total","A","","001",$A$42,"GD","WA","DL")</f>
        <v>-820633.75</v>
      </c>
      <c r="AK50" s="480">
        <f>_xll.Get_Balance(AK42,"YTD","USD","Total","A","","001",$A$42,"GD","WA","DL")</f>
        <v>-706831.07</v>
      </c>
      <c r="AL50" s="480">
        <f>_xll.Get_Balance(AL42,"YTD","USD","Total","A","","001",$A$42,"GD","WA","DL")</f>
        <v>-615740.61</v>
      </c>
      <c r="AM50" s="480">
        <f>_xll.Get_Balance(AM42,"YTD","USD","Total","A","","001",$A$42,"GD","WA","DL")</f>
        <v>-539081.21</v>
      </c>
      <c r="AN50" s="480">
        <f>_xll.Get_Balance(AN42,"YTD","USD","Total","A","","001",$A$42,"GD","WA","DL")</f>
        <v>-459570.28</v>
      </c>
      <c r="AO50" s="480">
        <f>_xll.Get_Balance(AO42,"YTD","USD","Total","A","","001",$A$42,"GD","WA","DL")</f>
        <v>-353667.66</v>
      </c>
      <c r="AP50" s="480">
        <f>_xll.Get_Balance(AP42,"YTD","USD","Total","A","","001",$A$42,"GD","WA","DL")</f>
        <v>-123444.98</v>
      </c>
      <c r="AQ50" s="480">
        <f>_xll.Get_Balance(AQ42,"YTD","USD","Total","A","","001",$A$42,"GD","WA","DL")</f>
        <v>-12794629.33</v>
      </c>
      <c r="AR50" s="480">
        <f>_xll.Get_Balance(AR42,"YTD","USD","Total","A","","001",$A$42,"GD","WA","DL")</f>
        <v>-9990002.5299999993</v>
      </c>
      <c r="AS50" s="480">
        <f>_xll.Get_Balance(AS42,"YTD","USD","Total","A","","001",$A$42,"GD","WA","DL")</f>
        <v>-6863930.1399999997</v>
      </c>
      <c r="AT50" s="480">
        <f>_xll.Get_Balance(AT42,"YTD","USD","Total","A","","001",$A$42,"GD","WA","DL")</f>
        <v>-4576506.43</v>
      </c>
      <c r="AU50" s="480">
        <f>_xll.Get_Balance(AU42,"YTD","USD","Total","A","","001",$A$42,"GD","WA","DL")</f>
        <v>-2850780.51</v>
      </c>
      <c r="AV50" s="480">
        <f>_xll.Get_Balance(AV42,"YTD","USD","Total","A","","001",$A$42,"GD","WA","DL")</f>
        <v>-1667507.9</v>
      </c>
      <c r="AW50" s="480">
        <f>_xll.Get_Balance(AW42,"YTD","USD","Total","A","","001",$A$42,"GD","WA","DL")</f>
        <v>-1028322.61</v>
      </c>
      <c r="AX50" s="480">
        <f>_xll.Get_Balance(AX42,"YTD","USD","Total","A","","001",$A$42,"GD","WA","DL")</f>
        <v>-648348.48</v>
      </c>
      <c r="AY50" s="480">
        <f>_xll.Get_Balance(AY42,"YTD","USD","Total","A","","001",$A$42,"GD","WA","DL")</f>
        <v>-342730.12</v>
      </c>
      <c r="AZ50" s="480">
        <f>_xll.Get_Balance(AZ42,"YTD","USD","Total","A","","001",$A$42,"GD","WA","DL")</f>
        <v>-33149.019999999997</v>
      </c>
      <c r="BA50" s="480">
        <f>_xll.Get_Balance(BA42,"YTD","USD","Total","A","","001",$A$42,"GD","WA","DL")</f>
        <v>429057.6</v>
      </c>
      <c r="BB50" s="480">
        <f>_xll.Get_Balance(BB42,"YTD","USD","Total","A","","001",$A$42,"GD","WA","DL")</f>
        <v>429057.6</v>
      </c>
      <c r="BC50" s="480">
        <f>_xll.Get_Balance(BC42,"YTD","USD","Total","A","","001",$A$42,"GD","WA","DL")</f>
        <v>429057.6</v>
      </c>
      <c r="BD50" s="480">
        <f>_xll.Get_Balance(BD42,"YTD","USD","Total","A","","001",$A$42,"GD","WA","DL")</f>
        <v>0</v>
      </c>
      <c r="BJ50" s="558"/>
    </row>
    <row r="51" spans="1:62">
      <c r="B51" s="479" t="s">
        <v>243</v>
      </c>
      <c r="E51" s="480">
        <f t="shared" ref="E51:H51" si="58">E49-E50</f>
        <v>-0.22028744451381499</v>
      </c>
      <c r="F51" s="480">
        <f t="shared" si="58"/>
        <v>-0.22532317816512659</v>
      </c>
      <c r="G51" s="480">
        <f t="shared" si="58"/>
        <v>-0.22712650219909847</v>
      </c>
      <c r="H51" s="480">
        <f t="shared" si="58"/>
        <v>-0.22348121996037662</v>
      </c>
      <c r="I51" s="480">
        <v>-0.21875757304951549</v>
      </c>
      <c r="J51" s="480">
        <v>-0.21689156536012888</v>
      </c>
      <c r="K51" s="480">
        <v>-0.21541669988073409</v>
      </c>
      <c r="L51" s="480">
        <v>-0.2173989387229085</v>
      </c>
      <c r="M51" s="480">
        <v>-0.22129416605457664</v>
      </c>
      <c r="N51" s="480">
        <v>-0.22319256491027772</v>
      </c>
      <c r="O51" s="480">
        <v>-0.22063768224325031</v>
      </c>
      <c r="P51" s="480">
        <v>-0.21570286224596202</v>
      </c>
      <c r="Q51" s="480">
        <v>-0.21724764502141625</v>
      </c>
      <c r="R51" s="480">
        <v>-0.21611696772743016</v>
      </c>
      <c r="S51" s="480">
        <v>-0.21330437320284545</v>
      </c>
      <c r="T51" s="480">
        <v>-0.21690394775941968</v>
      </c>
      <c r="U51" s="480">
        <v>-0.21417160448618233</v>
      </c>
      <c r="V51" s="480">
        <f t="shared" ref="V51:AO51" si="59">V49-V50</f>
        <v>-0.21769356494769454</v>
      </c>
      <c r="W51" s="480">
        <f t="shared" si="59"/>
        <v>-0.21791263925842941</v>
      </c>
      <c r="X51" s="480">
        <f t="shared" si="59"/>
        <v>-0.22177190252114087</v>
      </c>
      <c r="Y51" s="480">
        <f t="shared" si="59"/>
        <v>-0.22266902646515518</v>
      </c>
      <c r="Z51" s="480">
        <f t="shared" si="59"/>
        <v>-0.22011245100293308</v>
      </c>
      <c r="AA51" s="480">
        <f t="shared" si="59"/>
        <v>-0.21700320136733353</v>
      </c>
      <c r="AB51" s="480">
        <f t="shared" si="59"/>
        <v>-0.21358886425150558</v>
      </c>
      <c r="AC51" s="480">
        <f t="shared" si="59"/>
        <v>-0.21644618414575234</v>
      </c>
      <c r="AD51" s="480">
        <f t="shared" si="59"/>
        <v>-0.21653003833489493</v>
      </c>
      <c r="AE51" s="480">
        <f t="shared" si="59"/>
        <v>-0.21460084896534681</v>
      </c>
      <c r="AF51" s="480">
        <f t="shared" si="59"/>
        <v>-0.21772580966353416</v>
      </c>
      <c r="AG51" s="480">
        <f t="shared" si="59"/>
        <v>-0.22430737526156008</v>
      </c>
      <c r="AH51" s="480">
        <f t="shared" si="59"/>
        <v>-0.21830056305043399</v>
      </c>
      <c r="AI51" s="480">
        <f t="shared" si="59"/>
        <v>-0.22134300519246608</v>
      </c>
      <c r="AJ51" s="480">
        <f t="shared" si="59"/>
        <v>-0.2179845942882821</v>
      </c>
      <c r="AK51" s="480">
        <f>AK49-AK50</f>
        <v>-0.21344430255703628</v>
      </c>
      <c r="AL51" s="480">
        <f t="shared" si="59"/>
        <v>-0.21707996248733252</v>
      </c>
      <c r="AM51" s="480">
        <f>AM49-AM50</f>
        <v>-0.22298013535328209</v>
      </c>
      <c r="AN51" s="480">
        <f>AN49-AN50</f>
        <v>-0.2202163835754618</v>
      </c>
      <c r="AO51" s="480">
        <f t="shared" si="59"/>
        <v>-0.2160235564224422</v>
      </c>
      <c r="AP51" s="480">
        <f>AP49-AP50</f>
        <v>-0.21123732927662786</v>
      </c>
      <c r="AQ51" s="480">
        <f>AQ49-AQ50</f>
        <v>-0.2106596902012825</v>
      </c>
      <c r="AR51" s="480">
        <f>AR49-AR50</f>
        <v>-0.21306994929909706</v>
      </c>
      <c r="AS51" s="480">
        <f>AS49-AS50</f>
        <v>-0.21187814325094223</v>
      </c>
      <c r="AT51" s="480">
        <f t="shared" ref="AT51:AV51" si="60">AT49-AT50</f>
        <v>-1696666.1091281436</v>
      </c>
      <c r="AU51" s="480">
        <f t="shared" si="60"/>
        <v>-2978620.5598481437</v>
      </c>
      <c r="AV51" s="480">
        <f t="shared" si="60"/>
        <v>-3859965.0360881439</v>
      </c>
      <c r="AW51" s="480">
        <f>AW49-AW50</f>
        <v>-4340217.4090381432</v>
      </c>
      <c r="AX51" s="480">
        <f t="shared" ref="AX51" si="61">AX49-AX50</f>
        <v>-4630499.6965081431</v>
      </c>
      <c r="AY51" s="480">
        <f>AY49-AY50</f>
        <v>-4864427.854698143</v>
      </c>
      <c r="AZ51" s="480">
        <f>AZ49-AZ50</f>
        <v>-5101910.4147081431</v>
      </c>
      <c r="BA51" s="480">
        <f t="shared" ref="BA51" si="62">BA49-BA50</f>
        <v>-5536152.0289681423</v>
      </c>
      <c r="BB51" s="480">
        <f>BB49-BB50</f>
        <v>-5487305.7813481428</v>
      </c>
      <c r="BC51" s="480">
        <f>BC49-BC50</f>
        <v>-18119026.471348148</v>
      </c>
      <c r="BD51" s="480">
        <f>BD49-BD50</f>
        <v>-14852162.871348146</v>
      </c>
    </row>
    <row r="53" spans="1:62">
      <c r="A53" s="481" t="s">
        <v>330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</row>
    <row r="54" spans="1:62">
      <c r="A54" s="482">
        <v>191025</v>
      </c>
      <c r="B54" s="483" t="s">
        <v>253</v>
      </c>
      <c r="C54" s="484" t="s">
        <v>248</v>
      </c>
      <c r="D54" s="484" t="s">
        <v>249</v>
      </c>
      <c r="E54" s="482">
        <v>201309</v>
      </c>
      <c r="F54" s="482">
        <f>E54+1</f>
        <v>201310</v>
      </c>
      <c r="G54" s="482">
        <f>F54+1</f>
        <v>201311</v>
      </c>
      <c r="H54" s="482">
        <f>G54+1</f>
        <v>201312</v>
      </c>
      <c r="I54" s="482">
        <v>201401</v>
      </c>
      <c r="J54" s="482">
        <v>201402</v>
      </c>
      <c r="K54" s="482">
        <v>201403</v>
      </c>
      <c r="L54" s="482">
        <v>201404</v>
      </c>
      <c r="M54" s="482">
        <v>201405</v>
      </c>
      <c r="N54" s="482">
        <v>201406</v>
      </c>
      <c r="O54" s="482">
        <v>201407</v>
      </c>
      <c r="P54" s="482">
        <v>201408</v>
      </c>
      <c r="Q54" s="482">
        <v>201409</v>
      </c>
      <c r="R54" s="482">
        <v>201410</v>
      </c>
      <c r="S54" s="482">
        <v>201411</v>
      </c>
      <c r="T54" s="482">
        <v>201412</v>
      </c>
      <c r="U54" s="482">
        <v>201501</v>
      </c>
      <c r="V54" s="482">
        <f t="shared" ref="V54:AD54" si="63">U54+1</f>
        <v>201502</v>
      </c>
      <c r="W54" s="482">
        <f t="shared" si="63"/>
        <v>201503</v>
      </c>
      <c r="X54" s="482">
        <f t="shared" si="63"/>
        <v>201504</v>
      </c>
      <c r="Y54" s="482">
        <f t="shared" si="63"/>
        <v>201505</v>
      </c>
      <c r="Z54" s="482">
        <f t="shared" si="63"/>
        <v>201506</v>
      </c>
      <c r="AA54" s="482">
        <f t="shared" si="63"/>
        <v>201507</v>
      </c>
      <c r="AB54" s="482">
        <f t="shared" si="63"/>
        <v>201508</v>
      </c>
      <c r="AC54" s="482">
        <f t="shared" si="63"/>
        <v>201509</v>
      </c>
      <c r="AD54" s="482">
        <f t="shared" si="63"/>
        <v>201510</v>
      </c>
      <c r="AE54" s="482">
        <f>AD54+1</f>
        <v>201511</v>
      </c>
      <c r="AF54" s="482">
        <f t="shared" ref="AF54" si="64">AE54+1</f>
        <v>201512</v>
      </c>
      <c r="AG54" s="482">
        <v>201601</v>
      </c>
      <c r="AH54" s="482">
        <f>AG54+1</f>
        <v>201602</v>
      </c>
      <c r="AI54" s="482">
        <f t="shared" ref="AI54:AR54" si="65">AH54+1</f>
        <v>201603</v>
      </c>
      <c r="AJ54" s="482">
        <f t="shared" si="65"/>
        <v>201604</v>
      </c>
      <c r="AK54" s="482">
        <f t="shared" si="65"/>
        <v>201605</v>
      </c>
      <c r="AL54" s="482">
        <f t="shared" si="65"/>
        <v>201606</v>
      </c>
      <c r="AM54" s="482">
        <f t="shared" si="65"/>
        <v>201607</v>
      </c>
      <c r="AN54" s="482">
        <f t="shared" si="65"/>
        <v>201608</v>
      </c>
      <c r="AO54" s="482">
        <f t="shared" si="65"/>
        <v>201609</v>
      </c>
      <c r="AP54" s="482">
        <f t="shared" si="65"/>
        <v>201610</v>
      </c>
      <c r="AQ54" s="482">
        <f t="shared" si="65"/>
        <v>201611</v>
      </c>
      <c r="AR54" s="482">
        <f t="shared" si="65"/>
        <v>201612</v>
      </c>
      <c r="AS54" s="482">
        <f>AS3</f>
        <v>201701</v>
      </c>
      <c r="AT54" s="482">
        <f>AS54+1</f>
        <v>201702</v>
      </c>
      <c r="AU54" s="482">
        <f t="shared" ref="AU54:BD54" si="66">AT54+1</f>
        <v>201703</v>
      </c>
      <c r="AV54" s="482">
        <f t="shared" si="66"/>
        <v>201704</v>
      </c>
      <c r="AW54" s="482">
        <f t="shared" si="66"/>
        <v>201705</v>
      </c>
      <c r="AX54" s="482">
        <f t="shared" si="66"/>
        <v>201706</v>
      </c>
      <c r="AY54" s="482">
        <f t="shared" si="66"/>
        <v>201707</v>
      </c>
      <c r="AZ54" s="482">
        <f t="shared" si="66"/>
        <v>201708</v>
      </c>
      <c r="BA54" s="482">
        <f t="shared" si="66"/>
        <v>201709</v>
      </c>
      <c r="BB54" s="482">
        <f t="shared" si="66"/>
        <v>201710</v>
      </c>
      <c r="BC54" s="482">
        <f t="shared" si="66"/>
        <v>201711</v>
      </c>
      <c r="BD54" s="482">
        <f t="shared" si="66"/>
        <v>201712</v>
      </c>
      <c r="BJ54" s="558"/>
    </row>
    <row r="55" spans="1:62">
      <c r="A55" s="481"/>
      <c r="B55" s="479" t="s">
        <v>37</v>
      </c>
      <c r="C55" s="489">
        <f>SUM(AG55:AR55)</f>
        <v>129553839</v>
      </c>
      <c r="D55" s="489">
        <f>SUM(AE55:AP55)</f>
        <v>128827265</v>
      </c>
      <c r="E55" s="489">
        <v>2647538</v>
      </c>
      <c r="F55" s="489">
        <v>9244353</v>
      </c>
      <c r="G55" s="489">
        <v>15070678</v>
      </c>
      <c r="H55" s="489">
        <v>22636008</v>
      </c>
      <c r="I55" s="541">
        <v>20682450</v>
      </c>
      <c r="J55" s="541">
        <v>20184373</v>
      </c>
      <c r="K55" s="541">
        <v>14096743</v>
      </c>
      <c r="L55" s="541">
        <v>7776328</v>
      </c>
      <c r="M55" s="541">
        <v>3691303</v>
      </c>
      <c r="N55" s="541">
        <v>2545780</v>
      </c>
      <c r="O55" s="541">
        <v>2095088</v>
      </c>
      <c r="P55" s="541">
        <v>2047777</v>
      </c>
      <c r="Q55" s="541">
        <v>2727612</v>
      </c>
      <c r="R55" s="541">
        <v>4953664</v>
      </c>
      <c r="S55" s="541">
        <v>15823016</v>
      </c>
      <c r="T55" s="541">
        <v>19056609</v>
      </c>
      <c r="U55" s="541">
        <v>19909674</v>
      </c>
      <c r="V55" s="541">
        <v>13011547</v>
      </c>
      <c r="W55" s="541">
        <v>10479005</v>
      </c>
      <c r="X55" s="541">
        <v>7714478</v>
      </c>
      <c r="Y55" s="541">
        <v>3297360</v>
      </c>
      <c r="Z55" s="541">
        <v>1968489</v>
      </c>
      <c r="AA55" s="541">
        <v>2145139</v>
      </c>
      <c r="AB55" s="541">
        <v>1956853</v>
      </c>
      <c r="AC55" s="541">
        <v>3273457</v>
      </c>
      <c r="AD55" s="541">
        <v>4833518</v>
      </c>
      <c r="AE55" s="541">
        <v>15375028</v>
      </c>
      <c r="AF55" s="541">
        <v>19459801</v>
      </c>
      <c r="AG55" s="541">
        <f>Jan!$G23</f>
        <v>27259641</v>
      </c>
      <c r="AH55" s="541">
        <f>Feb!$G23</f>
        <v>19157522</v>
      </c>
      <c r="AI55" s="541">
        <f>Mar!$G23</f>
        <v>14316138</v>
      </c>
      <c r="AJ55" s="541">
        <f>Apr!$G23</f>
        <v>9641125</v>
      </c>
      <c r="AK55" s="541">
        <f>May!$G23</f>
        <v>4941679</v>
      </c>
      <c r="AL55" s="541">
        <f>Jun!G23</f>
        <v>2542069</v>
      </c>
      <c r="AM55" s="541">
        <f>Jul!G23</f>
        <v>2070483</v>
      </c>
      <c r="AN55" s="541">
        <f>Aug!G23</f>
        <v>2080707</v>
      </c>
      <c r="AO55" s="541">
        <f>Sep!G23</f>
        <v>3147236</v>
      </c>
      <c r="AP55" s="541">
        <f>Oct!G23</f>
        <v>8835836</v>
      </c>
      <c r="AQ55" s="541">
        <f>Nov!G23</f>
        <v>11352396</v>
      </c>
      <c r="AR55" s="541">
        <f>Dec!$G23</f>
        <v>24209007</v>
      </c>
      <c r="AS55" s="620">
        <f>Jan!$G23</f>
        <v>27259641</v>
      </c>
      <c r="AT55" s="541">
        <f>Feb!$G23</f>
        <v>19157522</v>
      </c>
      <c r="AU55" s="541">
        <f>Mar!$G23</f>
        <v>14316138</v>
      </c>
      <c r="AV55" s="541">
        <f>Apr!$G23</f>
        <v>9641125</v>
      </c>
      <c r="AW55" s="541">
        <f>May!$G23</f>
        <v>4941679</v>
      </c>
      <c r="AX55" s="541">
        <f>Jun!$G23</f>
        <v>2542069</v>
      </c>
      <c r="AY55" s="541">
        <f>Jul!$G23</f>
        <v>2070483</v>
      </c>
      <c r="AZ55" s="541">
        <f>Aug!$G23</f>
        <v>2080707</v>
      </c>
      <c r="BA55" s="541">
        <f>Sep!$G23</f>
        <v>3147236</v>
      </c>
      <c r="BB55" s="541">
        <f>Oct!$G23</f>
        <v>8835836</v>
      </c>
      <c r="BC55" s="541">
        <f>Nov!$G23</f>
        <v>11352396</v>
      </c>
      <c r="BD55" s="541">
        <f>Dec!$G23</f>
        <v>24209007</v>
      </c>
    </row>
    <row r="56" spans="1:62">
      <c r="A56" s="481"/>
      <c r="B56" s="565" t="s">
        <v>324</v>
      </c>
      <c r="C56" s="489">
        <f t="shared" ref="C56:C63" si="67">SUM(AG56:AR56)</f>
        <v>197284</v>
      </c>
      <c r="D56" s="489">
        <f t="shared" ref="D56:D63" si="68">SUM(AE56:AP56)</f>
        <v>153855</v>
      </c>
      <c r="E56" s="489"/>
      <c r="F56" s="489"/>
      <c r="G56" s="489"/>
      <c r="H56" s="489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>
        <v>425</v>
      </c>
      <c r="AE56" s="541">
        <v>3502</v>
      </c>
      <c r="AF56" s="541">
        <v>7942</v>
      </c>
      <c r="AG56" s="541">
        <f>Jan!$G24</f>
        <v>40615</v>
      </c>
      <c r="AH56" s="541">
        <f>Feb!$G24</f>
        <v>29103</v>
      </c>
      <c r="AI56" s="541">
        <f>Mar!$G24</f>
        <v>22738</v>
      </c>
      <c r="AJ56" s="541">
        <f>Apr!$G24</f>
        <v>15697</v>
      </c>
      <c r="AK56" s="541">
        <f>May!$G24</f>
        <v>8078</v>
      </c>
      <c r="AL56" s="541">
        <f>Jun!G24</f>
        <v>3619</v>
      </c>
      <c r="AM56" s="541">
        <f>Jul!G24</f>
        <v>2296</v>
      </c>
      <c r="AN56" s="541">
        <f>Aug!G24</f>
        <v>2393</v>
      </c>
      <c r="AO56" s="541">
        <f>Sep!G24</f>
        <v>3920</v>
      </c>
      <c r="AP56" s="541">
        <f>Oct!G24</f>
        <v>13952</v>
      </c>
      <c r="AQ56" s="541">
        <f>Nov!G24</f>
        <v>19581</v>
      </c>
      <c r="AR56" s="541">
        <f>Dec!$G24</f>
        <v>35292</v>
      </c>
      <c r="AS56" s="620">
        <f>Jan!$G24</f>
        <v>40615</v>
      </c>
      <c r="AT56" s="541">
        <f>Feb!$G24</f>
        <v>29103</v>
      </c>
      <c r="AU56" s="541">
        <f>Mar!$G24</f>
        <v>22738</v>
      </c>
      <c r="AV56" s="541">
        <f>Apr!$G24</f>
        <v>15697</v>
      </c>
      <c r="AW56" s="541">
        <f>May!$G24</f>
        <v>8078</v>
      </c>
      <c r="AX56" s="541">
        <f>Jun!$G24</f>
        <v>3619</v>
      </c>
      <c r="AY56" s="541">
        <f>Jul!$G24</f>
        <v>2296</v>
      </c>
      <c r="AZ56" s="541">
        <f>Aug!$G24</f>
        <v>2393</v>
      </c>
      <c r="BA56" s="541">
        <f>Sep!$G24</f>
        <v>3920</v>
      </c>
      <c r="BB56" s="541">
        <f>Oct!$G24</f>
        <v>13952</v>
      </c>
      <c r="BC56" s="541">
        <f>Nov!$G24</f>
        <v>19581</v>
      </c>
      <c r="BD56" s="541">
        <f>Dec!$G24</f>
        <v>35292</v>
      </c>
    </row>
    <row r="57" spans="1:62">
      <c r="A57" s="481"/>
      <c r="B57" s="479" t="s">
        <v>38</v>
      </c>
      <c r="C57" s="489">
        <f t="shared" si="67"/>
        <v>51323965</v>
      </c>
      <c r="D57" s="489">
        <f t="shared" si="68"/>
        <v>50300771</v>
      </c>
      <c r="E57" s="489">
        <v>1599551</v>
      </c>
      <c r="F57" s="489">
        <v>3880001</v>
      </c>
      <c r="G57" s="489">
        <v>5651303</v>
      </c>
      <c r="H57" s="489">
        <v>7518125</v>
      </c>
      <c r="I57" s="541">
        <v>7025543</v>
      </c>
      <c r="J57" s="541">
        <v>6903553</v>
      </c>
      <c r="K57" s="541">
        <v>5310734</v>
      </c>
      <c r="L57" s="541">
        <v>3390429</v>
      </c>
      <c r="M57" s="541">
        <v>2183609</v>
      </c>
      <c r="N57" s="541">
        <v>1741655</v>
      </c>
      <c r="O57" s="541">
        <v>1476567</v>
      </c>
      <c r="P57" s="541">
        <v>1364087</v>
      </c>
      <c r="Q57" s="541">
        <v>1739755</v>
      </c>
      <c r="R57" s="541">
        <v>2776031</v>
      </c>
      <c r="S57" s="541">
        <v>6141604</v>
      </c>
      <c r="T57" s="541">
        <v>6045485</v>
      </c>
      <c r="U57" s="541">
        <v>6173752</v>
      </c>
      <c r="V57" s="541">
        <v>5630395</v>
      </c>
      <c r="W57" s="541">
        <v>4030672</v>
      </c>
      <c r="X57" s="541">
        <v>3448422</v>
      </c>
      <c r="Y57" s="541">
        <v>1901440</v>
      </c>
      <c r="Z57" s="541">
        <v>1561904</v>
      </c>
      <c r="AA57" s="541">
        <v>1323231</v>
      </c>
      <c r="AB57" s="541">
        <v>1284422</v>
      </c>
      <c r="AC57" s="541">
        <v>1854848</v>
      </c>
      <c r="AD57" s="541">
        <v>2624293</v>
      </c>
      <c r="AE57" s="541">
        <v>5503520</v>
      </c>
      <c r="AF57" s="541">
        <v>6165932</v>
      </c>
      <c r="AG57" s="541">
        <f>Jan!$G25</f>
        <v>8738107</v>
      </c>
      <c r="AH57" s="541">
        <f>Feb!$G25</f>
        <v>7258148</v>
      </c>
      <c r="AI57" s="541">
        <f>Mar!$G25</f>
        <v>5603968</v>
      </c>
      <c r="AJ57" s="541">
        <f>Apr!$G25</f>
        <v>4021494</v>
      </c>
      <c r="AK57" s="541">
        <f>May!$G25</f>
        <v>2425238</v>
      </c>
      <c r="AL57" s="541">
        <f>Jun!G25</f>
        <v>1878375</v>
      </c>
      <c r="AM57" s="541">
        <f>Jul!G25</f>
        <v>1446879</v>
      </c>
      <c r="AN57" s="541">
        <f>Aug!G25</f>
        <v>1463939</v>
      </c>
      <c r="AO57" s="541">
        <f>Sep!G25</f>
        <v>2165313</v>
      </c>
      <c r="AP57" s="541">
        <f>Oct!G25</f>
        <v>3629858</v>
      </c>
      <c r="AQ57" s="541">
        <f>Nov!G25</f>
        <v>4116109</v>
      </c>
      <c r="AR57" s="541">
        <f>Dec!$G25</f>
        <v>8576537</v>
      </c>
      <c r="AS57" s="620">
        <f>Jan!$G25</f>
        <v>8738107</v>
      </c>
      <c r="AT57" s="541">
        <f>Feb!$G25</f>
        <v>7258148</v>
      </c>
      <c r="AU57" s="541">
        <f>Mar!$G25</f>
        <v>5603968</v>
      </c>
      <c r="AV57" s="541">
        <f>Apr!$G25</f>
        <v>4021494</v>
      </c>
      <c r="AW57" s="541">
        <f>May!$G25</f>
        <v>2425238</v>
      </c>
      <c r="AX57" s="541">
        <f>Jun!$G25</f>
        <v>1878375</v>
      </c>
      <c r="AY57" s="541">
        <f>Jul!$G25</f>
        <v>1446879</v>
      </c>
      <c r="AZ57" s="541">
        <f>Aug!$G25</f>
        <v>1463939</v>
      </c>
      <c r="BA57" s="541">
        <f>Sep!$G25</f>
        <v>2165313</v>
      </c>
      <c r="BB57" s="541">
        <f>Oct!$G25</f>
        <v>3629858</v>
      </c>
      <c r="BC57" s="541">
        <f>Nov!$G25</f>
        <v>4116109</v>
      </c>
      <c r="BD57" s="541">
        <f>Dec!$G25</f>
        <v>8576537</v>
      </c>
    </row>
    <row r="58" spans="1:62">
      <c r="A58" s="481"/>
      <c r="B58" s="479" t="s">
        <v>39</v>
      </c>
      <c r="C58" s="489">
        <f t="shared" si="67"/>
        <v>0</v>
      </c>
      <c r="D58" s="489">
        <f t="shared" si="68"/>
        <v>0</v>
      </c>
      <c r="E58" s="489">
        <v>0</v>
      </c>
      <c r="F58" s="489">
        <v>0</v>
      </c>
      <c r="G58" s="489">
        <v>0</v>
      </c>
      <c r="H58" s="489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f>Jan!$G26</f>
        <v>0</v>
      </c>
      <c r="AH58" s="541">
        <f>Feb!$G26</f>
        <v>0</v>
      </c>
      <c r="AI58" s="541">
        <f>Mar!$G26</f>
        <v>0</v>
      </c>
      <c r="AJ58" s="541">
        <f>Apr!$G26</f>
        <v>0</v>
      </c>
      <c r="AK58" s="541">
        <f>May!$G26</f>
        <v>0</v>
      </c>
      <c r="AL58" s="541">
        <f>Jun!G26</f>
        <v>0</v>
      </c>
      <c r="AM58" s="541">
        <f>Jul!G26</f>
        <v>0</v>
      </c>
      <c r="AN58" s="541">
        <f>Aug!G26</f>
        <v>0</v>
      </c>
      <c r="AO58" s="541">
        <f>Sep!G26</f>
        <v>0</v>
      </c>
      <c r="AP58" s="541">
        <f>Oct!G26</f>
        <v>0</v>
      </c>
      <c r="AQ58" s="541">
        <f>Nov!G26</f>
        <v>0</v>
      </c>
      <c r="AR58" s="541">
        <f>Dec!$G26</f>
        <v>0</v>
      </c>
      <c r="AS58" s="620">
        <f>Jan!$G26</f>
        <v>0</v>
      </c>
      <c r="AT58" s="541">
        <f>Feb!$G26</f>
        <v>0</v>
      </c>
      <c r="AU58" s="541">
        <f>Mar!$G26</f>
        <v>0</v>
      </c>
      <c r="AV58" s="541">
        <f>Apr!$G26</f>
        <v>0</v>
      </c>
      <c r="AW58" s="541">
        <f>May!$G26</f>
        <v>0</v>
      </c>
      <c r="AX58" s="541">
        <f>Jun!$G26</f>
        <v>0</v>
      </c>
      <c r="AY58" s="541">
        <f>Jul!$G26</f>
        <v>0</v>
      </c>
      <c r="AZ58" s="541">
        <f>Aug!$G26</f>
        <v>0</v>
      </c>
      <c r="BA58" s="541">
        <f>Sep!$G26</f>
        <v>0</v>
      </c>
      <c r="BB58" s="541">
        <f>Oct!$G26</f>
        <v>0</v>
      </c>
      <c r="BC58" s="541">
        <f>Nov!$G26</f>
        <v>0</v>
      </c>
      <c r="BD58" s="541">
        <f>Dec!$G26</f>
        <v>0</v>
      </c>
    </row>
    <row r="59" spans="1:62">
      <c r="A59" s="481"/>
      <c r="B59" s="479" t="s">
        <v>40</v>
      </c>
      <c r="C59" s="489">
        <f t="shared" si="67"/>
        <v>3609942</v>
      </c>
      <c r="D59" s="489">
        <f t="shared" si="68"/>
        <v>3933939</v>
      </c>
      <c r="E59" s="489">
        <v>344046</v>
      </c>
      <c r="F59" s="489">
        <v>595792</v>
      </c>
      <c r="G59" s="489">
        <v>396185</v>
      </c>
      <c r="H59" s="489">
        <v>588721</v>
      </c>
      <c r="I59" s="541">
        <v>534459</v>
      </c>
      <c r="J59" s="541">
        <v>540817</v>
      </c>
      <c r="K59" s="541">
        <v>425342</v>
      </c>
      <c r="L59" s="541">
        <v>407197</v>
      </c>
      <c r="M59" s="541">
        <v>340947</v>
      </c>
      <c r="N59" s="541">
        <v>361843</v>
      </c>
      <c r="O59" s="541">
        <v>251184</v>
      </c>
      <c r="P59" s="541">
        <v>332621</v>
      </c>
      <c r="Q59" s="541">
        <v>330926</v>
      </c>
      <c r="R59" s="541">
        <v>483057</v>
      </c>
      <c r="S59" s="541">
        <v>518418</v>
      </c>
      <c r="T59" s="541">
        <v>377457</v>
      </c>
      <c r="U59" s="541">
        <v>513680</v>
      </c>
      <c r="V59" s="541">
        <v>431734</v>
      </c>
      <c r="W59" s="541">
        <v>335852</v>
      </c>
      <c r="X59" s="541">
        <v>432834</v>
      </c>
      <c r="Y59" s="541">
        <v>249954</v>
      </c>
      <c r="Z59" s="541">
        <v>322862</v>
      </c>
      <c r="AA59" s="541">
        <v>247078</v>
      </c>
      <c r="AB59" s="541">
        <v>274690</v>
      </c>
      <c r="AC59" s="541">
        <v>336073</v>
      </c>
      <c r="AD59" s="541">
        <v>365802</v>
      </c>
      <c r="AE59" s="541">
        <v>541377</v>
      </c>
      <c r="AF59" s="541">
        <v>331801</v>
      </c>
      <c r="AG59" s="541">
        <f>Jan!$G27</f>
        <v>284721</v>
      </c>
      <c r="AH59" s="541">
        <f>Feb!$G27</f>
        <v>399264</v>
      </c>
      <c r="AI59" s="541">
        <f>Mar!$G27</f>
        <v>334116</v>
      </c>
      <c r="AJ59" s="541">
        <f>Apr!$G27</f>
        <v>288026</v>
      </c>
      <c r="AK59" s="541">
        <f>May!$G27</f>
        <v>302382</v>
      </c>
      <c r="AL59" s="541">
        <f>Jun!G27</f>
        <v>289055</v>
      </c>
      <c r="AM59" s="541">
        <f>Jul!G27</f>
        <v>274504</v>
      </c>
      <c r="AN59" s="541">
        <f>Aug!G27</f>
        <v>291721</v>
      </c>
      <c r="AO59" s="541">
        <f>Sep!G27</f>
        <v>348558</v>
      </c>
      <c r="AP59" s="541">
        <f>Oct!G27</f>
        <v>248414</v>
      </c>
      <c r="AQ59" s="541">
        <f>Nov!G27</f>
        <v>314956</v>
      </c>
      <c r="AR59" s="541">
        <f>Dec!$G27</f>
        <v>234225</v>
      </c>
      <c r="AS59" s="620">
        <f>Jan!$G27</f>
        <v>284721</v>
      </c>
      <c r="AT59" s="541">
        <f>Feb!$G27</f>
        <v>399264</v>
      </c>
      <c r="AU59" s="541">
        <f>Mar!$G27</f>
        <v>334116</v>
      </c>
      <c r="AV59" s="541">
        <f>Apr!$G27</f>
        <v>288026</v>
      </c>
      <c r="AW59" s="541">
        <f>May!$G27</f>
        <v>302382</v>
      </c>
      <c r="AX59" s="541">
        <f>Jun!$G27</f>
        <v>289055</v>
      </c>
      <c r="AY59" s="541">
        <f>Jul!$G27</f>
        <v>274504</v>
      </c>
      <c r="AZ59" s="541">
        <f>Aug!$G27</f>
        <v>291721</v>
      </c>
      <c r="BA59" s="541">
        <f>Sep!$G27</f>
        <v>348558</v>
      </c>
      <c r="BB59" s="541">
        <f>Oct!$G27</f>
        <v>248414</v>
      </c>
      <c r="BC59" s="541">
        <f>Nov!$G27</f>
        <v>314956</v>
      </c>
      <c r="BD59" s="541">
        <f>Dec!$G27</f>
        <v>234225</v>
      </c>
    </row>
    <row r="60" spans="1:62">
      <c r="A60" s="481"/>
      <c r="B60" s="479" t="s">
        <v>41</v>
      </c>
      <c r="C60" s="489">
        <f t="shared" si="67"/>
        <v>506146</v>
      </c>
      <c r="D60" s="489">
        <f t="shared" si="68"/>
        <v>507118</v>
      </c>
      <c r="E60" s="489">
        <v>31388</v>
      </c>
      <c r="F60" s="489">
        <v>40500</v>
      </c>
      <c r="G60" s="489">
        <v>51667</v>
      </c>
      <c r="H60" s="489">
        <v>84319</v>
      </c>
      <c r="I60" s="541">
        <v>95515</v>
      </c>
      <c r="J60" s="541">
        <v>89875</v>
      </c>
      <c r="K60" s="541">
        <v>79687</v>
      </c>
      <c r="L60" s="541">
        <v>48237</v>
      </c>
      <c r="M60" s="541">
        <v>57496</v>
      </c>
      <c r="N60" s="541">
        <v>29984</v>
      </c>
      <c r="O60" s="541">
        <v>36453</v>
      </c>
      <c r="P60" s="541">
        <v>23994</v>
      </c>
      <c r="Q60" s="541">
        <v>27780</v>
      </c>
      <c r="R60" s="541">
        <v>33600</v>
      </c>
      <c r="S60" s="541">
        <v>46503</v>
      </c>
      <c r="T60" s="541">
        <v>74423</v>
      </c>
      <c r="U60" s="541">
        <v>81674</v>
      </c>
      <c r="V60" s="541">
        <v>68846</v>
      </c>
      <c r="W60" s="541">
        <v>57610</v>
      </c>
      <c r="X60" s="541">
        <v>49631</v>
      </c>
      <c r="Y60" s="541">
        <v>46984</v>
      </c>
      <c r="Z60" s="541">
        <v>30135</v>
      </c>
      <c r="AA60" s="541">
        <v>28317</v>
      </c>
      <c r="AB60" s="541">
        <v>27313</v>
      </c>
      <c r="AC60" s="541">
        <v>29790</v>
      </c>
      <c r="AD60" s="541">
        <v>36487</v>
      </c>
      <c r="AE60" s="541">
        <v>47656</v>
      </c>
      <c r="AF60" s="541">
        <v>74705</v>
      </c>
      <c r="AG60" s="541">
        <f>Jan!$G28</f>
        <v>64203</v>
      </c>
      <c r="AH60" s="541">
        <f>Feb!$G28</f>
        <v>55333</v>
      </c>
      <c r="AI60" s="541">
        <f>Mar!$G28</f>
        <v>53363</v>
      </c>
      <c r="AJ60" s="541">
        <f>Apr!$G28</f>
        <v>35134</v>
      </c>
      <c r="AK60" s="541">
        <f>May!$G28</f>
        <v>29064</v>
      </c>
      <c r="AL60" s="541">
        <f>Jun!G28</f>
        <v>17666</v>
      </c>
      <c r="AM60" s="541">
        <f>Jul!G28</f>
        <v>44343</v>
      </c>
      <c r="AN60" s="541">
        <f>Aug!G28</f>
        <v>24662</v>
      </c>
      <c r="AO60" s="541">
        <f>Sep!G28</f>
        <v>26763</v>
      </c>
      <c r="AP60" s="541">
        <f>Oct!G28</f>
        <v>34226</v>
      </c>
      <c r="AQ60" s="541">
        <f>Nov!G28</f>
        <v>51431</v>
      </c>
      <c r="AR60" s="541">
        <f>Dec!$G28</f>
        <v>69958</v>
      </c>
      <c r="AS60" s="620">
        <f>Jan!$G28</f>
        <v>64203</v>
      </c>
      <c r="AT60" s="541">
        <f>Feb!$G28</f>
        <v>55333</v>
      </c>
      <c r="AU60" s="541">
        <f>Mar!$G28</f>
        <v>53363</v>
      </c>
      <c r="AV60" s="541">
        <f>Apr!$G28</f>
        <v>35134</v>
      </c>
      <c r="AW60" s="541">
        <f>May!$G28</f>
        <v>29064</v>
      </c>
      <c r="AX60" s="541">
        <f>Jun!$G28</f>
        <v>17666</v>
      </c>
      <c r="AY60" s="541">
        <f>Jul!$G28</f>
        <v>44343</v>
      </c>
      <c r="AZ60" s="541">
        <f>Aug!$G28</f>
        <v>24662</v>
      </c>
      <c r="BA60" s="541">
        <f>Sep!$G28</f>
        <v>26763</v>
      </c>
      <c r="BB60" s="541">
        <f>Oct!$G28</f>
        <v>34226</v>
      </c>
      <c r="BC60" s="541">
        <f>Nov!$G28</f>
        <v>51431</v>
      </c>
      <c r="BD60" s="541">
        <f>Dec!$G28</f>
        <v>69958</v>
      </c>
    </row>
    <row r="61" spans="1:62">
      <c r="A61" s="481"/>
      <c r="B61" s="479" t="s">
        <v>42</v>
      </c>
      <c r="C61" s="489">
        <f t="shared" si="67"/>
        <v>0</v>
      </c>
      <c r="D61" s="489">
        <f t="shared" si="68"/>
        <v>0</v>
      </c>
      <c r="E61" s="489">
        <v>0</v>
      </c>
      <c r="F61" s="489">
        <v>0</v>
      </c>
      <c r="G61" s="489">
        <v>0</v>
      </c>
      <c r="H61" s="489">
        <v>0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41">
        <v>0</v>
      </c>
      <c r="O61" s="541"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v>0</v>
      </c>
      <c r="U61" s="541">
        <v>0</v>
      </c>
      <c r="V61" s="541">
        <v>0</v>
      </c>
      <c r="W61" s="541">
        <v>0</v>
      </c>
      <c r="X61" s="541">
        <v>0</v>
      </c>
      <c r="Y61" s="541">
        <v>0</v>
      </c>
      <c r="Z61" s="541">
        <v>0</v>
      </c>
      <c r="AA61" s="541">
        <v>0</v>
      </c>
      <c r="AB61" s="541">
        <v>0</v>
      </c>
      <c r="AC61" s="541">
        <v>0</v>
      </c>
      <c r="AD61" s="541">
        <v>0</v>
      </c>
      <c r="AE61" s="541">
        <v>0</v>
      </c>
      <c r="AF61" s="541">
        <v>0</v>
      </c>
      <c r="AG61" s="541">
        <f>Jan!$G29</f>
        <v>0</v>
      </c>
      <c r="AH61" s="541">
        <f>Feb!$G29</f>
        <v>0</v>
      </c>
      <c r="AI61" s="541">
        <f>Mar!$G29</f>
        <v>0</v>
      </c>
      <c r="AJ61" s="541">
        <f>Apr!$G29</f>
        <v>0</v>
      </c>
      <c r="AK61" s="541">
        <f>May!$G29</f>
        <v>0</v>
      </c>
      <c r="AL61" s="541">
        <f>Jun!G29</f>
        <v>0</v>
      </c>
      <c r="AM61" s="541">
        <f>Jul!G29</f>
        <v>0</v>
      </c>
      <c r="AN61" s="541">
        <f>Aug!G29</f>
        <v>0</v>
      </c>
      <c r="AO61" s="541">
        <f>Sep!G29</f>
        <v>0</v>
      </c>
      <c r="AP61" s="541">
        <f>Oct!G29</f>
        <v>0</v>
      </c>
      <c r="AQ61" s="541">
        <f>Nov!G29</f>
        <v>0</v>
      </c>
      <c r="AR61" s="541">
        <f>Dec!$G29</f>
        <v>0</v>
      </c>
      <c r="AS61" s="620">
        <f>Jan!$G29</f>
        <v>0</v>
      </c>
      <c r="AT61" s="541">
        <f>Feb!$G29</f>
        <v>0</v>
      </c>
      <c r="AU61" s="541">
        <f>Mar!$G29</f>
        <v>0</v>
      </c>
      <c r="AV61" s="541">
        <f>Apr!$G29</f>
        <v>0</v>
      </c>
      <c r="AW61" s="541">
        <f>May!$G29</f>
        <v>0</v>
      </c>
      <c r="AX61" s="541">
        <f>Jun!$G29</f>
        <v>0</v>
      </c>
      <c r="AY61" s="541">
        <f>Jul!$G29</f>
        <v>0</v>
      </c>
      <c r="AZ61" s="541">
        <f>Aug!$G29</f>
        <v>0</v>
      </c>
      <c r="BA61" s="541">
        <f>Sep!$G29</f>
        <v>0</v>
      </c>
      <c r="BB61" s="541">
        <f>Oct!$G29</f>
        <v>0</v>
      </c>
      <c r="BC61" s="541">
        <f>Nov!$G29</f>
        <v>0</v>
      </c>
      <c r="BD61" s="541">
        <f>Dec!$G29</f>
        <v>0</v>
      </c>
    </row>
    <row r="62" spans="1:62">
      <c r="A62" s="481"/>
      <c r="B62" s="479" t="s">
        <v>43</v>
      </c>
      <c r="C62" s="489">
        <f t="shared" si="67"/>
        <v>970005</v>
      </c>
      <c r="D62" s="489">
        <f t="shared" si="68"/>
        <v>899065</v>
      </c>
      <c r="E62" s="489">
        <v>54453</v>
      </c>
      <c r="F62" s="489">
        <v>68629</v>
      </c>
      <c r="G62" s="489">
        <v>142001</v>
      </c>
      <c r="H62" s="489">
        <v>132732</v>
      </c>
      <c r="I62" s="541">
        <v>149468</v>
      </c>
      <c r="J62" s="541">
        <v>140495</v>
      </c>
      <c r="K62" s="541">
        <v>132979</v>
      </c>
      <c r="L62" s="541">
        <v>91026</v>
      </c>
      <c r="M62" s="541">
        <v>83802</v>
      </c>
      <c r="N62" s="541">
        <v>58384</v>
      </c>
      <c r="O62" s="541">
        <v>45870</v>
      </c>
      <c r="P62" s="541">
        <v>32437</v>
      </c>
      <c r="Q62" s="541">
        <v>37881</v>
      </c>
      <c r="R62" s="541">
        <v>50626</v>
      </c>
      <c r="S62" s="541">
        <v>67642</v>
      </c>
      <c r="T62" s="541">
        <v>112489</v>
      </c>
      <c r="U62" s="541">
        <v>129251</v>
      </c>
      <c r="V62" s="541">
        <v>123377</v>
      </c>
      <c r="W62" s="541">
        <v>100117</v>
      </c>
      <c r="X62" s="541">
        <v>81076</v>
      </c>
      <c r="Y62" s="541">
        <v>83536</v>
      </c>
      <c r="Z62" s="541">
        <v>56511</v>
      </c>
      <c r="AA62" s="541">
        <v>13364</v>
      </c>
      <c r="AB62" s="541">
        <v>68158</v>
      </c>
      <c r="AC62" s="541">
        <v>45470</v>
      </c>
      <c r="AD62" s="541">
        <v>96224</v>
      </c>
      <c r="AE62" s="541">
        <v>74781</v>
      </c>
      <c r="AF62" s="541">
        <v>51167</v>
      </c>
      <c r="AG62" s="541">
        <f>Jan!$G30</f>
        <v>160387</v>
      </c>
      <c r="AH62" s="541">
        <f>Feb!$G30</f>
        <v>131982</v>
      </c>
      <c r="AI62" s="541">
        <f>Mar!$G30</f>
        <v>102871</v>
      </c>
      <c r="AJ62" s="541">
        <f>Apr!$G30</f>
        <v>88850</v>
      </c>
      <c r="AK62" s="541">
        <f>May!$G30</f>
        <v>71877</v>
      </c>
      <c r="AL62" s="541">
        <f>Jun!G30</f>
        <v>53882</v>
      </c>
      <c r="AM62" s="541">
        <f>Jul!G30</f>
        <v>67673</v>
      </c>
      <c r="AN62" s="541">
        <f>Aug!G30</f>
        <v>23786</v>
      </c>
      <c r="AO62" s="541">
        <f>Sep!G30</f>
        <v>31578</v>
      </c>
      <c r="AP62" s="541">
        <f>Oct!G30</f>
        <v>40231</v>
      </c>
      <c r="AQ62" s="541">
        <f>Nov!G30</f>
        <v>85100</v>
      </c>
      <c r="AR62" s="541">
        <f>Dec!$G30</f>
        <v>111788</v>
      </c>
      <c r="AS62" s="620">
        <f>Jan!$G30</f>
        <v>160387</v>
      </c>
      <c r="AT62" s="541">
        <f>Feb!$G30</f>
        <v>131982</v>
      </c>
      <c r="AU62" s="541">
        <f>Mar!$G30</f>
        <v>102871</v>
      </c>
      <c r="AV62" s="541">
        <f>Apr!$G30</f>
        <v>88850</v>
      </c>
      <c r="AW62" s="541">
        <f>May!$G30</f>
        <v>71877</v>
      </c>
      <c r="AX62" s="541">
        <f>Jun!$G30</f>
        <v>53882</v>
      </c>
      <c r="AY62" s="541">
        <f>Jul!$G30</f>
        <v>67673</v>
      </c>
      <c r="AZ62" s="541">
        <f>Aug!$G30</f>
        <v>23786</v>
      </c>
      <c r="BA62" s="541">
        <f>Sep!$G30</f>
        <v>31578</v>
      </c>
      <c r="BB62" s="541">
        <f>Oct!$G30</f>
        <v>40231</v>
      </c>
      <c r="BC62" s="541">
        <f>Nov!$G30</f>
        <v>85100</v>
      </c>
      <c r="BD62" s="541">
        <f>Dec!$G30</f>
        <v>111788</v>
      </c>
    </row>
    <row r="63" spans="1:62">
      <c r="A63" s="481"/>
      <c r="B63" s="479" t="s">
        <v>74</v>
      </c>
      <c r="C63" s="489">
        <f t="shared" si="67"/>
        <v>35395192</v>
      </c>
      <c r="D63" s="489">
        <f t="shared" si="68"/>
        <v>35179950</v>
      </c>
      <c r="E63" s="489">
        <v>1818699</v>
      </c>
      <c r="F63" s="489">
        <v>2531895</v>
      </c>
      <c r="G63" s="489">
        <v>2936207</v>
      </c>
      <c r="H63" s="489">
        <v>3675604</v>
      </c>
      <c r="I63" s="541">
        <v>3517013</v>
      </c>
      <c r="J63" s="541">
        <v>3103551</v>
      </c>
      <c r="K63" s="541">
        <v>2882510</v>
      </c>
      <c r="L63" s="541">
        <v>2426511</v>
      </c>
      <c r="M63" s="541">
        <v>2096539</v>
      </c>
      <c r="N63" s="541">
        <v>1865473</v>
      </c>
      <c r="O63" s="541">
        <v>1934510</v>
      </c>
      <c r="P63" s="541">
        <v>1781233</v>
      </c>
      <c r="Q63" s="541">
        <v>1975142</v>
      </c>
      <c r="R63" s="541">
        <v>2307678</v>
      </c>
      <c r="S63" s="541">
        <v>3052956</v>
      </c>
      <c r="T63" s="541">
        <v>3180451</v>
      </c>
      <c r="U63" s="541">
        <v>3286166</v>
      </c>
      <c r="V63" s="541">
        <v>2735718</v>
      </c>
      <c r="W63" s="541">
        <v>2608561</v>
      </c>
      <c r="X63" s="541">
        <v>2436951</v>
      </c>
      <c r="Y63" s="541">
        <v>2203136</v>
      </c>
      <c r="Z63" s="541">
        <v>1941783</v>
      </c>
      <c r="AA63" s="541">
        <v>1912819</v>
      </c>
      <c r="AB63" s="541">
        <v>1943542</v>
      </c>
      <c r="AC63" s="541">
        <v>1945064</v>
      </c>
      <c r="AD63" s="541">
        <v>2201297</v>
      </c>
      <c r="AE63" s="541">
        <v>3020174</v>
      </c>
      <c r="AF63" s="541">
        <v>3321068</v>
      </c>
      <c r="AG63" s="541">
        <f>Jan!$G31</f>
        <v>4261630</v>
      </c>
      <c r="AH63" s="541">
        <f>Feb!$G31</f>
        <v>3513623</v>
      </c>
      <c r="AI63" s="541">
        <f>Mar!$G31</f>
        <v>3381923</v>
      </c>
      <c r="AJ63" s="541">
        <f>Apr!$G31</f>
        <v>2868630</v>
      </c>
      <c r="AK63" s="541">
        <f>May!$G31</f>
        <v>2501903</v>
      </c>
      <c r="AL63" s="541">
        <f>Jun!G31</f>
        <v>2531843</v>
      </c>
      <c r="AM63" s="541">
        <f>Jul!G31</f>
        <v>2144434</v>
      </c>
      <c r="AN63" s="541">
        <f>Aug!G31</f>
        <v>2338940</v>
      </c>
      <c r="AO63" s="541">
        <f>Sep!G31</f>
        <v>2209861</v>
      </c>
      <c r="AP63" s="541">
        <f>Oct!G31</f>
        <v>3085921</v>
      </c>
      <c r="AQ63" s="541">
        <f>Nov!G31</f>
        <v>2750386</v>
      </c>
      <c r="AR63" s="541">
        <f>Dec!$G31</f>
        <v>3806098</v>
      </c>
      <c r="AS63" s="620">
        <f>Jan!$G31</f>
        <v>4261630</v>
      </c>
      <c r="AT63" s="541">
        <f>Feb!$G31</f>
        <v>3513623</v>
      </c>
      <c r="AU63" s="541">
        <f>Mar!$G31</f>
        <v>3381923</v>
      </c>
      <c r="AV63" s="541">
        <f>Apr!$G31</f>
        <v>2868630</v>
      </c>
      <c r="AW63" s="541">
        <f>May!$G31</f>
        <v>2501903</v>
      </c>
      <c r="AX63" s="541">
        <f>Jun!$G31</f>
        <v>2531843</v>
      </c>
      <c r="AY63" s="541">
        <f>Jul!$G31</f>
        <v>2144434</v>
      </c>
      <c r="AZ63" s="541">
        <f>Aug!$G31</f>
        <v>2338940</v>
      </c>
      <c r="BA63" s="541">
        <f>Sep!$G31</f>
        <v>2209861</v>
      </c>
      <c r="BB63" s="541">
        <f>Oct!$G31</f>
        <v>3085921</v>
      </c>
      <c r="BC63" s="541">
        <f>Nov!$G31</f>
        <v>2750386</v>
      </c>
      <c r="BD63" s="541">
        <f>Dec!$G31</f>
        <v>3806098</v>
      </c>
    </row>
    <row r="64" spans="1:62" ht="16.5" thickBot="1">
      <c r="A64" s="481"/>
      <c r="B64" s="479" t="s">
        <v>21</v>
      </c>
      <c r="C64" s="540">
        <f>SUM(AG64:AR64)</f>
        <v>221556373</v>
      </c>
      <c r="D64" s="540">
        <f t="shared" ref="D64:D65" si="69">SUM(S64:AD64)</f>
        <v>180899844</v>
      </c>
      <c r="E64" s="540">
        <f>SUM(E55:E63)</f>
        <v>6495675</v>
      </c>
      <c r="F64" s="540">
        <f>SUM(F55:F63)</f>
        <v>16361170</v>
      </c>
      <c r="G64" s="540">
        <f t="shared" ref="G64:H64" si="70">SUM(G55:G63)</f>
        <v>24248041</v>
      </c>
      <c r="H64" s="540">
        <f t="shared" si="70"/>
        <v>34635509</v>
      </c>
      <c r="I64" s="540">
        <v>32004448</v>
      </c>
      <c r="J64" s="540">
        <v>30962664</v>
      </c>
      <c r="K64" s="540">
        <v>22927995</v>
      </c>
      <c r="L64" s="540">
        <v>14139728</v>
      </c>
      <c r="M64" s="540">
        <v>8453696</v>
      </c>
      <c r="N64" s="540">
        <v>6603119</v>
      </c>
      <c r="O64" s="540">
        <v>5839672</v>
      </c>
      <c r="P64" s="540">
        <v>5582149</v>
      </c>
      <c r="Q64" s="540">
        <v>6839096</v>
      </c>
      <c r="R64" s="540">
        <v>10604656</v>
      </c>
      <c r="S64" s="540">
        <v>25650139</v>
      </c>
      <c r="T64" s="540">
        <v>28846914</v>
      </c>
      <c r="U64" s="540">
        <v>30094197</v>
      </c>
      <c r="V64" s="540">
        <f t="shared" ref="V64:AX64" si="71">SUM(V55:V63)</f>
        <v>22001617</v>
      </c>
      <c r="W64" s="540">
        <f t="shared" si="71"/>
        <v>17611817</v>
      </c>
      <c r="X64" s="540">
        <f t="shared" si="71"/>
        <v>14163392</v>
      </c>
      <c r="Y64" s="540">
        <f t="shared" si="71"/>
        <v>7782410</v>
      </c>
      <c r="Z64" s="540">
        <f t="shared" si="71"/>
        <v>5881684</v>
      </c>
      <c r="AA64" s="540">
        <f t="shared" si="71"/>
        <v>5669948</v>
      </c>
      <c r="AB64" s="540">
        <f t="shared" si="71"/>
        <v>5554978</v>
      </c>
      <c r="AC64" s="540">
        <f t="shared" si="71"/>
        <v>7484702</v>
      </c>
      <c r="AD64" s="540">
        <f t="shared" si="71"/>
        <v>10158046</v>
      </c>
      <c r="AE64" s="540">
        <f t="shared" si="71"/>
        <v>24566038</v>
      </c>
      <c r="AF64" s="540">
        <f t="shared" si="71"/>
        <v>29412416</v>
      </c>
      <c r="AG64" s="540">
        <f t="shared" si="71"/>
        <v>40809304</v>
      </c>
      <c r="AH64" s="540">
        <f t="shared" si="71"/>
        <v>30544975</v>
      </c>
      <c r="AI64" s="540">
        <f t="shared" si="71"/>
        <v>23815117</v>
      </c>
      <c r="AJ64" s="540">
        <f t="shared" si="71"/>
        <v>16958956</v>
      </c>
      <c r="AK64" s="540">
        <f t="shared" si="71"/>
        <v>10280221</v>
      </c>
      <c r="AL64" s="540">
        <f t="shared" si="71"/>
        <v>7316509</v>
      </c>
      <c r="AM64" s="540">
        <f>SUM(AM55:AM63)</f>
        <v>6050612</v>
      </c>
      <c r="AN64" s="540">
        <f t="shared" si="71"/>
        <v>6226148</v>
      </c>
      <c r="AO64" s="540">
        <f t="shared" si="71"/>
        <v>7933229</v>
      </c>
      <c r="AP64" s="540">
        <f>SUM(AP55:AP63)</f>
        <v>15888438</v>
      </c>
      <c r="AQ64" s="540">
        <f t="shared" si="71"/>
        <v>18689959</v>
      </c>
      <c r="AR64" s="540">
        <f t="shared" si="71"/>
        <v>37042905</v>
      </c>
      <c r="AS64" s="540">
        <f t="shared" si="71"/>
        <v>40809304</v>
      </c>
      <c r="AT64" s="540">
        <f t="shared" si="71"/>
        <v>30544975</v>
      </c>
      <c r="AU64" s="540">
        <f t="shared" si="71"/>
        <v>23815117</v>
      </c>
      <c r="AV64" s="540">
        <f t="shared" si="71"/>
        <v>16958956</v>
      </c>
      <c r="AW64" s="540">
        <f t="shared" si="71"/>
        <v>10280221</v>
      </c>
      <c r="AX64" s="540">
        <f t="shared" si="71"/>
        <v>7316509</v>
      </c>
      <c r="AY64" s="540">
        <f>SUM(AY55:AY63)</f>
        <v>6050612</v>
      </c>
      <c r="AZ64" s="540">
        <f t="shared" ref="AZ64:BA64" si="72">SUM(AZ55:AZ63)</f>
        <v>6226148</v>
      </c>
      <c r="BA64" s="540">
        <f t="shared" si="72"/>
        <v>7933229</v>
      </c>
      <c r="BB64" s="540">
        <f>SUM(BB55:BB63)</f>
        <v>15888438</v>
      </c>
      <c r="BC64" s="540">
        <f t="shared" ref="BC64:BD64" si="73">SUM(BC55:BC63)</f>
        <v>18689959</v>
      </c>
      <c r="BD64" s="540">
        <f t="shared" si="73"/>
        <v>37042905</v>
      </c>
    </row>
    <row r="65" spans="1:63" ht="16.5" thickTop="1">
      <c r="A65" s="481"/>
      <c r="B65" s="479" t="s">
        <v>266</v>
      </c>
      <c r="C65" s="489">
        <f>SUM(AG65:AR65)</f>
        <v>189475264</v>
      </c>
      <c r="D65" s="489">
        <f t="shared" si="69"/>
        <v>180899844</v>
      </c>
      <c r="E65" s="489">
        <v>6495675</v>
      </c>
      <c r="F65" s="489">
        <v>16361170</v>
      </c>
      <c r="G65" s="489">
        <v>24248041</v>
      </c>
      <c r="H65" s="489">
        <v>34635509</v>
      </c>
      <c r="I65" s="489">
        <v>32004448</v>
      </c>
      <c r="J65" s="489">
        <v>30962664</v>
      </c>
      <c r="K65" s="489">
        <v>22927995</v>
      </c>
      <c r="L65" s="489">
        <v>14139728</v>
      </c>
      <c r="M65" s="489">
        <v>8453696</v>
      </c>
      <c r="N65" s="489">
        <v>6603119</v>
      </c>
      <c r="O65" s="489">
        <v>5839672</v>
      </c>
      <c r="P65" s="489">
        <v>5582149</v>
      </c>
      <c r="Q65" s="489">
        <v>6839096</v>
      </c>
      <c r="R65" s="489">
        <v>10604656</v>
      </c>
      <c r="S65" s="489">
        <v>25650139</v>
      </c>
      <c r="T65" s="489">
        <v>28846914</v>
      </c>
      <c r="U65" s="489">
        <v>30094197</v>
      </c>
      <c r="V65" s="489">
        <v>22001617</v>
      </c>
      <c r="W65" s="489">
        <v>17611817</v>
      </c>
      <c r="X65" s="489">
        <v>14163392</v>
      </c>
      <c r="Y65" s="489">
        <v>7782410</v>
      </c>
      <c r="Z65" s="489">
        <v>5881684</v>
      </c>
      <c r="AA65" s="489">
        <v>5669948</v>
      </c>
      <c r="AB65" s="563">
        <v>5554978</v>
      </c>
      <c r="AC65" s="489">
        <v>7484702</v>
      </c>
      <c r="AD65" s="489">
        <v>10158046</v>
      </c>
      <c r="AE65" s="489">
        <v>24566038</v>
      </c>
      <c r="AF65" s="489">
        <v>29412416</v>
      </c>
      <c r="AG65" s="489">
        <v>30707107</v>
      </c>
      <c r="AH65" s="489">
        <v>23046735</v>
      </c>
      <c r="AI65" s="489">
        <v>20385890</v>
      </c>
      <c r="AJ65" s="489">
        <v>10774244</v>
      </c>
      <c r="AK65" s="489">
        <v>8382838</v>
      </c>
      <c r="AL65" s="489">
        <v>6906569</v>
      </c>
      <c r="AM65" s="489">
        <v>6102573</v>
      </c>
      <c r="AN65" s="489">
        <v>6230012</v>
      </c>
      <c r="AO65" s="489">
        <v>7464964</v>
      </c>
      <c r="AP65" s="489">
        <v>13741468</v>
      </c>
      <c r="AQ65" s="489">
        <v>18689959</v>
      </c>
      <c r="AR65" s="489">
        <v>37042905</v>
      </c>
      <c r="AS65" s="621">
        <v>40809304</v>
      </c>
      <c r="AT65" s="489">
        <v>23046735</v>
      </c>
      <c r="AU65" s="489">
        <v>20385890</v>
      </c>
      <c r="AV65" s="489">
        <v>10774244</v>
      </c>
      <c r="AW65" s="489">
        <v>8382838</v>
      </c>
      <c r="AX65" s="489">
        <v>6906569</v>
      </c>
      <c r="AY65" s="489">
        <v>6102573</v>
      </c>
      <c r="AZ65" s="489">
        <v>6230012</v>
      </c>
      <c r="BA65" s="489">
        <v>7464964</v>
      </c>
      <c r="BB65" s="489">
        <v>13741468</v>
      </c>
      <c r="BC65" s="489">
        <v>18689959</v>
      </c>
      <c r="BD65" s="489">
        <v>37042905</v>
      </c>
      <c r="BE65" s="579"/>
    </row>
    <row r="66" spans="1:63">
      <c r="A66" s="481" t="s">
        <v>22</v>
      </c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G66" s="537"/>
    </row>
    <row r="67" spans="1:63">
      <c r="A67" s="482">
        <v>191025</v>
      </c>
      <c r="B67" s="483" t="s">
        <v>253</v>
      </c>
      <c r="E67" s="482">
        <v>201309</v>
      </c>
      <c r="F67" s="482">
        <f>E67+1</f>
        <v>201310</v>
      </c>
      <c r="G67" s="482">
        <f>F67+1</f>
        <v>201311</v>
      </c>
      <c r="H67" s="482">
        <f>G67+1</f>
        <v>201312</v>
      </c>
      <c r="I67" s="482">
        <v>201401</v>
      </c>
      <c r="J67" s="482">
        <v>201402</v>
      </c>
      <c r="K67" s="482">
        <v>201403</v>
      </c>
      <c r="L67" s="482">
        <v>201404</v>
      </c>
      <c r="M67" s="482">
        <v>201405</v>
      </c>
      <c r="N67" s="482">
        <v>201406</v>
      </c>
      <c r="O67" s="482">
        <v>201407</v>
      </c>
      <c r="P67" s="482">
        <v>201408</v>
      </c>
      <c r="Q67" s="482">
        <v>201409</v>
      </c>
      <c r="R67" s="482">
        <v>201410</v>
      </c>
      <c r="S67" s="482">
        <v>201411</v>
      </c>
      <c r="T67" s="482">
        <v>201412</v>
      </c>
      <c r="U67" s="482">
        <v>201501</v>
      </c>
      <c r="V67" s="482">
        <f t="shared" ref="V67:AD67" si="74">U67+1</f>
        <v>201502</v>
      </c>
      <c r="W67" s="482">
        <f t="shared" si="74"/>
        <v>201503</v>
      </c>
      <c r="X67" s="482">
        <f t="shared" si="74"/>
        <v>201504</v>
      </c>
      <c r="Y67" s="482">
        <f t="shared" si="74"/>
        <v>201505</v>
      </c>
      <c r="Z67" s="482">
        <f t="shared" si="74"/>
        <v>201506</v>
      </c>
      <c r="AA67" s="482">
        <f t="shared" si="74"/>
        <v>201507</v>
      </c>
      <c r="AB67" s="482">
        <f t="shared" si="74"/>
        <v>201508</v>
      </c>
      <c r="AC67" s="482">
        <f t="shared" si="74"/>
        <v>201509</v>
      </c>
      <c r="AD67" s="482">
        <f t="shared" si="74"/>
        <v>201510</v>
      </c>
      <c r="AE67" s="482">
        <f>AD67+1</f>
        <v>201511</v>
      </c>
      <c r="AF67" s="482">
        <f t="shared" ref="AF67" si="75">AE67+1</f>
        <v>201512</v>
      </c>
      <c r="AG67" s="482">
        <v>201601</v>
      </c>
      <c r="AH67" s="482">
        <f>AG67+1</f>
        <v>201602</v>
      </c>
      <c r="AI67" s="482">
        <f t="shared" ref="AI67:AR67" si="76">AH67+1</f>
        <v>201603</v>
      </c>
      <c r="AJ67" s="482">
        <f t="shared" si="76"/>
        <v>201604</v>
      </c>
      <c r="AK67" s="482">
        <f t="shared" si="76"/>
        <v>201605</v>
      </c>
      <c r="AL67" s="482">
        <f t="shared" si="76"/>
        <v>201606</v>
      </c>
      <c r="AM67" s="482">
        <f t="shared" si="76"/>
        <v>201607</v>
      </c>
      <c r="AN67" s="482">
        <f t="shared" si="76"/>
        <v>201608</v>
      </c>
      <c r="AO67" s="482">
        <f t="shared" si="76"/>
        <v>201609</v>
      </c>
      <c r="AP67" s="482">
        <f t="shared" si="76"/>
        <v>201610</v>
      </c>
      <c r="AQ67" s="482">
        <f t="shared" si="76"/>
        <v>201611</v>
      </c>
      <c r="AR67" s="482">
        <f t="shared" si="76"/>
        <v>201612</v>
      </c>
      <c r="AS67" s="482">
        <f>AS3</f>
        <v>201701</v>
      </c>
      <c r="AT67" s="482">
        <f>AS67+1</f>
        <v>201702</v>
      </c>
      <c r="AU67" s="482">
        <f t="shared" ref="AU67:BD67" si="77">AT67+1</f>
        <v>201703</v>
      </c>
      <c r="AV67" s="482">
        <f t="shared" si="77"/>
        <v>201704</v>
      </c>
      <c r="AW67" s="482">
        <f t="shared" si="77"/>
        <v>201705</v>
      </c>
      <c r="AX67" s="482">
        <f t="shared" si="77"/>
        <v>201706</v>
      </c>
      <c r="AY67" s="482">
        <f t="shared" si="77"/>
        <v>201707</v>
      </c>
      <c r="AZ67" s="482">
        <f t="shared" si="77"/>
        <v>201708</v>
      </c>
      <c r="BA67" s="482">
        <f t="shared" si="77"/>
        <v>201709</v>
      </c>
      <c r="BB67" s="482">
        <f t="shared" si="77"/>
        <v>201710</v>
      </c>
      <c r="BC67" s="482">
        <f t="shared" si="77"/>
        <v>201711</v>
      </c>
      <c r="BD67" s="482">
        <f t="shared" si="77"/>
        <v>201712</v>
      </c>
    </row>
    <row r="68" spans="1:63">
      <c r="A68" s="481"/>
      <c r="B68" s="479" t="s">
        <v>37</v>
      </c>
      <c r="E68" s="490">
        <v>-2.1900000000000001E-3</v>
      </c>
      <c r="F68" s="490">
        <v>-2.1900000000000001E-3</v>
      </c>
      <c r="G68" s="494" t="s">
        <v>267</v>
      </c>
      <c r="H68" s="494" t="s">
        <v>267</v>
      </c>
      <c r="I68" s="490">
        <v>-3.8999999999999999E-4</v>
      </c>
      <c r="J68" s="490">
        <v>-3.8999999999999999E-4</v>
      </c>
      <c r="K68" s="490">
        <v>-3.8999999999999999E-4</v>
      </c>
      <c r="L68" s="490">
        <v>-3.8999999999999999E-4</v>
      </c>
      <c r="M68" s="490">
        <v>-3.8999999999999999E-4</v>
      </c>
      <c r="N68" s="490">
        <v>-3.8999999999999999E-4</v>
      </c>
      <c r="O68" s="490">
        <v>-3.8999999999999999E-4</v>
      </c>
      <c r="P68" s="490">
        <v>-3.8999999999999999E-4</v>
      </c>
      <c r="Q68" s="490">
        <v>-3.8999999999999999E-4</v>
      </c>
      <c r="R68" s="490">
        <v>-3.8999999999999999E-4</v>
      </c>
      <c r="S68" s="494" t="s">
        <v>267</v>
      </c>
      <c r="T68" s="494" t="s">
        <v>267</v>
      </c>
      <c r="U68" s="490">
        <v>2.5000000000000001E-4</v>
      </c>
      <c r="V68" s="490">
        <v>2.5000000000000001E-4</v>
      </c>
      <c r="W68" s="490">
        <v>2.5000000000000001E-4</v>
      </c>
      <c r="X68" s="490">
        <v>2.5000000000000001E-4</v>
      </c>
      <c r="Y68" s="490">
        <v>2.5000000000000001E-4</v>
      </c>
      <c r="Z68" s="490">
        <v>2.5000000000000001E-4</v>
      </c>
      <c r="AA68" s="490">
        <v>2.5000000000000001E-4</v>
      </c>
      <c r="AB68" s="490">
        <v>2.5000000000000001E-4</v>
      </c>
      <c r="AC68" s="490">
        <v>2.5000000000000001E-4</v>
      </c>
      <c r="AD68" s="490">
        <v>2.5000000000000001E-4</v>
      </c>
      <c r="AE68" s="494" t="s">
        <v>326</v>
      </c>
      <c r="AF68" s="494" t="s">
        <v>326</v>
      </c>
      <c r="AG68" s="494">
        <v>1.2999999999999999E-4</v>
      </c>
      <c r="AH68" s="494">
        <v>1.2999999999999999E-4</v>
      </c>
      <c r="AI68" s="494">
        <v>1.2999999999999999E-4</v>
      </c>
      <c r="AJ68" s="494">
        <v>1.2999999999999999E-4</v>
      </c>
      <c r="AK68" s="494">
        <v>1.2999999999999999E-4</v>
      </c>
      <c r="AL68" s="494">
        <v>1.2999999999999999E-4</v>
      </c>
      <c r="AM68" s="494">
        <v>1.2999999999999999E-4</v>
      </c>
      <c r="AN68" s="494">
        <v>1.2999999999999999E-4</v>
      </c>
      <c r="AO68" s="494">
        <v>1.2999999999999999E-4</v>
      </c>
      <c r="AP68" s="494">
        <v>1.2999999999999999E-4</v>
      </c>
      <c r="AQ68" s="494" t="s">
        <v>326</v>
      </c>
      <c r="AR68" s="494" t="s">
        <v>326</v>
      </c>
      <c r="AS68" s="616">
        <v>1.0000000000000001E-5</v>
      </c>
      <c r="AT68" s="612">
        <v>1.2999999999999999E-4</v>
      </c>
      <c r="AU68" s="612">
        <v>1.2999999999999999E-4</v>
      </c>
      <c r="AV68" s="612">
        <v>1.2999999999999999E-4</v>
      </c>
      <c r="AW68" s="612">
        <v>1.2999999999999999E-4</v>
      </c>
      <c r="AX68" s="612">
        <v>1.2999999999999999E-4</v>
      </c>
      <c r="AY68" s="612">
        <v>1.2999999999999999E-4</v>
      </c>
      <c r="AZ68" s="612">
        <v>1.2999999999999999E-4</v>
      </c>
      <c r="BA68" s="612">
        <v>1.2999999999999999E-4</v>
      </c>
      <c r="BB68" s="612">
        <v>1.2999999999999999E-4</v>
      </c>
      <c r="BC68" s="494" t="s">
        <v>326</v>
      </c>
      <c r="BD68" s="494" t="s">
        <v>326</v>
      </c>
    </row>
    <row r="69" spans="1:63">
      <c r="A69" s="481"/>
      <c r="B69" s="565" t="s">
        <v>324</v>
      </c>
      <c r="E69" s="490"/>
      <c r="F69" s="490"/>
      <c r="G69" s="494"/>
      <c r="H69" s="494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4"/>
      <c r="T69" s="494"/>
      <c r="U69" s="490"/>
      <c r="V69" s="490"/>
      <c r="W69" s="490"/>
      <c r="X69" s="490"/>
      <c r="Y69" s="490"/>
      <c r="Z69" s="490"/>
      <c r="AA69" s="490"/>
      <c r="AB69" s="490"/>
      <c r="AC69" s="490"/>
      <c r="AD69" s="564">
        <v>2.5000000000000001E-4</v>
      </c>
      <c r="AE69" s="494" t="s">
        <v>326</v>
      </c>
      <c r="AF69" s="494" t="s">
        <v>326</v>
      </c>
      <c r="AG69" s="494">
        <v>1.2999999999999999E-4</v>
      </c>
      <c r="AH69" s="494">
        <v>1.2999999999999999E-4</v>
      </c>
      <c r="AI69" s="494">
        <v>1.2999999999999999E-4</v>
      </c>
      <c r="AJ69" s="494">
        <v>1.2999999999999999E-4</v>
      </c>
      <c r="AK69" s="494">
        <v>1.2999999999999999E-4</v>
      </c>
      <c r="AL69" s="494">
        <v>1.2999999999999999E-4</v>
      </c>
      <c r="AM69" s="494">
        <v>1.2999999999999999E-4</v>
      </c>
      <c r="AN69" s="494">
        <v>1.2999999999999999E-4</v>
      </c>
      <c r="AO69" s="494">
        <v>1.2999999999999999E-4</v>
      </c>
      <c r="AP69" s="494">
        <v>1.2999999999999999E-4</v>
      </c>
      <c r="AQ69" s="494" t="s">
        <v>326</v>
      </c>
      <c r="AR69" s="494" t="s">
        <v>326</v>
      </c>
      <c r="AS69" s="616">
        <v>1.0000000000000001E-5</v>
      </c>
      <c r="AT69" s="612">
        <v>1.2999999999999999E-4</v>
      </c>
      <c r="AU69" s="612">
        <v>1.2999999999999999E-4</v>
      </c>
      <c r="AV69" s="612">
        <v>1.2999999999999999E-4</v>
      </c>
      <c r="AW69" s="612">
        <v>1.2999999999999999E-4</v>
      </c>
      <c r="AX69" s="612">
        <v>1.2999999999999999E-4</v>
      </c>
      <c r="AY69" s="612">
        <v>1.2999999999999999E-4</v>
      </c>
      <c r="AZ69" s="612">
        <v>1.2999999999999999E-4</v>
      </c>
      <c r="BA69" s="612">
        <v>1.2999999999999999E-4</v>
      </c>
      <c r="BB69" s="612">
        <v>1.2999999999999999E-4</v>
      </c>
      <c r="BC69" s="494" t="s">
        <v>326</v>
      </c>
      <c r="BD69" s="494" t="s">
        <v>326</v>
      </c>
    </row>
    <row r="70" spans="1:63">
      <c r="A70" s="481"/>
      <c r="B70" s="479" t="s">
        <v>38</v>
      </c>
      <c r="E70" s="490">
        <v>-2.1900000000000001E-3</v>
      </c>
      <c r="F70" s="490">
        <v>-2.1900000000000001E-3</v>
      </c>
      <c r="G70" s="494" t="s">
        <v>267</v>
      </c>
      <c r="H70" s="494" t="s">
        <v>267</v>
      </c>
      <c r="I70" s="490">
        <v>-3.8999999999999999E-4</v>
      </c>
      <c r="J70" s="490">
        <v>-3.8999999999999999E-4</v>
      </c>
      <c r="K70" s="490">
        <v>-3.8999999999999999E-4</v>
      </c>
      <c r="L70" s="490">
        <v>-3.8999999999999999E-4</v>
      </c>
      <c r="M70" s="490">
        <v>-3.8999999999999999E-4</v>
      </c>
      <c r="N70" s="490">
        <v>-3.8999999999999999E-4</v>
      </c>
      <c r="O70" s="490">
        <v>-3.8999999999999999E-4</v>
      </c>
      <c r="P70" s="490">
        <v>-3.8999999999999999E-4</v>
      </c>
      <c r="Q70" s="490">
        <v>-3.8999999999999999E-4</v>
      </c>
      <c r="R70" s="490">
        <v>-3.8999999999999999E-4</v>
      </c>
      <c r="S70" s="494" t="s">
        <v>267</v>
      </c>
      <c r="T70" s="494" t="s">
        <v>267</v>
      </c>
      <c r="U70" s="490">
        <v>2.5000000000000001E-4</v>
      </c>
      <c r="V70" s="490">
        <v>2.5000000000000001E-4</v>
      </c>
      <c r="W70" s="490">
        <v>2.5000000000000001E-4</v>
      </c>
      <c r="X70" s="490">
        <v>2.5000000000000001E-4</v>
      </c>
      <c r="Y70" s="490">
        <v>2.5000000000000001E-4</v>
      </c>
      <c r="Z70" s="490">
        <v>2.5000000000000001E-4</v>
      </c>
      <c r="AA70" s="490">
        <v>2.5000000000000001E-4</v>
      </c>
      <c r="AB70" s="490">
        <v>2.5000000000000001E-4</v>
      </c>
      <c r="AC70" s="490">
        <v>2.5000000000000001E-4</v>
      </c>
      <c r="AD70" s="490">
        <v>2.5000000000000001E-4</v>
      </c>
      <c r="AE70" s="494" t="s">
        <v>326</v>
      </c>
      <c r="AF70" s="494" t="s">
        <v>326</v>
      </c>
      <c r="AG70" s="494">
        <v>1.2999999999999999E-4</v>
      </c>
      <c r="AH70" s="494">
        <v>1.2999999999999999E-4</v>
      </c>
      <c r="AI70" s="494">
        <v>1.2999999999999999E-4</v>
      </c>
      <c r="AJ70" s="494">
        <v>1.2999999999999999E-4</v>
      </c>
      <c r="AK70" s="494">
        <v>1.2999999999999999E-4</v>
      </c>
      <c r="AL70" s="494">
        <v>1.2999999999999999E-4</v>
      </c>
      <c r="AM70" s="494">
        <v>1.2999999999999999E-4</v>
      </c>
      <c r="AN70" s="494">
        <v>1.2999999999999999E-4</v>
      </c>
      <c r="AO70" s="494">
        <v>1.2999999999999999E-4</v>
      </c>
      <c r="AP70" s="494">
        <v>1.2999999999999999E-4</v>
      </c>
      <c r="AQ70" s="494" t="s">
        <v>326</v>
      </c>
      <c r="AR70" s="494" t="s">
        <v>326</v>
      </c>
      <c r="AS70" s="616">
        <v>1.0000000000000001E-5</v>
      </c>
      <c r="AT70" s="612">
        <v>1.2999999999999999E-4</v>
      </c>
      <c r="AU70" s="612">
        <v>1.2999999999999999E-4</v>
      </c>
      <c r="AV70" s="612">
        <v>1.2999999999999999E-4</v>
      </c>
      <c r="AW70" s="612">
        <v>1.2999999999999999E-4</v>
      </c>
      <c r="AX70" s="612">
        <v>1.2999999999999999E-4</v>
      </c>
      <c r="AY70" s="612">
        <v>1.2999999999999999E-4</v>
      </c>
      <c r="AZ70" s="612">
        <v>1.2999999999999999E-4</v>
      </c>
      <c r="BA70" s="612">
        <v>1.2999999999999999E-4</v>
      </c>
      <c r="BB70" s="612">
        <v>1.2999999999999999E-4</v>
      </c>
      <c r="BC70" s="494" t="s">
        <v>326</v>
      </c>
      <c r="BD70" s="494" t="s">
        <v>326</v>
      </c>
    </row>
    <row r="71" spans="1:63">
      <c r="A71" s="481"/>
      <c r="B71" s="479" t="s">
        <v>39</v>
      </c>
      <c r="E71" s="490">
        <v>-2.1900000000000001E-3</v>
      </c>
      <c r="F71" s="490">
        <v>-2.1900000000000001E-3</v>
      </c>
      <c r="G71" s="494" t="s">
        <v>267</v>
      </c>
      <c r="H71" s="494" t="s">
        <v>267</v>
      </c>
      <c r="I71" s="490">
        <v>-3.8999999999999999E-4</v>
      </c>
      <c r="J71" s="490">
        <v>-3.8999999999999999E-4</v>
      </c>
      <c r="K71" s="490">
        <v>-3.8999999999999999E-4</v>
      </c>
      <c r="L71" s="490">
        <v>-3.8999999999999999E-4</v>
      </c>
      <c r="M71" s="490">
        <v>-3.8999999999999999E-4</v>
      </c>
      <c r="N71" s="490">
        <v>-3.8999999999999999E-4</v>
      </c>
      <c r="O71" s="490">
        <v>-3.8999999999999999E-4</v>
      </c>
      <c r="P71" s="490">
        <v>-3.8999999999999999E-4</v>
      </c>
      <c r="Q71" s="490">
        <v>-3.8999999999999999E-4</v>
      </c>
      <c r="R71" s="490">
        <v>-3.8999999999999999E-4</v>
      </c>
      <c r="S71" s="494" t="s">
        <v>267</v>
      </c>
      <c r="T71" s="494" t="s">
        <v>267</v>
      </c>
      <c r="U71" s="490">
        <v>2.5000000000000001E-4</v>
      </c>
      <c r="V71" s="490">
        <v>2.5000000000000001E-4</v>
      </c>
      <c r="W71" s="490">
        <v>2.5000000000000001E-4</v>
      </c>
      <c r="X71" s="490">
        <v>2.5000000000000001E-4</v>
      </c>
      <c r="Y71" s="490">
        <v>2.5000000000000001E-4</v>
      </c>
      <c r="Z71" s="490">
        <v>2.5000000000000001E-4</v>
      </c>
      <c r="AA71" s="490">
        <v>2.5000000000000001E-4</v>
      </c>
      <c r="AB71" s="490">
        <v>2.5000000000000001E-4</v>
      </c>
      <c r="AC71" s="490">
        <v>2.5000000000000001E-4</v>
      </c>
      <c r="AD71" s="490">
        <v>2.5000000000000001E-4</v>
      </c>
      <c r="AE71" s="494" t="s">
        <v>326</v>
      </c>
      <c r="AF71" s="494" t="s">
        <v>326</v>
      </c>
      <c r="AG71" s="494">
        <v>1.2999999999999999E-4</v>
      </c>
      <c r="AH71" s="494">
        <v>1.2999999999999999E-4</v>
      </c>
      <c r="AI71" s="494">
        <v>1.2999999999999999E-4</v>
      </c>
      <c r="AJ71" s="494">
        <v>1.2999999999999999E-4</v>
      </c>
      <c r="AK71" s="494">
        <v>1.2999999999999999E-4</v>
      </c>
      <c r="AL71" s="494">
        <v>1.2999999999999999E-4</v>
      </c>
      <c r="AM71" s="494">
        <v>1.2999999999999999E-4</v>
      </c>
      <c r="AN71" s="494">
        <v>1.2999999999999999E-4</v>
      </c>
      <c r="AO71" s="494">
        <v>1.2999999999999999E-4</v>
      </c>
      <c r="AP71" s="494">
        <v>1.2999999999999999E-4</v>
      </c>
      <c r="AQ71" s="494" t="s">
        <v>326</v>
      </c>
      <c r="AR71" s="494" t="s">
        <v>326</v>
      </c>
      <c r="AS71" s="616">
        <v>1.0000000000000001E-5</v>
      </c>
      <c r="AT71" s="612">
        <v>1.2999999999999999E-4</v>
      </c>
      <c r="AU71" s="612">
        <v>1.2999999999999999E-4</v>
      </c>
      <c r="AV71" s="612">
        <v>1.2999999999999999E-4</v>
      </c>
      <c r="AW71" s="612">
        <v>1.2999999999999999E-4</v>
      </c>
      <c r="AX71" s="612">
        <v>1.2999999999999999E-4</v>
      </c>
      <c r="AY71" s="612">
        <v>1.2999999999999999E-4</v>
      </c>
      <c r="AZ71" s="612">
        <v>1.2999999999999999E-4</v>
      </c>
      <c r="BA71" s="612">
        <v>1.2999999999999999E-4</v>
      </c>
      <c r="BB71" s="612">
        <v>1.2999999999999999E-4</v>
      </c>
      <c r="BC71" s="494" t="s">
        <v>326</v>
      </c>
      <c r="BD71" s="494" t="s">
        <v>326</v>
      </c>
    </row>
    <row r="72" spans="1:63">
      <c r="A72" s="481"/>
      <c r="B72" s="479" t="s">
        <v>40</v>
      </c>
      <c r="E72" s="490">
        <v>-2.1900000000000001E-3</v>
      </c>
      <c r="F72" s="490">
        <v>-2.1900000000000001E-3</v>
      </c>
      <c r="G72" s="494" t="s">
        <v>267</v>
      </c>
      <c r="H72" s="494" t="s">
        <v>267</v>
      </c>
      <c r="I72" s="490">
        <v>-3.8999999999999999E-4</v>
      </c>
      <c r="J72" s="490">
        <v>-3.8999999999999999E-4</v>
      </c>
      <c r="K72" s="490">
        <v>-3.8999999999999999E-4</v>
      </c>
      <c r="L72" s="490">
        <v>-3.8999999999999999E-4</v>
      </c>
      <c r="M72" s="490">
        <v>-3.8999999999999999E-4</v>
      </c>
      <c r="N72" s="490">
        <v>-3.8999999999999999E-4</v>
      </c>
      <c r="O72" s="490">
        <v>-3.8999999999999999E-4</v>
      </c>
      <c r="P72" s="490">
        <v>-3.8999999999999999E-4</v>
      </c>
      <c r="Q72" s="490">
        <v>-3.8999999999999999E-4</v>
      </c>
      <c r="R72" s="490">
        <v>-3.8999999999999999E-4</v>
      </c>
      <c r="S72" s="494" t="s">
        <v>267</v>
      </c>
      <c r="T72" s="494" t="s">
        <v>267</v>
      </c>
      <c r="U72" s="490">
        <v>2.5000000000000001E-4</v>
      </c>
      <c r="V72" s="490">
        <v>2.5000000000000001E-4</v>
      </c>
      <c r="W72" s="490">
        <v>2.5000000000000001E-4</v>
      </c>
      <c r="X72" s="490">
        <v>2.5000000000000001E-4</v>
      </c>
      <c r="Y72" s="490">
        <v>2.5000000000000001E-4</v>
      </c>
      <c r="Z72" s="490">
        <v>2.5000000000000001E-4</v>
      </c>
      <c r="AA72" s="490">
        <v>2.5000000000000001E-4</v>
      </c>
      <c r="AB72" s="490">
        <v>2.5000000000000001E-4</v>
      </c>
      <c r="AC72" s="490">
        <v>2.5000000000000001E-4</v>
      </c>
      <c r="AD72" s="490">
        <v>2.5000000000000001E-4</v>
      </c>
      <c r="AE72" s="494" t="s">
        <v>326</v>
      </c>
      <c r="AF72" s="494" t="s">
        <v>326</v>
      </c>
      <c r="AG72" s="494">
        <v>1.2999999999999999E-4</v>
      </c>
      <c r="AH72" s="494">
        <v>1.2999999999999999E-4</v>
      </c>
      <c r="AI72" s="494">
        <v>1.2999999999999999E-4</v>
      </c>
      <c r="AJ72" s="494">
        <v>1.2999999999999999E-4</v>
      </c>
      <c r="AK72" s="494">
        <v>1.2999999999999999E-4</v>
      </c>
      <c r="AL72" s="494">
        <v>1.2999999999999999E-4</v>
      </c>
      <c r="AM72" s="494">
        <v>1.2999999999999999E-4</v>
      </c>
      <c r="AN72" s="494">
        <v>1.2999999999999999E-4</v>
      </c>
      <c r="AO72" s="494">
        <v>1.2999999999999999E-4</v>
      </c>
      <c r="AP72" s="494">
        <v>1.2999999999999999E-4</v>
      </c>
      <c r="AQ72" s="494" t="s">
        <v>326</v>
      </c>
      <c r="AR72" s="494" t="s">
        <v>326</v>
      </c>
      <c r="AS72" s="616">
        <v>1.0000000000000001E-5</v>
      </c>
      <c r="AT72" s="612">
        <v>1.2999999999999999E-4</v>
      </c>
      <c r="AU72" s="612">
        <v>1.2999999999999999E-4</v>
      </c>
      <c r="AV72" s="612">
        <v>1.2999999999999999E-4</v>
      </c>
      <c r="AW72" s="612">
        <v>1.2999999999999999E-4</v>
      </c>
      <c r="AX72" s="612">
        <v>1.2999999999999999E-4</v>
      </c>
      <c r="AY72" s="612">
        <v>1.2999999999999999E-4</v>
      </c>
      <c r="AZ72" s="612">
        <v>1.2999999999999999E-4</v>
      </c>
      <c r="BA72" s="612">
        <v>1.2999999999999999E-4</v>
      </c>
      <c r="BB72" s="612">
        <v>1.2999999999999999E-4</v>
      </c>
      <c r="BC72" s="494" t="s">
        <v>326</v>
      </c>
      <c r="BD72" s="494" t="s">
        <v>326</v>
      </c>
    </row>
    <row r="73" spans="1:63">
      <c r="A73" s="481"/>
      <c r="B73" s="479" t="s">
        <v>41</v>
      </c>
      <c r="E73" s="490">
        <v>-2.1900000000000001E-3</v>
      </c>
      <c r="F73" s="490">
        <v>-2.1900000000000001E-3</v>
      </c>
      <c r="G73" s="494" t="s">
        <v>267</v>
      </c>
      <c r="H73" s="494" t="s">
        <v>267</v>
      </c>
      <c r="I73" s="490">
        <v>-3.8999999999999999E-4</v>
      </c>
      <c r="J73" s="490">
        <v>-3.8999999999999999E-4</v>
      </c>
      <c r="K73" s="490">
        <v>-3.8999999999999999E-4</v>
      </c>
      <c r="L73" s="490">
        <v>-3.8999999999999999E-4</v>
      </c>
      <c r="M73" s="490">
        <v>-3.8999999999999999E-4</v>
      </c>
      <c r="N73" s="490">
        <v>-3.8999999999999999E-4</v>
      </c>
      <c r="O73" s="490">
        <v>-3.8999999999999999E-4</v>
      </c>
      <c r="P73" s="490">
        <v>-3.8999999999999999E-4</v>
      </c>
      <c r="Q73" s="490">
        <v>-3.8999999999999999E-4</v>
      </c>
      <c r="R73" s="490">
        <v>-3.8999999999999999E-4</v>
      </c>
      <c r="S73" s="494" t="s">
        <v>267</v>
      </c>
      <c r="T73" s="494" t="s">
        <v>267</v>
      </c>
      <c r="U73" s="490">
        <v>2.5000000000000001E-4</v>
      </c>
      <c r="V73" s="490">
        <v>2.5000000000000001E-4</v>
      </c>
      <c r="W73" s="490">
        <v>2.5000000000000001E-4</v>
      </c>
      <c r="X73" s="490">
        <v>2.5000000000000001E-4</v>
      </c>
      <c r="Y73" s="490">
        <v>2.5000000000000001E-4</v>
      </c>
      <c r="Z73" s="490">
        <v>2.5000000000000001E-4</v>
      </c>
      <c r="AA73" s="490">
        <v>2.5000000000000001E-4</v>
      </c>
      <c r="AB73" s="490">
        <v>2.5000000000000001E-4</v>
      </c>
      <c r="AC73" s="490">
        <v>2.5000000000000001E-4</v>
      </c>
      <c r="AD73" s="490">
        <v>2.5000000000000001E-4</v>
      </c>
      <c r="AE73" s="494" t="s">
        <v>326</v>
      </c>
      <c r="AF73" s="494" t="s">
        <v>326</v>
      </c>
      <c r="AG73" s="494">
        <v>1.2999999999999999E-4</v>
      </c>
      <c r="AH73" s="494">
        <v>1.2999999999999999E-4</v>
      </c>
      <c r="AI73" s="494">
        <v>1.2999999999999999E-4</v>
      </c>
      <c r="AJ73" s="494">
        <v>1.2999999999999999E-4</v>
      </c>
      <c r="AK73" s="494">
        <v>1.2999999999999999E-4</v>
      </c>
      <c r="AL73" s="494">
        <v>1.2999999999999999E-4</v>
      </c>
      <c r="AM73" s="494">
        <v>1.2999999999999999E-4</v>
      </c>
      <c r="AN73" s="494">
        <v>1.2999999999999999E-4</v>
      </c>
      <c r="AO73" s="494">
        <v>1.2999999999999999E-4</v>
      </c>
      <c r="AP73" s="494">
        <v>1.2999999999999999E-4</v>
      </c>
      <c r="AQ73" s="494" t="s">
        <v>326</v>
      </c>
      <c r="AR73" s="494" t="s">
        <v>326</v>
      </c>
      <c r="AS73" s="616">
        <v>1.0000000000000001E-5</v>
      </c>
      <c r="AT73" s="612">
        <v>1.2999999999999999E-4</v>
      </c>
      <c r="AU73" s="612">
        <v>1.2999999999999999E-4</v>
      </c>
      <c r="AV73" s="612">
        <v>1.2999999999999999E-4</v>
      </c>
      <c r="AW73" s="612">
        <v>1.2999999999999999E-4</v>
      </c>
      <c r="AX73" s="612">
        <v>1.2999999999999999E-4</v>
      </c>
      <c r="AY73" s="612">
        <v>1.2999999999999999E-4</v>
      </c>
      <c r="AZ73" s="612">
        <v>1.2999999999999999E-4</v>
      </c>
      <c r="BA73" s="612">
        <v>1.2999999999999999E-4</v>
      </c>
      <c r="BB73" s="612">
        <v>1.2999999999999999E-4</v>
      </c>
      <c r="BC73" s="494" t="s">
        <v>326</v>
      </c>
      <c r="BD73" s="494" t="s">
        <v>326</v>
      </c>
    </row>
    <row r="74" spans="1:63" ht="16.5" thickBot="1">
      <c r="A74" s="481"/>
      <c r="B74" s="479" t="s">
        <v>42</v>
      </c>
      <c r="E74" s="490">
        <v>-2.1900000000000001E-3</v>
      </c>
      <c r="F74" s="490">
        <v>-2.1900000000000001E-3</v>
      </c>
      <c r="G74" s="494" t="s">
        <v>267</v>
      </c>
      <c r="H74" s="494" t="s">
        <v>267</v>
      </c>
      <c r="I74" s="490">
        <v>-3.8999999999999999E-4</v>
      </c>
      <c r="J74" s="490">
        <v>-3.8999999999999999E-4</v>
      </c>
      <c r="K74" s="490">
        <v>-3.8999999999999999E-4</v>
      </c>
      <c r="L74" s="490">
        <v>-3.8999999999999999E-4</v>
      </c>
      <c r="M74" s="490">
        <v>-3.8999999999999999E-4</v>
      </c>
      <c r="N74" s="490">
        <v>-3.8999999999999999E-4</v>
      </c>
      <c r="O74" s="490">
        <v>-3.8999999999999999E-4</v>
      </c>
      <c r="P74" s="490">
        <v>-3.8999999999999999E-4</v>
      </c>
      <c r="Q74" s="490">
        <v>-3.8999999999999999E-4</v>
      </c>
      <c r="R74" s="490">
        <v>-3.8999999999999999E-4</v>
      </c>
      <c r="S74" s="494" t="s">
        <v>267</v>
      </c>
      <c r="T74" s="494" t="s">
        <v>267</v>
      </c>
      <c r="U74" s="490">
        <v>2.5000000000000001E-4</v>
      </c>
      <c r="V74" s="490">
        <v>2.5000000000000001E-4</v>
      </c>
      <c r="W74" s="490">
        <v>2.5000000000000001E-4</v>
      </c>
      <c r="X74" s="490">
        <v>2.5000000000000001E-4</v>
      </c>
      <c r="Y74" s="490">
        <v>2.5000000000000001E-4</v>
      </c>
      <c r="Z74" s="490">
        <v>2.5000000000000001E-4</v>
      </c>
      <c r="AA74" s="490">
        <v>2.5000000000000001E-4</v>
      </c>
      <c r="AB74" s="490">
        <v>2.5000000000000001E-4</v>
      </c>
      <c r="AC74" s="490">
        <v>2.5000000000000001E-4</v>
      </c>
      <c r="AD74" s="490">
        <v>2.5000000000000001E-4</v>
      </c>
      <c r="AE74" s="494" t="s">
        <v>326</v>
      </c>
      <c r="AF74" s="494" t="s">
        <v>326</v>
      </c>
      <c r="AG74" s="494">
        <v>1.2999999999999999E-4</v>
      </c>
      <c r="AH74" s="494">
        <v>1.2999999999999999E-4</v>
      </c>
      <c r="AI74" s="494">
        <v>1.2999999999999999E-4</v>
      </c>
      <c r="AJ74" s="494">
        <v>1.2999999999999999E-4</v>
      </c>
      <c r="AK74" s="494">
        <v>1.2999999999999999E-4</v>
      </c>
      <c r="AL74" s="494">
        <v>1.2999999999999999E-4</v>
      </c>
      <c r="AM74" s="494">
        <v>1.2999999999999999E-4</v>
      </c>
      <c r="AN74" s="494">
        <v>1.2999999999999999E-4</v>
      </c>
      <c r="AO74" s="494">
        <v>1.2999999999999999E-4</v>
      </c>
      <c r="AP74" s="494">
        <v>1.2999999999999999E-4</v>
      </c>
      <c r="AQ74" s="494" t="s">
        <v>326</v>
      </c>
      <c r="AR74" s="494" t="s">
        <v>326</v>
      </c>
      <c r="AS74" s="616">
        <v>1.0000000000000001E-5</v>
      </c>
      <c r="AT74" s="612">
        <v>1.2999999999999999E-4</v>
      </c>
      <c r="AU74" s="612">
        <v>1.2999999999999999E-4</v>
      </c>
      <c r="AV74" s="612">
        <v>1.2999999999999999E-4</v>
      </c>
      <c r="AW74" s="612">
        <v>1.2999999999999999E-4</v>
      </c>
      <c r="AX74" s="612">
        <v>1.2999999999999999E-4</v>
      </c>
      <c r="AY74" s="612">
        <v>1.2999999999999999E-4</v>
      </c>
      <c r="AZ74" s="612">
        <v>1.2999999999999999E-4</v>
      </c>
      <c r="BA74" s="612">
        <v>1.2999999999999999E-4</v>
      </c>
      <c r="BB74" s="612">
        <v>1.2999999999999999E-4</v>
      </c>
      <c r="BC74" s="494" t="s">
        <v>326</v>
      </c>
      <c r="BD74" s="494" t="s">
        <v>326</v>
      </c>
    </row>
    <row r="75" spans="1:63" ht="16.5" thickBot="1">
      <c r="A75" s="481"/>
      <c r="B75" s="479" t="s">
        <v>43</v>
      </c>
      <c r="E75" s="490">
        <v>-2.1900000000000001E-3</v>
      </c>
      <c r="F75" s="490">
        <v>-2.1900000000000001E-3</v>
      </c>
      <c r="G75" s="494" t="s">
        <v>267</v>
      </c>
      <c r="H75" s="494" t="s">
        <v>267</v>
      </c>
      <c r="I75" s="490">
        <v>-3.8999999999999999E-4</v>
      </c>
      <c r="J75" s="490">
        <v>-3.8999999999999999E-4</v>
      </c>
      <c r="K75" s="490">
        <v>-3.8999999999999999E-4</v>
      </c>
      <c r="L75" s="490">
        <v>-3.8999999999999999E-4</v>
      </c>
      <c r="M75" s="490">
        <v>-3.8999999999999999E-4</v>
      </c>
      <c r="N75" s="490">
        <v>-3.8999999999999999E-4</v>
      </c>
      <c r="O75" s="490">
        <v>-3.8999999999999999E-4</v>
      </c>
      <c r="P75" s="490">
        <v>-3.8999999999999999E-4</v>
      </c>
      <c r="Q75" s="490">
        <v>-3.8999999999999999E-4</v>
      </c>
      <c r="R75" s="490">
        <v>-3.8999999999999999E-4</v>
      </c>
      <c r="S75" s="494" t="s">
        <v>267</v>
      </c>
      <c r="T75" s="494" t="s">
        <v>267</v>
      </c>
      <c r="U75" s="490">
        <v>2.5000000000000001E-4</v>
      </c>
      <c r="V75" s="490">
        <v>2.5000000000000001E-4</v>
      </c>
      <c r="W75" s="490">
        <v>2.5000000000000001E-4</v>
      </c>
      <c r="X75" s="490">
        <v>2.5000000000000001E-4</v>
      </c>
      <c r="Y75" s="490">
        <v>2.5000000000000001E-4</v>
      </c>
      <c r="Z75" s="490">
        <v>2.5000000000000001E-4</v>
      </c>
      <c r="AA75" s="490">
        <v>2.5000000000000001E-4</v>
      </c>
      <c r="AB75" s="490">
        <v>2.5000000000000001E-4</v>
      </c>
      <c r="AC75" s="490">
        <v>2.5000000000000001E-4</v>
      </c>
      <c r="AD75" s="490">
        <v>2.5000000000000001E-4</v>
      </c>
      <c r="AE75" s="494" t="s">
        <v>326</v>
      </c>
      <c r="AF75" s="494" t="s">
        <v>326</v>
      </c>
      <c r="AG75" s="494">
        <v>1.2999999999999999E-4</v>
      </c>
      <c r="AH75" s="494">
        <v>1.2999999999999999E-4</v>
      </c>
      <c r="AI75" s="494">
        <v>1.2999999999999999E-4</v>
      </c>
      <c r="AJ75" s="494">
        <v>1.2999999999999999E-4</v>
      </c>
      <c r="AK75" s="494">
        <v>1.2999999999999999E-4</v>
      </c>
      <c r="AL75" s="494">
        <v>1.2999999999999999E-4</v>
      </c>
      <c r="AM75" s="494">
        <v>1.2999999999999999E-4</v>
      </c>
      <c r="AN75" s="494">
        <v>1.2999999999999999E-4</v>
      </c>
      <c r="AO75" s="494">
        <v>1.2999999999999999E-4</v>
      </c>
      <c r="AP75" s="494">
        <v>1.2999999999999999E-4</v>
      </c>
      <c r="AQ75" s="494" t="s">
        <v>326</v>
      </c>
      <c r="AR75" s="494" t="s">
        <v>326</v>
      </c>
      <c r="AS75" s="616">
        <v>1.0000000000000001E-5</v>
      </c>
      <c r="AT75" s="612">
        <v>1.2999999999999999E-4</v>
      </c>
      <c r="AU75" s="612">
        <v>1.2999999999999999E-4</v>
      </c>
      <c r="AV75" s="612">
        <v>1.2999999999999999E-4</v>
      </c>
      <c r="AW75" s="612">
        <v>1.2999999999999999E-4</v>
      </c>
      <c r="AX75" s="612">
        <v>1.2999999999999999E-4</v>
      </c>
      <c r="AY75" s="612">
        <v>1.2999999999999999E-4</v>
      </c>
      <c r="AZ75" s="612">
        <v>1.2999999999999999E-4</v>
      </c>
      <c r="BA75" s="612">
        <v>1.2999999999999999E-4</v>
      </c>
      <c r="BB75" s="612">
        <v>1.2999999999999999E-4</v>
      </c>
      <c r="BC75" s="494" t="s">
        <v>326</v>
      </c>
      <c r="BD75" s="494" t="s">
        <v>326</v>
      </c>
      <c r="BF75" s="520">
        <f>BF4</f>
        <v>201701</v>
      </c>
      <c r="BG75" s="529"/>
      <c r="BH75" s="521"/>
      <c r="BI75" s="521"/>
      <c r="BJ75" s="521"/>
      <c r="BK75" s="522"/>
    </row>
    <row r="76" spans="1:63">
      <c r="A76" s="481"/>
      <c r="B76" s="479" t="s">
        <v>74</v>
      </c>
      <c r="E76" s="490">
        <v>-2.0000000000000001E-4</v>
      </c>
      <c r="F76" s="490">
        <v>-2.0000000000000001E-4</v>
      </c>
      <c r="G76" s="494" t="s">
        <v>267</v>
      </c>
      <c r="H76" s="494" t="s">
        <v>267</v>
      </c>
      <c r="I76" s="490">
        <v>-4.0000000000000003E-5</v>
      </c>
      <c r="J76" s="490">
        <v>-4.0000000000000003E-5</v>
      </c>
      <c r="K76" s="490">
        <v>-4.0000000000000003E-5</v>
      </c>
      <c r="L76" s="490">
        <v>-4.0000000000000003E-5</v>
      </c>
      <c r="M76" s="490">
        <v>-4.0000000000000003E-5</v>
      </c>
      <c r="N76" s="490">
        <v>-4.0000000000000003E-5</v>
      </c>
      <c r="O76" s="490">
        <v>-4.0000000000000003E-5</v>
      </c>
      <c r="P76" s="490">
        <v>-4.0000000000000003E-5</v>
      </c>
      <c r="Q76" s="490">
        <v>-4.0000000000000003E-5</v>
      </c>
      <c r="R76" s="490">
        <v>-4.0000000000000003E-5</v>
      </c>
      <c r="S76" s="494" t="s">
        <v>267</v>
      </c>
      <c r="T76" s="494" t="s">
        <v>267</v>
      </c>
      <c r="U76" s="490">
        <v>4.0000000000000003E-5</v>
      </c>
      <c r="V76" s="490">
        <v>4.0000000000000003E-5</v>
      </c>
      <c r="W76" s="490">
        <v>4.0000000000000003E-5</v>
      </c>
      <c r="X76" s="490">
        <v>4.0000000000000003E-5</v>
      </c>
      <c r="Y76" s="490">
        <v>4.0000000000000003E-5</v>
      </c>
      <c r="Z76" s="490">
        <v>4.0000000000000003E-5</v>
      </c>
      <c r="AA76" s="490">
        <v>4.0000000000000003E-5</v>
      </c>
      <c r="AB76" s="490">
        <v>4.0000000000000003E-5</v>
      </c>
      <c r="AC76" s="490">
        <v>4.0000000000000003E-5</v>
      </c>
      <c r="AD76" s="490">
        <v>4.0000000000000003E-5</v>
      </c>
      <c r="AE76" s="494" t="s">
        <v>326</v>
      </c>
      <c r="AF76" s="494" t="s">
        <v>326</v>
      </c>
      <c r="AG76" s="494">
        <v>2.0000000000000002E-5</v>
      </c>
      <c r="AH76" s="494">
        <v>2.0000000000000002E-5</v>
      </c>
      <c r="AI76" s="494">
        <v>2.0000000000000002E-5</v>
      </c>
      <c r="AJ76" s="494">
        <v>2.0000000000000002E-5</v>
      </c>
      <c r="AK76" s="494">
        <v>2.0000000000000002E-5</v>
      </c>
      <c r="AL76" s="494">
        <v>2.0000000000000002E-5</v>
      </c>
      <c r="AM76" s="494">
        <v>2.0000000000000002E-5</v>
      </c>
      <c r="AN76" s="494">
        <v>2.0000000000000002E-5</v>
      </c>
      <c r="AO76" s="494">
        <v>2.0000000000000002E-5</v>
      </c>
      <c r="AP76" s="494">
        <v>2.0000000000000002E-5</v>
      </c>
      <c r="AQ76" s="494" t="s">
        <v>326</v>
      </c>
      <c r="AR76" s="494" t="s">
        <v>326</v>
      </c>
      <c r="AS76" s="616">
        <v>0</v>
      </c>
      <c r="AT76" s="612">
        <v>2.0000000000000002E-5</v>
      </c>
      <c r="AU76" s="612">
        <v>2.0000000000000002E-5</v>
      </c>
      <c r="AV76" s="612">
        <v>2.0000000000000002E-5</v>
      </c>
      <c r="AW76" s="612">
        <v>2.0000000000000002E-5</v>
      </c>
      <c r="AX76" s="612">
        <v>2.0000000000000002E-5</v>
      </c>
      <c r="AY76" s="612">
        <v>2.0000000000000002E-5</v>
      </c>
      <c r="AZ76" s="612">
        <v>2.0000000000000002E-5</v>
      </c>
      <c r="BA76" s="612">
        <v>2.0000000000000002E-5</v>
      </c>
      <c r="BB76" s="612">
        <v>2.0000000000000002E-5</v>
      </c>
      <c r="BC76" s="494" t="s">
        <v>326</v>
      </c>
      <c r="BD76" s="494" t="s">
        <v>326</v>
      </c>
      <c r="BF76" s="497" t="s">
        <v>299</v>
      </c>
      <c r="BG76" s="526">
        <v>191025</v>
      </c>
      <c r="BH76" s="356" t="s">
        <v>285</v>
      </c>
      <c r="BI76" s="356" t="s">
        <v>286</v>
      </c>
      <c r="BJ76" s="379">
        <f ca="1">IF((SUMIF(AG78:BD78,BF75,AG80:AS80))&gt;0,(SUMIF(AG78:BD78,BF75,AG80:AS80)),0)</f>
        <v>365.47674000000006</v>
      </c>
      <c r="BK76" s="498">
        <f>IF((SUMIF(AG78:BD78,BF75,AG80:BD80))&lt;0,-(SUMIF(AG78:BD78,BF75,AG80:BD80)),0)</f>
        <v>0</v>
      </c>
    </row>
    <row r="77" spans="1:63">
      <c r="A77" s="481" t="s">
        <v>290</v>
      </c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F77" s="497" t="s">
        <v>300</v>
      </c>
      <c r="BG77" s="526">
        <v>805110</v>
      </c>
      <c r="BH77" s="356" t="s">
        <v>285</v>
      </c>
      <c r="BI77" s="356" t="s">
        <v>286</v>
      </c>
      <c r="BJ77" s="379">
        <f>IF((SUMIF(AG78:BD78,BF75,AG80:BD80))&lt;0,-(SUMIF(AG78:BD78,BF75,AG80:BD80)),0)</f>
        <v>0</v>
      </c>
      <c r="BK77" s="498">
        <f>IF((SUMIF(AG78:BD78,BF75,AG80:BD80))&gt;0,(SUMIF(AG78:BD78,BF75,AG80:BD80)),0)</f>
        <v>365.47674000000006</v>
      </c>
    </row>
    <row r="78" spans="1:63" s="481" customFormat="1">
      <c r="A78" s="482">
        <v>191025</v>
      </c>
      <c r="B78" s="483" t="s">
        <v>253</v>
      </c>
      <c r="C78" s="484" t="s">
        <v>248</v>
      </c>
      <c r="D78" s="485" t="s">
        <v>249</v>
      </c>
      <c r="E78" s="482">
        <v>201309</v>
      </c>
      <c r="F78" s="482">
        <f>E78+1</f>
        <v>201310</v>
      </c>
      <c r="G78" s="482">
        <f>F78+1</f>
        <v>201311</v>
      </c>
      <c r="H78" s="482">
        <f>G78+1</f>
        <v>201312</v>
      </c>
      <c r="I78" s="482">
        <v>201401</v>
      </c>
      <c r="J78" s="482">
        <v>201402</v>
      </c>
      <c r="K78" s="482">
        <v>201403</v>
      </c>
      <c r="L78" s="482">
        <v>201404</v>
      </c>
      <c r="M78" s="482">
        <v>201405</v>
      </c>
      <c r="N78" s="482">
        <v>201406</v>
      </c>
      <c r="O78" s="482">
        <v>201407</v>
      </c>
      <c r="P78" s="482">
        <v>201408</v>
      </c>
      <c r="Q78" s="482">
        <v>201409</v>
      </c>
      <c r="R78" s="482">
        <v>201410</v>
      </c>
      <c r="S78" s="482">
        <v>201411</v>
      </c>
      <c r="T78" s="482">
        <v>201412</v>
      </c>
      <c r="U78" s="482">
        <v>201501</v>
      </c>
      <c r="V78" s="482">
        <f t="shared" ref="V78:AD78" si="78">U78+1</f>
        <v>201502</v>
      </c>
      <c r="W78" s="482">
        <f t="shared" si="78"/>
        <v>201503</v>
      </c>
      <c r="X78" s="482">
        <f t="shared" si="78"/>
        <v>201504</v>
      </c>
      <c r="Y78" s="482">
        <f t="shared" si="78"/>
        <v>201505</v>
      </c>
      <c r="Z78" s="482">
        <f t="shared" si="78"/>
        <v>201506</v>
      </c>
      <c r="AA78" s="482">
        <f t="shared" si="78"/>
        <v>201507</v>
      </c>
      <c r="AB78" s="482">
        <f t="shared" si="78"/>
        <v>201508</v>
      </c>
      <c r="AC78" s="482">
        <f t="shared" si="78"/>
        <v>201509</v>
      </c>
      <c r="AD78" s="482">
        <f t="shared" si="78"/>
        <v>201510</v>
      </c>
      <c r="AE78" s="482">
        <f>AD78+1</f>
        <v>201511</v>
      </c>
      <c r="AF78" s="482">
        <f t="shared" ref="AF78" si="79">AE78+1</f>
        <v>201512</v>
      </c>
      <c r="AG78" s="482">
        <v>201601</v>
      </c>
      <c r="AH78" s="482">
        <f>AG78+1</f>
        <v>201602</v>
      </c>
      <c r="AI78" s="482">
        <f t="shared" ref="AI78:AR78" si="80">AH78+1</f>
        <v>201603</v>
      </c>
      <c r="AJ78" s="482">
        <f t="shared" si="80"/>
        <v>201604</v>
      </c>
      <c r="AK78" s="482">
        <f t="shared" si="80"/>
        <v>201605</v>
      </c>
      <c r="AL78" s="482">
        <f t="shared" si="80"/>
        <v>201606</v>
      </c>
      <c r="AM78" s="482">
        <f t="shared" si="80"/>
        <v>201607</v>
      </c>
      <c r="AN78" s="482">
        <f t="shared" si="80"/>
        <v>201608</v>
      </c>
      <c r="AO78" s="482">
        <f t="shared" si="80"/>
        <v>201609</v>
      </c>
      <c r="AP78" s="482">
        <f t="shared" si="80"/>
        <v>201610</v>
      </c>
      <c r="AQ78" s="482">
        <f t="shared" si="80"/>
        <v>201611</v>
      </c>
      <c r="AR78" s="482">
        <f t="shared" si="80"/>
        <v>201612</v>
      </c>
      <c r="AS78" s="482">
        <f>AS3</f>
        <v>201701</v>
      </c>
      <c r="AT78" s="482">
        <f>AS78+1</f>
        <v>201702</v>
      </c>
      <c r="AU78" s="482">
        <f t="shared" ref="AU78:BD78" si="81">AT78+1</f>
        <v>201703</v>
      </c>
      <c r="AV78" s="482">
        <f t="shared" si="81"/>
        <v>201704</v>
      </c>
      <c r="AW78" s="482">
        <f t="shared" si="81"/>
        <v>201705</v>
      </c>
      <c r="AX78" s="482">
        <f t="shared" si="81"/>
        <v>201706</v>
      </c>
      <c r="AY78" s="482">
        <f t="shared" si="81"/>
        <v>201707</v>
      </c>
      <c r="AZ78" s="482">
        <f t="shared" si="81"/>
        <v>201708</v>
      </c>
      <c r="BA78" s="482">
        <f t="shared" si="81"/>
        <v>201709</v>
      </c>
      <c r="BB78" s="482">
        <f t="shared" si="81"/>
        <v>201710</v>
      </c>
      <c r="BC78" s="482">
        <f t="shared" si="81"/>
        <v>201711</v>
      </c>
      <c r="BD78" s="482">
        <f t="shared" si="81"/>
        <v>201712</v>
      </c>
      <c r="BE78" s="577"/>
      <c r="BF78" s="497" t="s">
        <v>270</v>
      </c>
      <c r="BG78" s="526">
        <v>191025</v>
      </c>
      <c r="BH78" s="356" t="s">
        <v>285</v>
      </c>
      <c r="BI78" s="356" t="s">
        <v>286</v>
      </c>
      <c r="BJ78" s="379">
        <f>298+298</f>
        <v>596</v>
      </c>
      <c r="BK78" s="498">
        <v>0</v>
      </c>
    </row>
    <row r="79" spans="1:63" ht="16.5" thickBot="1">
      <c r="A79" s="491"/>
      <c r="B79" s="479" t="s">
        <v>250</v>
      </c>
      <c r="E79" s="480">
        <v>49539.047030000002</v>
      </c>
      <c r="F79" s="480">
        <f>E82</f>
        <v>38932.729789999998</v>
      </c>
      <c r="G79" s="480">
        <f>F82</f>
        <v>8140.2385399999985</v>
      </c>
      <c r="H79" s="480">
        <f>G82</f>
        <v>-693.68146000000161</v>
      </c>
      <c r="I79" s="480">
        <v>-13695.721460000002</v>
      </c>
      <c r="J79" s="480">
        <v>-24946.501630000002</v>
      </c>
      <c r="K79" s="480">
        <v>-35935.697740000003</v>
      </c>
      <c r="L79" s="480">
        <v>-43868.737290000005</v>
      </c>
      <c r="M79" s="480">
        <v>-48533.952360000003</v>
      </c>
      <c r="N79" s="480">
        <v>-51097.105150000003</v>
      </c>
      <c r="O79" s="480">
        <v>-53019.406010000006</v>
      </c>
      <c r="P79" s="480">
        <v>-54619.79959000001</v>
      </c>
      <c r="Q79" s="480">
        <v>-56173.40615000001</v>
      </c>
      <c r="R79" s="480">
        <v>-58149.353890000013</v>
      </c>
      <c r="S79" s="480">
        <v>-61477.482430000011</v>
      </c>
      <c r="T79" s="480">
        <v>-56200.445640000013</v>
      </c>
      <c r="U79" s="480">
        <v>-49897.475640000011</v>
      </c>
      <c r="V79" s="480">
        <v>-43064.021250000013</v>
      </c>
      <c r="W79" s="480">
        <v>-38138.117780000015</v>
      </c>
      <c r="X79" s="480">
        <v>-34282.961340000016</v>
      </c>
      <c r="Y79" s="480">
        <v>-31253.873050000017</v>
      </c>
      <c r="Z79" s="480">
        <v>-29770.929110000015</v>
      </c>
      <c r="AA79" s="480">
        <v>-28708.282540000015</v>
      </c>
      <c r="AB79" s="480">
        <v>-27692.487530000013</v>
      </c>
      <c r="AC79" s="480">
        <v>-26711.886850000014</v>
      </c>
      <c r="AD79" s="480">
        <v>-25249.174790000012</v>
      </c>
      <c r="AE79" s="480">
        <v>-23171.93566000001</v>
      </c>
      <c r="AF79" s="480">
        <f>AE82</f>
        <v>-21380.93566000001</v>
      </c>
      <c r="AG79" s="480">
        <f t="shared" ref="AG79:AO79" si="82">AF82</f>
        <v>-18146.93566000001</v>
      </c>
      <c r="AH79" s="480">
        <f t="shared" si="82"/>
        <v>-14523.147320000011</v>
      </c>
      <c r="AI79" s="480">
        <f t="shared" si="82"/>
        <v>-11852.264220000012</v>
      </c>
      <c r="AJ79" s="480">
        <f t="shared" si="82"/>
        <v>-9512.6003600000113</v>
      </c>
      <c r="AK79" s="480">
        <f t="shared" si="82"/>
        <v>-8373.7282900000118</v>
      </c>
      <c r="AL79" s="480">
        <f t="shared" si="82"/>
        <v>-7543.4780600000122</v>
      </c>
      <c r="AM79" s="480">
        <f t="shared" si="82"/>
        <v>-6882.1108900000127</v>
      </c>
      <c r="AN79" s="480">
        <f t="shared" si="82"/>
        <v>-6303.9779800000124</v>
      </c>
      <c r="AO79" s="480">
        <f t="shared" si="82"/>
        <v>-5710.3492900000119</v>
      </c>
      <c r="AP79" s="480">
        <f>AO82</f>
        <v>-4950.5876300000118</v>
      </c>
      <c r="AQ79" s="480">
        <f>AP82</f>
        <v>-3439.8164200000119</v>
      </c>
      <c r="AR79" s="480">
        <f>AQ82</f>
        <v>-4198.8164200000119</v>
      </c>
      <c r="AS79" s="480">
        <f>AR82</f>
        <v>-4496.8164200000119</v>
      </c>
      <c r="AT79" s="480">
        <f t="shared" ref="AT79:BA79" si="83">AS82</f>
        <v>-3535.3396800000119</v>
      </c>
      <c r="AU79" s="480">
        <f t="shared" si="83"/>
        <v>49.008539999988443</v>
      </c>
      <c r="AV79" s="480">
        <f t="shared" si="83"/>
        <v>2772.962219999989</v>
      </c>
      <c r="AW79" s="480">
        <f t="shared" si="83"/>
        <v>4662.0771999999888</v>
      </c>
      <c r="AX79" s="480">
        <f t="shared" si="83"/>
        <v>5723.2965999999888</v>
      </c>
      <c r="AY79" s="480">
        <f t="shared" si="83"/>
        <v>6395.9400399999886</v>
      </c>
      <c r="AZ79" s="480">
        <f t="shared" si="83"/>
        <v>6946.6318599999886</v>
      </c>
      <c r="BA79" s="480">
        <f t="shared" si="83"/>
        <v>7498.747699999989</v>
      </c>
      <c r="BB79" s="480">
        <f>BA82</f>
        <v>8286.982759999988</v>
      </c>
      <c r="BC79" s="480">
        <f>BB82</f>
        <v>10013.028389999989</v>
      </c>
      <c r="BD79" s="480">
        <f>BC82</f>
        <v>9254.0283899999886</v>
      </c>
      <c r="BF79" s="497" t="s">
        <v>270</v>
      </c>
      <c r="BG79" s="526">
        <v>805110</v>
      </c>
      <c r="BH79" s="356" t="s">
        <v>285</v>
      </c>
      <c r="BI79" s="356" t="s">
        <v>286</v>
      </c>
      <c r="BJ79" s="379">
        <v>0</v>
      </c>
      <c r="BK79" s="498">
        <f>298+298</f>
        <v>596</v>
      </c>
    </row>
    <row r="80" spans="1:63" ht="16.5" thickBot="1">
      <c r="B80" s="479" t="s">
        <v>23</v>
      </c>
      <c r="C80" s="480">
        <f>SUM(AG80:AR80)</f>
        <v>13650.119239999998</v>
      </c>
      <c r="D80" s="492">
        <f>SUM(AE80:AP80)</f>
        <v>19758.119239999996</v>
      </c>
      <c r="E80" s="480">
        <f>SUMPRODUCT(E55:E63,E68:E76)</f>
        <v>-10606.31724</v>
      </c>
      <c r="F80" s="480">
        <f>SUMPRODUCT(F55:F63,F68:F76)</f>
        <v>-30792.491249999999</v>
      </c>
      <c r="G80" s="480">
        <v>-8833.92</v>
      </c>
      <c r="H80" s="480">
        <v>-13002.04</v>
      </c>
      <c r="I80" s="480">
        <v>-11250.78017</v>
      </c>
      <c r="J80" s="480">
        <v>-10989.196110000001</v>
      </c>
      <c r="K80" s="480">
        <v>-7933.0395500000013</v>
      </c>
      <c r="L80" s="480">
        <v>-4665.2150699999993</v>
      </c>
      <c r="M80" s="480">
        <v>-2563.1527899999996</v>
      </c>
      <c r="N80" s="480">
        <v>-1922.3008600000003</v>
      </c>
      <c r="O80" s="480">
        <v>-1600.3935799999999</v>
      </c>
      <c r="P80" s="480">
        <v>-1553.6065599999997</v>
      </c>
      <c r="Q80" s="480">
        <v>-1975.9477400000001</v>
      </c>
      <c r="R80" s="480">
        <v>-3328.1285399999992</v>
      </c>
      <c r="S80" s="552">
        <v>5277.0367900000001</v>
      </c>
      <c r="T80" s="552">
        <v>6302.97</v>
      </c>
      <c r="U80" s="480">
        <v>6833.4543899999999</v>
      </c>
      <c r="V80" s="480">
        <v>4925.9034700000011</v>
      </c>
      <c r="W80" s="480">
        <v>3855.1564400000007</v>
      </c>
      <c r="X80" s="480">
        <v>3029.0882899999997</v>
      </c>
      <c r="Y80" s="480">
        <v>1482.9439400000001</v>
      </c>
      <c r="Z80" s="480">
        <v>1062.6465700000001</v>
      </c>
      <c r="AA80" s="480">
        <v>1015.7950099999999</v>
      </c>
      <c r="AB80" s="480">
        <v>980.60068000000001</v>
      </c>
      <c r="AC80" s="480">
        <v>1462.7120600000003</v>
      </c>
      <c r="AD80" s="480">
        <v>2077.2391300000004</v>
      </c>
      <c r="AE80" s="558">
        <v>1791</v>
      </c>
      <c r="AF80" s="558">
        <v>3260</v>
      </c>
      <c r="AG80" s="558">
        <v>3623.7883399999996</v>
      </c>
      <c r="AH80" s="558">
        <v>2670.8831</v>
      </c>
      <c r="AI80" s="558">
        <v>2339.6638599999997</v>
      </c>
      <c r="AJ80" s="558">
        <v>1138.8720699999999</v>
      </c>
      <c r="AK80" s="558">
        <v>830.25022999999999</v>
      </c>
      <c r="AL80" s="558">
        <v>661.36716999999987</v>
      </c>
      <c r="AM80" s="558">
        <v>578.13290999999992</v>
      </c>
      <c r="AN80" s="558">
        <v>593.62869000000012</v>
      </c>
      <c r="AO80" s="558">
        <v>759.76165999999989</v>
      </c>
      <c r="AP80" s="558">
        <v>1510.7712100000001</v>
      </c>
      <c r="AQ80" s="558">
        <v>-759</v>
      </c>
      <c r="AR80" s="558">
        <v>-298</v>
      </c>
      <c r="AS80" s="558">
        <f>SUMPRODUCT(AS55:AS63,AS68:AS76)</f>
        <v>365.47674000000006</v>
      </c>
      <c r="AT80" s="558">
        <f t="shared" ref="AT80:AW80" si="84">SUMPRODUCT(AT55:AT63,AT68:AT76)</f>
        <v>3584.3482200000003</v>
      </c>
      <c r="AU80" s="558">
        <f t="shared" si="84"/>
        <v>2723.9536800000005</v>
      </c>
      <c r="AV80" s="558">
        <f t="shared" si="84"/>
        <v>1889.1149799999998</v>
      </c>
      <c r="AW80" s="558">
        <f t="shared" si="84"/>
        <v>1061.2194</v>
      </c>
      <c r="AX80" s="558">
        <f>SUMPRODUCT(AX55:AX63,AX68:AX76)</f>
        <v>672.64343999999971</v>
      </c>
      <c r="AY80" s="558">
        <f t="shared" ref="AY80" si="85">SUMPRODUCT(AY55:AY63,AY68:AY76)</f>
        <v>550.69181999999989</v>
      </c>
      <c r="AZ80" s="558">
        <f>SUMPRODUCT(AZ55:AZ63,AZ68:AZ76)</f>
        <v>552.11583999999993</v>
      </c>
      <c r="BA80" s="558">
        <f>SUMPRODUCT(BA55:BA63,BA68:BA76)</f>
        <v>788.23505999999998</v>
      </c>
      <c r="BB80" s="558">
        <f>SUMPRODUCT(BB55:BB63,BB68:BB76)</f>
        <v>1726.0456299999998</v>
      </c>
      <c r="BC80" s="558">
        <v>-759</v>
      </c>
      <c r="BD80" s="558">
        <v>-298</v>
      </c>
      <c r="BF80" s="622"/>
      <c r="BG80" s="529"/>
      <c r="BH80" s="521"/>
      <c r="BI80" s="521"/>
      <c r="BJ80" s="521" t="s">
        <v>159</v>
      </c>
      <c r="BK80" s="522">
        <f ca="1">SUM(BJ76:BJ79)-SUM(BK76:BK79)</f>
        <v>0</v>
      </c>
    </row>
    <row r="81" spans="2:56">
      <c r="B81" s="479" t="s">
        <v>148</v>
      </c>
      <c r="C81" s="480">
        <f>SUM(AG81:AR81)</f>
        <v>0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480">
        <v>0</v>
      </c>
      <c r="AB81" s="480">
        <v>0</v>
      </c>
      <c r="AC81" s="480">
        <v>0</v>
      </c>
      <c r="AD81" s="480">
        <v>0</v>
      </c>
      <c r="AE81" s="480">
        <v>0</v>
      </c>
      <c r="AF81" s="480">
        <v>-26</v>
      </c>
      <c r="AG81" s="480">
        <v>0</v>
      </c>
      <c r="AH81" s="480">
        <v>0</v>
      </c>
      <c r="AI81" s="480">
        <v>0</v>
      </c>
      <c r="AJ81" s="480">
        <v>0</v>
      </c>
      <c r="AK81" s="480">
        <v>0</v>
      </c>
      <c r="AL81" s="480">
        <v>0</v>
      </c>
      <c r="AM81" s="480">
        <v>0</v>
      </c>
      <c r="AN81" s="480">
        <v>0</v>
      </c>
      <c r="AO81" s="480">
        <v>0</v>
      </c>
      <c r="AP81" s="480">
        <v>0</v>
      </c>
      <c r="AQ81" s="480">
        <v>0</v>
      </c>
      <c r="AR81" s="480">
        <v>0</v>
      </c>
      <c r="AS81" s="480">
        <f>298+298</f>
        <v>596</v>
      </c>
      <c r="AT81" s="480">
        <v>0</v>
      </c>
      <c r="AU81" s="480">
        <v>0</v>
      </c>
      <c r="AV81" s="480">
        <v>0</v>
      </c>
      <c r="AW81" s="480">
        <v>0</v>
      </c>
      <c r="AX81" s="480">
        <v>0</v>
      </c>
      <c r="AY81" s="480">
        <v>0</v>
      </c>
      <c r="AZ81" s="480">
        <v>0</v>
      </c>
      <c r="BA81" s="480">
        <v>0</v>
      </c>
      <c r="BB81" s="480">
        <v>0</v>
      </c>
      <c r="BC81" s="480">
        <v>0</v>
      </c>
      <c r="BD81" s="480">
        <v>0</v>
      </c>
    </row>
    <row r="82" spans="2:56" ht="16.5" thickBot="1">
      <c r="B82" s="479" t="s">
        <v>56</v>
      </c>
      <c r="C82" s="539">
        <f>SUM(C80:C81)</f>
        <v>13650.119239999998</v>
      </c>
      <c r="D82" s="539"/>
      <c r="E82" s="539">
        <f t="shared" ref="E82:H82" si="86">SUM(E79:E81)</f>
        <v>38932.729789999998</v>
      </c>
      <c r="F82" s="539">
        <f t="shared" si="86"/>
        <v>8140.2385399999985</v>
      </c>
      <c r="G82" s="539">
        <f t="shared" si="86"/>
        <v>-693.68146000000161</v>
      </c>
      <c r="H82" s="539">
        <f t="shared" si="86"/>
        <v>-13695.721460000002</v>
      </c>
      <c r="I82" s="539">
        <v>-24946.501630000002</v>
      </c>
      <c r="J82" s="539">
        <v>-35935.697740000003</v>
      </c>
      <c r="K82" s="539">
        <v>-43868.737290000005</v>
      </c>
      <c r="L82" s="539">
        <v>-48533.952360000003</v>
      </c>
      <c r="M82" s="539">
        <v>-51097.105150000003</v>
      </c>
      <c r="N82" s="539">
        <v>-53019.406010000006</v>
      </c>
      <c r="O82" s="539">
        <v>-54619.79959000001</v>
      </c>
      <c r="P82" s="539">
        <v>-56173.40615000001</v>
      </c>
      <c r="Q82" s="539">
        <v>-58149.353890000013</v>
      </c>
      <c r="R82" s="539">
        <v>-61477.482430000011</v>
      </c>
      <c r="S82" s="539">
        <v>-56200.445640000013</v>
      </c>
      <c r="T82" s="539">
        <v>-49897.475640000011</v>
      </c>
      <c r="U82" s="539">
        <v>-43064.021250000013</v>
      </c>
      <c r="V82" s="539">
        <f t="shared" ref="V82:AR82" si="87">SUM(V79:V81)</f>
        <v>-38138.117780000015</v>
      </c>
      <c r="W82" s="539">
        <f t="shared" si="87"/>
        <v>-34282.961340000016</v>
      </c>
      <c r="X82" s="539">
        <f t="shared" si="87"/>
        <v>-31253.873050000017</v>
      </c>
      <c r="Y82" s="539">
        <f t="shared" si="87"/>
        <v>-29770.929110000015</v>
      </c>
      <c r="Z82" s="539">
        <f t="shared" si="87"/>
        <v>-28708.282540000015</v>
      </c>
      <c r="AA82" s="539">
        <f t="shared" si="87"/>
        <v>-27692.487530000013</v>
      </c>
      <c r="AB82" s="539">
        <f t="shared" si="87"/>
        <v>-26711.886850000014</v>
      </c>
      <c r="AC82" s="539">
        <f t="shared" si="87"/>
        <v>-25249.174790000012</v>
      </c>
      <c r="AD82" s="539">
        <f t="shared" si="87"/>
        <v>-23171.93566000001</v>
      </c>
      <c r="AE82" s="539">
        <f t="shared" si="87"/>
        <v>-21380.93566000001</v>
      </c>
      <c r="AF82" s="539">
        <f t="shared" si="87"/>
        <v>-18146.93566000001</v>
      </c>
      <c r="AG82" s="539">
        <f t="shared" si="87"/>
        <v>-14523.147320000011</v>
      </c>
      <c r="AH82" s="539">
        <f t="shared" si="87"/>
        <v>-11852.264220000012</v>
      </c>
      <c r="AI82" s="539">
        <f t="shared" si="87"/>
        <v>-9512.6003600000113</v>
      </c>
      <c r="AJ82" s="539">
        <f t="shared" si="87"/>
        <v>-8373.7282900000118</v>
      </c>
      <c r="AK82" s="539">
        <f t="shared" si="87"/>
        <v>-7543.4780600000122</v>
      </c>
      <c r="AL82" s="539">
        <f t="shared" si="87"/>
        <v>-6882.1108900000127</v>
      </c>
      <c r="AM82" s="539">
        <f t="shared" si="87"/>
        <v>-6303.9779800000124</v>
      </c>
      <c r="AN82" s="539">
        <f t="shared" si="87"/>
        <v>-5710.3492900000119</v>
      </c>
      <c r="AO82" s="539">
        <f t="shared" si="87"/>
        <v>-4950.5876300000118</v>
      </c>
      <c r="AP82" s="539">
        <f t="shared" si="87"/>
        <v>-3439.8164200000119</v>
      </c>
      <c r="AQ82" s="539">
        <f t="shared" si="87"/>
        <v>-4198.8164200000119</v>
      </c>
      <c r="AR82" s="539">
        <f t="shared" si="87"/>
        <v>-4496.8164200000119</v>
      </c>
      <c r="AS82" s="539">
        <f>SUM(AS79:AS81)</f>
        <v>-3535.3396800000119</v>
      </c>
      <c r="AT82" s="539">
        <f t="shared" ref="AT82:BD82" si="88">SUM(AT79:AT81)</f>
        <v>49.008539999988443</v>
      </c>
      <c r="AU82" s="539">
        <f t="shared" si="88"/>
        <v>2772.962219999989</v>
      </c>
      <c r="AV82" s="539">
        <f t="shared" si="88"/>
        <v>4662.0771999999888</v>
      </c>
      <c r="AW82" s="539">
        <f t="shared" si="88"/>
        <v>5723.2965999999888</v>
      </c>
      <c r="AX82" s="539">
        <f t="shared" si="88"/>
        <v>6395.9400399999886</v>
      </c>
      <c r="AY82" s="539">
        <f t="shared" si="88"/>
        <v>6946.6318599999886</v>
      </c>
      <c r="AZ82" s="539">
        <f t="shared" si="88"/>
        <v>7498.747699999989</v>
      </c>
      <c r="BA82" s="539">
        <f t="shared" si="88"/>
        <v>8286.982759999988</v>
      </c>
      <c r="BB82" s="539">
        <f t="shared" si="88"/>
        <v>10013.028389999989</v>
      </c>
      <c r="BC82" s="539">
        <f t="shared" si="88"/>
        <v>9254.0283899999886</v>
      </c>
      <c r="BD82" s="539">
        <f t="shared" si="88"/>
        <v>8956.0283899999886</v>
      </c>
    </row>
    <row r="83" spans="2:56" ht="16.5" thickTop="1">
      <c r="B83" s="479" t="s">
        <v>257</v>
      </c>
      <c r="E83" s="480">
        <f>_xll.Get_Balance(E78,"YTD","USD","Total","A","","001",$A$78,"GD","WA","DL")</f>
        <v>38932.730000000003</v>
      </c>
      <c r="F83" s="480">
        <f>_xll.Get_Balance(F78,"YTD","USD","Total","A","","001",$A$78,"GD","WA","DL")</f>
        <v>8140.24</v>
      </c>
      <c r="G83" s="480">
        <f>_xll.Get_Balance(G78,"YTD","USD","Total","A","","001",$A$78,"GD","WA","DL")</f>
        <v>-693.68</v>
      </c>
      <c r="H83" s="480">
        <f>_xll.Get_Balance(H78,"YTD","USD","Total","A","","001",$A$78,"GD","WA","DL")</f>
        <v>-13695.72</v>
      </c>
      <c r="I83" s="480">
        <v>-24946.5</v>
      </c>
      <c r="J83" s="480">
        <v>-35935.699999999997</v>
      </c>
      <c r="K83" s="480">
        <v>-43868.74</v>
      </c>
      <c r="L83" s="480">
        <v>-48533.96</v>
      </c>
      <c r="M83" s="480">
        <v>-51097.11</v>
      </c>
      <c r="N83" s="480">
        <v>-53019.41</v>
      </c>
      <c r="O83" s="480">
        <v>-54619.8</v>
      </c>
      <c r="P83" s="480">
        <v>-56173.41</v>
      </c>
      <c r="Q83" s="480">
        <v>-58149.36</v>
      </c>
      <c r="R83" s="480">
        <v>-61477.49</v>
      </c>
      <c r="S83" s="480">
        <v>-56200.45</v>
      </c>
      <c r="T83" s="480">
        <v>-49897.48</v>
      </c>
      <c r="U83" s="480">
        <v>-43064.03</v>
      </c>
      <c r="V83" s="480">
        <f>_xll.Get_Balance(V78,"YTD","USD","Total","A","","001",$A$78,"GD","WA","DL")</f>
        <v>-38138.129999999997</v>
      </c>
      <c r="W83" s="480">
        <f>_xll.Get_Balance(W78,"YTD","USD","Total","A","","001",$A$78,"GD","WA","DL")</f>
        <v>-34282.97</v>
      </c>
      <c r="X83" s="480">
        <f>_xll.Get_Balance(X78,"YTD","USD","Total","A","","001",$A$78,"GD","WA","DL")</f>
        <v>-31253.88</v>
      </c>
      <c r="Y83" s="480">
        <f>_xll.Get_Balance(Y78,"YTD","USD","Total","A","","001",$A$78,"GD","WA","DL")</f>
        <v>-29770.94</v>
      </c>
      <c r="Z83" s="480">
        <f>_xll.Get_Balance(Z78,"YTD","USD","Total","A","","001",$A$78,"GD","WA","DL")</f>
        <v>-28708.29</v>
      </c>
      <c r="AA83" s="480">
        <f>_xll.Get_Balance(AA78,"YTD","USD","Total","A","","001",$A$78,"GD","WA","DL")</f>
        <v>-27692.49</v>
      </c>
      <c r="AB83" s="480">
        <f>_xll.Get_Balance(AB78,"YTD","USD","Total","A","","001",$A$78,"GD","WA","DL")</f>
        <v>-26711.89</v>
      </c>
      <c r="AC83" s="480">
        <f>_xll.Get_Balance(AC78,"YTD","USD","Total","A","","001",$A$78,"GD","WA","DL")</f>
        <v>-25249.18</v>
      </c>
      <c r="AD83" s="480">
        <f>_xll.Get_Balance(AD78,"YTD","USD","Total","A","","001",$A$78,"GD","WA","DL")</f>
        <v>-23171.94</v>
      </c>
      <c r="AE83" s="480">
        <f>_xll.Get_Balance(AE78,"YTD","USD","Total","A","","001",$A$78,"GD","WA","DL")</f>
        <v>-21380.94</v>
      </c>
      <c r="AF83" s="480">
        <f>_xll.Get_Balance(AF78,"YTD","USD","Total","A","","001",$A$78,"GD","WA","DL")</f>
        <v>-18146.939999999999</v>
      </c>
      <c r="AG83" s="480">
        <f>_xll.Get_Balance(AG78,"YTD","USD","Total","A","","001",$A$78,"GD","WA","DL")</f>
        <v>-14523.15</v>
      </c>
      <c r="AH83" s="480">
        <f>_xll.Get_Balance(AH78,"YTD","USD","Total","A","","001",$A$78,"GD","WA","DL")</f>
        <v>-11852.27</v>
      </c>
      <c r="AI83" s="480">
        <f>_xll.Get_Balance(AI78,"YTD","USD","Total","A","","001",$A$78,"GD","WA","DL")</f>
        <v>-9512.61</v>
      </c>
      <c r="AJ83" s="480">
        <f>_xll.Get_Balance(AJ78,"YTD","USD","Total","A","","001",$A$78,"GD","WA","DL")</f>
        <v>-8373.74</v>
      </c>
      <c r="AK83" s="480">
        <f>_xll.Get_Balance(AK78,"YTD","USD","Total","A","","001",$A$78,"GD","WA","DL")</f>
        <v>-7543.49</v>
      </c>
      <c r="AL83" s="480">
        <f>_xll.Get_Balance(AL78,"YTD","USD","Total","A","","001",$A$78,"GD","WA","DL")</f>
        <v>-6882.12</v>
      </c>
      <c r="AM83" s="480">
        <f>_xll.Get_Balance(AM78,"YTD","USD","Total","A","","001",$A$78,"GD","WA","DL")</f>
        <v>-6303.99</v>
      </c>
      <c r="AN83" s="480">
        <f>_xll.Get_Balance(AN78,"YTD","USD","Total","A","","001",$A$78,"GD","WA","DL")</f>
        <v>-5710.36</v>
      </c>
      <c r="AO83" s="480">
        <f>_xll.Get_Balance(AO78,"YTD","USD","Total","A","","001",$A$78,"GD","WA","DL")</f>
        <v>-4950.6000000000004</v>
      </c>
      <c r="AP83" s="480">
        <f>_xll.Get_Balance(AP78,"YTD","USD","Total","A","","001",$A$78,"GD","WA","DL")</f>
        <v>-3439.83</v>
      </c>
      <c r="AQ83" s="480">
        <f>_xll.Get_Balance(AQ78,"YTD","USD","Total","A","","001",$A$78,"GD","WA","DL")</f>
        <v>-4198.83</v>
      </c>
      <c r="AR83" s="480">
        <f>_xll.Get_Balance(AR78,"YTD","USD","Total","A","","001",$A$78,"GD","WA","DL")</f>
        <v>-4496.83</v>
      </c>
      <c r="AS83" s="480">
        <f>_xll.Get_Balance(AS78,"YTD","USD","Total","A","","001",$A$78,"GD","WA","DL")</f>
        <v>-3535.35</v>
      </c>
      <c r="AT83" s="480">
        <f>_xll.Get_Balance(AT78,"YTD","USD","Total","A","","001",$A$78,"GD","WA","DL")</f>
        <v>-3265.04</v>
      </c>
      <c r="AU83" s="480">
        <f>_xll.Get_Balance(AU78,"YTD","USD","Total","A","","001",$A$78,"GD","WA","DL")</f>
        <v>-3060.71</v>
      </c>
      <c r="AV83" s="480">
        <f>_xll.Get_Balance(AV78,"YTD","USD","Total","A","","001",$A$78,"GD","WA","DL")</f>
        <v>-2919.81</v>
      </c>
      <c r="AW83" s="480">
        <f>_xll.Get_Balance(AW78,"YTD","USD","Total","A","","001",$A$78,"GD","WA","DL")</f>
        <v>-2842.03</v>
      </c>
      <c r="AX83" s="480">
        <f>_xll.Get_Balance(AX78,"YTD","USD","Total","A","","001",$A$78,"GD","WA","DL")</f>
        <v>-2794.18</v>
      </c>
      <c r="AY83" s="480">
        <f>_xll.Get_Balance(AY78,"YTD","USD","Total","A","","001",$A$78,"GD","WA","DL")</f>
        <v>-2755.12</v>
      </c>
      <c r="AZ83" s="480">
        <f>_xll.Get_Balance(AZ78,"YTD","USD","Total","A","","001",$A$78,"GD","WA","DL")</f>
        <v>-2716.25</v>
      </c>
      <c r="BA83" s="480">
        <f>_xll.Get_Balance(BA78,"YTD","USD","Total","A","","001",$A$78,"GD","WA","DL")</f>
        <v>-2659.02</v>
      </c>
      <c r="BB83" s="480">
        <f>_xll.Get_Balance(BB78,"YTD","USD","Total","A","","001",$A$78,"GD","WA","DL")</f>
        <v>-2659.02</v>
      </c>
      <c r="BC83" s="480">
        <f>_xll.Get_Balance(BC78,"YTD","USD","Total","A","","001",$A$78,"GD","WA","DL")</f>
        <v>-2659.02</v>
      </c>
      <c r="BD83" s="480">
        <f>_xll.Get_Balance(BD78,"YTD","USD","Total","A","","001",$A$78,"GD","WA","DL")</f>
        <v>0</v>
      </c>
    </row>
    <row r="84" spans="2:56">
      <c r="B84" s="479" t="s">
        <v>243</v>
      </c>
      <c r="E84" s="480">
        <f t="shared" ref="E84:H84" si="89">E82-E83</f>
        <v>-2.1000000560889021E-4</v>
      </c>
      <c r="F84" s="480">
        <f t="shared" si="89"/>
        <v>-1.4600000013160752E-3</v>
      </c>
      <c r="G84" s="480">
        <f t="shared" si="89"/>
        <v>-1.4600000016571357E-3</v>
      </c>
      <c r="H84" s="480">
        <f t="shared" si="89"/>
        <v>-1.4600000031350646E-3</v>
      </c>
      <c r="I84" s="480">
        <v>-1.6300000024784822E-3</v>
      </c>
      <c r="J84" s="480">
        <v>2.2599999938393012E-3</v>
      </c>
      <c r="K84" s="480">
        <v>2.7099999933852814E-3</v>
      </c>
      <c r="L84" s="480">
        <v>7.6399999961722642E-3</v>
      </c>
      <c r="M84" s="480">
        <v>4.8499999975319952E-3</v>
      </c>
      <c r="N84" s="480">
        <v>3.9899999974295497E-3</v>
      </c>
      <c r="O84" s="480">
        <v>4.0999999328050762E-4</v>
      </c>
      <c r="P84" s="480">
        <v>3.8499999936902896E-3</v>
      </c>
      <c r="Q84" s="480">
        <v>6.1099999875295907E-3</v>
      </c>
      <c r="R84" s="480">
        <v>7.5699999870266765E-3</v>
      </c>
      <c r="S84" s="480">
        <v>4.3599999844445847E-3</v>
      </c>
      <c r="T84" s="480">
        <v>4.3599999917205423E-3</v>
      </c>
      <c r="U84" s="480">
        <v>8.7499999863211997E-3</v>
      </c>
      <c r="V84" s="480">
        <f t="shared" ref="V84:AR84" si="90">V82-V83</f>
        <v>1.2219999982335139E-2</v>
      </c>
      <c r="W84" s="480">
        <f t="shared" si="90"/>
        <v>8.6599999849568121E-3</v>
      </c>
      <c r="X84" s="480">
        <f t="shared" si="90"/>
        <v>6.9499999844992999E-3</v>
      </c>
      <c r="Y84" s="480">
        <f t="shared" si="90"/>
        <v>1.0889999983191956E-2</v>
      </c>
      <c r="Z84" s="480">
        <f t="shared" si="90"/>
        <v>7.4599999861675315E-3</v>
      </c>
      <c r="AA84" s="480">
        <f t="shared" si="90"/>
        <v>2.469999988534255E-3</v>
      </c>
      <c r="AB84" s="480">
        <f t="shared" si="90"/>
        <v>3.1499999859079253E-3</v>
      </c>
      <c r="AC84" s="480">
        <f t="shared" si="90"/>
        <v>5.2099999884376302E-3</v>
      </c>
      <c r="AD84" s="480">
        <f t="shared" si="90"/>
        <v>4.339999988587806E-3</v>
      </c>
      <c r="AE84" s="480">
        <f t="shared" si="90"/>
        <v>4.339999988587806E-3</v>
      </c>
      <c r="AF84" s="480">
        <f t="shared" si="90"/>
        <v>4.339999988587806E-3</v>
      </c>
      <c r="AG84" s="480">
        <f t="shared" si="90"/>
        <v>2.6799999886861769E-3</v>
      </c>
      <c r="AH84" s="480">
        <f t="shared" si="90"/>
        <v>5.7799999885901343E-3</v>
      </c>
      <c r="AI84" s="480">
        <f t="shared" si="90"/>
        <v>9.6399999893037602E-3</v>
      </c>
      <c r="AJ84" s="480">
        <f t="shared" si="90"/>
        <v>1.1709999987942865E-2</v>
      </c>
      <c r="AK84" s="480">
        <f t="shared" si="90"/>
        <v>1.1939999987589545E-2</v>
      </c>
      <c r="AL84" s="480">
        <f t="shared" si="90"/>
        <v>9.1099999872312765E-3</v>
      </c>
      <c r="AM84" s="480">
        <f t="shared" si="90"/>
        <v>1.2019999987387564E-2</v>
      </c>
      <c r="AN84" s="480">
        <f t="shared" si="90"/>
        <v>1.0709999987739138E-2</v>
      </c>
      <c r="AO84" s="480">
        <f t="shared" si="90"/>
        <v>1.2369999988550262E-2</v>
      </c>
      <c r="AP84" s="480">
        <f t="shared" si="90"/>
        <v>1.3579999987996416E-2</v>
      </c>
      <c r="AQ84" s="480">
        <f t="shared" si="90"/>
        <v>1.3579999987996416E-2</v>
      </c>
      <c r="AR84" s="480">
        <f t="shared" si="90"/>
        <v>1.3579999987996416E-2</v>
      </c>
      <c r="AS84" s="480">
        <f>AS82-AS83</f>
        <v>1.0319999988041673E-2</v>
      </c>
      <c r="AT84" s="480">
        <f t="shared" ref="AT84:BD84" si="91">AT82-AT83</f>
        <v>3314.0485399999884</v>
      </c>
      <c r="AU84" s="480">
        <f t="shared" si="91"/>
        <v>5833.6722199999895</v>
      </c>
      <c r="AV84" s="480">
        <f t="shared" si="91"/>
        <v>7581.8871999999883</v>
      </c>
      <c r="AW84" s="480">
        <f t="shared" si="91"/>
        <v>8565.3265999999894</v>
      </c>
      <c r="AX84" s="480">
        <f t="shared" si="91"/>
        <v>9190.1200399999889</v>
      </c>
      <c r="AY84" s="480">
        <f t="shared" si="91"/>
        <v>9701.7518599999894</v>
      </c>
      <c r="AZ84" s="480">
        <f t="shared" si="91"/>
        <v>10214.997699999989</v>
      </c>
      <c r="BA84" s="480">
        <f t="shared" si="91"/>
        <v>10946.002759999988</v>
      </c>
      <c r="BB84" s="480">
        <f t="shared" si="91"/>
        <v>12672.048389999989</v>
      </c>
      <c r="BC84" s="480">
        <f t="shared" si="91"/>
        <v>11913.048389999989</v>
      </c>
      <c r="BD84" s="480">
        <f t="shared" si="91"/>
        <v>8956.0283899999886</v>
      </c>
    </row>
  </sheetData>
  <conditionalFormatting sqref="E29 L65:AR65 K29:AK29 AN29:AR29 BE29 BE65">
    <cfRule type="cellIs" dxfId="226" priority="28" operator="notEqual">
      <formula>E28</formula>
    </cfRule>
  </conditionalFormatting>
  <conditionalFormatting sqref="F29">
    <cfRule type="cellIs" dxfId="225" priority="27" operator="notEqual">
      <formula>F28</formula>
    </cfRule>
  </conditionalFormatting>
  <conditionalFormatting sqref="G29">
    <cfRule type="cellIs" dxfId="224" priority="26" operator="notEqual">
      <formula>G28</formula>
    </cfRule>
  </conditionalFormatting>
  <conditionalFormatting sqref="H29">
    <cfRule type="cellIs" dxfId="223" priority="25" operator="notEqual">
      <formula>H28</formula>
    </cfRule>
  </conditionalFormatting>
  <conditionalFormatting sqref="G65">
    <cfRule type="cellIs" dxfId="222" priority="22" operator="notEqual">
      <formula>G64</formula>
    </cfRule>
  </conditionalFormatting>
  <conditionalFormatting sqref="H65">
    <cfRule type="cellIs" dxfId="221" priority="21" operator="notEqual">
      <formula>H64</formula>
    </cfRule>
  </conditionalFormatting>
  <conditionalFormatting sqref="E65">
    <cfRule type="cellIs" dxfId="220" priority="24" operator="notEqual">
      <formula>E64</formula>
    </cfRule>
  </conditionalFormatting>
  <conditionalFormatting sqref="F65">
    <cfRule type="cellIs" dxfId="219" priority="23" operator="notEqual">
      <formula>F64</formula>
    </cfRule>
  </conditionalFormatting>
  <conditionalFormatting sqref="BK80 BK47 BK11">
    <cfRule type="cellIs" dxfId="218" priority="20" operator="notEqual">
      <formula>0</formula>
    </cfRule>
  </conditionalFormatting>
  <conditionalFormatting sqref="D65">
    <cfRule type="cellIs" dxfId="217" priority="19" operator="notEqual">
      <formula>D64</formula>
    </cfRule>
  </conditionalFormatting>
  <conditionalFormatting sqref="C65">
    <cfRule type="cellIs" dxfId="216" priority="18" operator="notEqual">
      <formula>C64</formula>
    </cfRule>
  </conditionalFormatting>
  <conditionalFormatting sqref="D29">
    <cfRule type="cellIs" dxfId="215" priority="17" operator="notEqual">
      <formula>D28</formula>
    </cfRule>
  </conditionalFormatting>
  <conditionalFormatting sqref="C29">
    <cfRule type="cellIs" dxfId="214" priority="16" operator="notEqual">
      <formula>C28</formula>
    </cfRule>
  </conditionalFormatting>
  <conditionalFormatting sqref="I29">
    <cfRule type="cellIs" dxfId="213" priority="15" operator="notEqual">
      <formula>I28</formula>
    </cfRule>
  </conditionalFormatting>
  <conditionalFormatting sqref="I65">
    <cfRule type="cellIs" dxfId="212" priority="14" operator="notEqual">
      <formula>I64</formula>
    </cfRule>
  </conditionalFormatting>
  <conditionalFormatting sqref="J29">
    <cfRule type="cellIs" dxfId="211" priority="13" operator="notEqual">
      <formula>J28</formula>
    </cfRule>
  </conditionalFormatting>
  <conditionalFormatting sqref="J65">
    <cfRule type="cellIs" dxfId="210" priority="12" operator="notEqual">
      <formula>J64</formula>
    </cfRule>
  </conditionalFormatting>
  <conditionalFormatting sqref="K65">
    <cfRule type="cellIs" dxfId="209" priority="11" operator="notEqual">
      <formula>K64</formula>
    </cfRule>
  </conditionalFormatting>
  <conditionalFormatting sqref="U29">
    <cfRule type="cellIs" dxfId="208" priority="10" operator="notEqual">
      <formula>U28</formula>
    </cfRule>
  </conditionalFormatting>
  <conditionalFormatting sqref="U65">
    <cfRule type="cellIs" dxfId="207" priority="9" operator="notEqual">
      <formula>U64</formula>
    </cfRule>
  </conditionalFormatting>
  <conditionalFormatting sqref="V29">
    <cfRule type="cellIs" dxfId="206" priority="8" operator="notEqual">
      <formula>V28</formula>
    </cfRule>
  </conditionalFormatting>
  <conditionalFormatting sqref="V65">
    <cfRule type="cellIs" dxfId="205" priority="7" operator="notEqual">
      <formula>V64</formula>
    </cfRule>
  </conditionalFormatting>
  <conditionalFormatting sqref="W65">
    <cfRule type="cellIs" dxfId="204" priority="6" operator="notEqual">
      <formula>W64</formula>
    </cfRule>
  </conditionalFormatting>
  <conditionalFormatting sqref="AL29">
    <cfRule type="cellIs" dxfId="203" priority="5" operator="notEqual">
      <formula>AL28</formula>
    </cfRule>
  </conditionalFormatting>
  <conditionalFormatting sqref="AM29">
    <cfRule type="cellIs" dxfId="202" priority="4" operator="notEqual">
      <formula>AM28</formula>
    </cfRule>
  </conditionalFormatting>
  <conditionalFormatting sqref="AS65:BD65 AS29:AW29 AZ29:BD29">
    <cfRule type="cellIs" dxfId="201" priority="3" operator="notEqual">
      <formula>AS28</formula>
    </cfRule>
  </conditionalFormatting>
  <conditionalFormatting sqref="AX29">
    <cfRule type="cellIs" dxfId="200" priority="2" operator="notEqual">
      <formula>AX28</formula>
    </cfRule>
  </conditionalFormatting>
  <conditionalFormatting sqref="AY29">
    <cfRule type="cellIs" dxfId="199" priority="1" operator="notEqual">
      <formula>AY28</formula>
    </cfRule>
  </conditionalFormatting>
  <pageMargins left="0" right="0" top="0.75" bottom="0.75" header="0.3" footer="0.3"/>
  <pageSetup scale="40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N93"/>
  <sheetViews>
    <sheetView showGridLines="0" topLeftCell="B1" zoomScale="70" zoomScaleNormal="70" zoomScaleSheetLayoutView="85" workbookViewId="0">
      <pane xSplit="2" ySplit="3" topLeftCell="AQ14" activePane="bottomRight" state="frozen"/>
      <selection activeCell="AV20" sqref="AV20"/>
      <selection pane="topRight" activeCell="AV20" sqref="AV20"/>
      <selection pane="bottomLeft" activeCell="AV20" sqref="AV20"/>
      <selection pane="bottomRight" activeCell="AV20" sqref="AV20"/>
    </sheetView>
  </sheetViews>
  <sheetFormatPr defaultColWidth="9.140625" defaultRowHeight="15.75" outlineLevelRow="2" outlineLevelCol="1"/>
  <cols>
    <col min="1" max="1" width="16.7109375" style="480" customWidth="1"/>
    <col min="2" max="2" width="14" style="480" customWidth="1"/>
    <col min="3" max="3" width="21.5703125" style="479" customWidth="1"/>
    <col min="4" max="4" width="16.28515625" style="480" hidden="1" customWidth="1"/>
    <col min="5" max="5" width="16.140625" style="480" hidden="1" customWidth="1"/>
    <col min="6" max="7" width="16.42578125" style="480" hidden="1" customWidth="1"/>
    <col min="8" max="8" width="16.28515625" style="480" hidden="1" customWidth="1"/>
    <col min="9" max="10" width="18.42578125" style="480" hidden="1" customWidth="1"/>
    <col min="11" max="13" width="16.28515625" style="480" hidden="1" customWidth="1"/>
    <col min="14" max="14" width="16.85546875" style="480" hidden="1" customWidth="1"/>
    <col min="15" max="21" width="16.28515625" style="480" hidden="1" customWidth="1"/>
    <col min="22" max="22" width="18.42578125" style="480" hidden="1" customWidth="1"/>
    <col min="23" max="24" width="16.28515625" style="480" hidden="1" customWidth="1"/>
    <col min="25" max="25" width="16.7109375" style="480" hidden="1" customWidth="1"/>
    <col min="26" max="26" width="16.85546875" style="480" hidden="1" customWidth="1"/>
    <col min="27" max="42" width="16.28515625" style="480" hidden="1" customWidth="1"/>
    <col min="43" max="43" width="16.28515625" style="480" customWidth="1"/>
    <col min="44" max="44" width="17.7109375" style="480" customWidth="1"/>
    <col min="45" max="45" width="18.7109375" style="480" customWidth="1"/>
    <col min="46" max="46" width="16.28515625" style="480" customWidth="1"/>
    <col min="47" max="55" width="16.28515625" style="480" hidden="1" customWidth="1" outlineLevel="1"/>
    <col min="56" max="56" width="17.7109375" style="480" hidden="1" customWidth="1" outlineLevel="1"/>
    <col min="57" max="57" width="18.7109375" style="480" hidden="1" customWidth="1" outlineLevel="1"/>
    <col min="58" max="58" width="4.7109375" style="560" customWidth="1" collapsed="1"/>
    <col min="59" max="59" width="36.28515625" style="480" bestFit="1" customWidth="1"/>
    <col min="60" max="60" width="15.5703125" style="523" bestFit="1" customWidth="1"/>
    <col min="61" max="61" width="4.7109375" style="480" bestFit="1" customWidth="1"/>
    <col min="62" max="62" width="3.42578125" style="480" bestFit="1" customWidth="1"/>
    <col min="63" max="64" width="17.140625" style="480" bestFit="1" customWidth="1"/>
    <col min="65" max="65" width="0.5703125" style="480" customWidth="1"/>
    <col min="66" max="16384" width="9.140625" style="480"/>
  </cols>
  <sheetData>
    <row r="1" spans="1:64">
      <c r="A1" s="478" t="s">
        <v>262</v>
      </c>
      <c r="B1" s="478"/>
      <c r="BG1" s="478" t="s">
        <v>312</v>
      </c>
    </row>
    <row r="2" spans="1:64">
      <c r="B2" s="575" t="s">
        <v>264</v>
      </c>
    </row>
    <row r="3" spans="1:64" s="481" customFormat="1" ht="32.25" thickBot="1">
      <c r="A3" s="482">
        <v>191010</v>
      </c>
      <c r="B3" s="482">
        <v>191010</v>
      </c>
      <c r="C3" s="483" t="s">
        <v>253</v>
      </c>
      <c r="D3" s="484" t="s">
        <v>248</v>
      </c>
      <c r="E3" s="485" t="s">
        <v>258</v>
      </c>
      <c r="F3" s="482">
        <v>201309</v>
      </c>
      <c r="G3" s="482">
        <f>F3+1</f>
        <v>201310</v>
      </c>
      <c r="H3" s="482">
        <f>G3+1</f>
        <v>201311</v>
      </c>
      <c r="I3" s="482">
        <f>H3+1</f>
        <v>201312</v>
      </c>
      <c r="J3" s="482">
        <v>201401</v>
      </c>
      <c r="K3" s="482">
        <v>201402</v>
      </c>
      <c r="L3" s="482">
        <v>201403</v>
      </c>
      <c r="M3" s="482">
        <v>201404</v>
      </c>
      <c r="N3" s="482">
        <v>201405</v>
      </c>
      <c r="O3" s="482">
        <v>201406</v>
      </c>
      <c r="P3" s="482">
        <v>201407</v>
      </c>
      <c r="Q3" s="482">
        <v>201408</v>
      </c>
      <c r="R3" s="482">
        <v>201409</v>
      </c>
      <c r="S3" s="482">
        <v>201410</v>
      </c>
      <c r="T3" s="482">
        <v>201411</v>
      </c>
      <c r="U3" s="482">
        <v>201412</v>
      </c>
      <c r="V3" s="482">
        <v>201501</v>
      </c>
      <c r="W3" s="482">
        <f t="shared" ref="W3" si="0">V3+1</f>
        <v>201502</v>
      </c>
      <c r="X3" s="482">
        <f t="shared" ref="X3" si="1">W3+1</f>
        <v>201503</v>
      </c>
      <c r="Y3" s="482">
        <f t="shared" ref="Y3" si="2">X3+1</f>
        <v>201504</v>
      </c>
      <c r="Z3" s="482">
        <f t="shared" ref="Z3" si="3">Y3+1</f>
        <v>201505</v>
      </c>
      <c r="AA3" s="482">
        <f t="shared" ref="AA3" si="4">Z3+1</f>
        <v>201506</v>
      </c>
      <c r="AB3" s="482">
        <f t="shared" ref="AB3" si="5">AA3+1</f>
        <v>201507</v>
      </c>
      <c r="AC3" s="482">
        <f t="shared" ref="AC3" si="6">AB3+1</f>
        <v>201508</v>
      </c>
      <c r="AD3" s="482">
        <f t="shared" ref="AD3" si="7">AC3+1</f>
        <v>201509</v>
      </c>
      <c r="AE3" s="482">
        <f t="shared" ref="AE3" si="8">AD3+1</f>
        <v>201510</v>
      </c>
      <c r="AF3" s="482">
        <f t="shared" ref="AF3" si="9">AE3+1</f>
        <v>201511</v>
      </c>
      <c r="AG3" s="482">
        <f t="shared" ref="AG3" si="10">AF3+1</f>
        <v>201512</v>
      </c>
      <c r="AH3" s="482">
        <v>201601</v>
      </c>
      <c r="AI3" s="482">
        <f>AH3+1</f>
        <v>201602</v>
      </c>
      <c r="AJ3" s="482">
        <f t="shared" ref="AJ3:AS3" si="11">AI3+1</f>
        <v>201603</v>
      </c>
      <c r="AK3" s="482">
        <f t="shared" si="11"/>
        <v>201604</v>
      </c>
      <c r="AL3" s="482">
        <f t="shared" si="11"/>
        <v>201605</v>
      </c>
      <c r="AM3" s="482">
        <f t="shared" si="11"/>
        <v>201606</v>
      </c>
      <c r="AN3" s="482">
        <f t="shared" si="11"/>
        <v>201607</v>
      </c>
      <c r="AO3" s="482">
        <f t="shared" si="11"/>
        <v>201608</v>
      </c>
      <c r="AP3" s="482">
        <f t="shared" si="11"/>
        <v>201609</v>
      </c>
      <c r="AQ3" s="482">
        <f t="shared" si="11"/>
        <v>201610</v>
      </c>
      <c r="AR3" s="482">
        <f t="shared" si="11"/>
        <v>201611</v>
      </c>
      <c r="AS3" s="482">
        <f t="shared" si="11"/>
        <v>201612</v>
      </c>
      <c r="AT3" s="482">
        <v>201701</v>
      </c>
      <c r="AU3" s="482">
        <f>AT3+1</f>
        <v>201702</v>
      </c>
      <c r="AV3" s="482">
        <f t="shared" ref="AV3" si="12">AU3+1</f>
        <v>201703</v>
      </c>
      <c r="AW3" s="482">
        <f t="shared" ref="AW3" si="13">AV3+1</f>
        <v>201704</v>
      </c>
      <c r="AX3" s="482">
        <f t="shared" ref="AX3" si="14">AW3+1</f>
        <v>201705</v>
      </c>
      <c r="AY3" s="482">
        <f t="shared" ref="AY3" si="15">AX3+1</f>
        <v>201706</v>
      </c>
      <c r="AZ3" s="482">
        <f t="shared" ref="AZ3" si="16">AY3+1</f>
        <v>201707</v>
      </c>
      <c r="BA3" s="482">
        <f t="shared" ref="BA3" si="17">AZ3+1</f>
        <v>201708</v>
      </c>
      <c r="BB3" s="482">
        <f t="shared" ref="BB3" si="18">BA3+1</f>
        <v>201709</v>
      </c>
      <c r="BC3" s="482">
        <f t="shared" ref="BC3" si="19">BB3+1</f>
        <v>201710</v>
      </c>
      <c r="BD3" s="482">
        <f t="shared" ref="BD3" si="20">BC3+1</f>
        <v>201711</v>
      </c>
      <c r="BE3" s="482">
        <f t="shared" ref="BE3" si="21">BD3+1</f>
        <v>201712</v>
      </c>
      <c r="BF3" s="577"/>
      <c r="BH3" s="482"/>
    </row>
    <row r="4" spans="1:64" s="481" customFormat="1" ht="16.5" thickBot="1">
      <c r="C4" s="483" t="s">
        <v>254</v>
      </c>
      <c r="D4" s="480"/>
      <c r="F4" s="486">
        <v>0.01</v>
      </c>
      <c r="G4" s="486">
        <v>0.01</v>
      </c>
      <c r="H4" s="486">
        <v>0.01</v>
      </c>
      <c r="I4" s="486">
        <v>0.01</v>
      </c>
      <c r="J4" s="486">
        <v>0.01</v>
      </c>
      <c r="K4" s="486">
        <v>0.01</v>
      </c>
      <c r="L4" s="486">
        <v>0.01</v>
      </c>
      <c r="M4" s="486">
        <v>0.01</v>
      </c>
      <c r="N4" s="486">
        <v>0.01</v>
      </c>
      <c r="O4" s="486">
        <v>0.01</v>
      </c>
      <c r="P4" s="486">
        <v>0.01</v>
      </c>
      <c r="Q4" s="486">
        <v>0.01</v>
      </c>
      <c r="R4" s="486">
        <v>0.01</v>
      </c>
      <c r="S4" s="486">
        <v>0.01</v>
      </c>
      <c r="T4" s="486">
        <v>0.01</v>
      </c>
      <c r="U4" s="486">
        <v>0.01</v>
      </c>
      <c r="V4" s="486">
        <v>0.01</v>
      </c>
      <c r="W4" s="486">
        <v>0.01</v>
      </c>
      <c r="X4" s="486">
        <v>0.01</v>
      </c>
      <c r="Y4" s="486">
        <v>0.01</v>
      </c>
      <c r="Z4" s="486">
        <v>0.01</v>
      </c>
      <c r="AA4" s="486">
        <v>0.01</v>
      </c>
      <c r="AB4" s="486">
        <v>0.01</v>
      </c>
      <c r="AC4" s="486">
        <v>0.01</v>
      </c>
      <c r="AD4" s="486">
        <v>0.01</v>
      </c>
      <c r="AE4" s="486">
        <v>0.01</v>
      </c>
      <c r="AF4" s="486">
        <v>0.01</v>
      </c>
      <c r="AG4" s="486">
        <v>0.01</v>
      </c>
      <c r="AH4" s="486">
        <v>0.01</v>
      </c>
      <c r="AI4" s="486">
        <v>0.01</v>
      </c>
      <c r="AJ4" s="486">
        <v>0.01</v>
      </c>
      <c r="AK4" s="486">
        <v>0.01</v>
      </c>
      <c r="AL4" s="486">
        <v>0.01</v>
      </c>
      <c r="AM4" s="486">
        <v>0.01</v>
      </c>
      <c r="AN4" s="486">
        <v>0.01</v>
      </c>
      <c r="AO4" s="586">
        <v>0.01</v>
      </c>
      <c r="AP4" s="486">
        <v>0.01</v>
      </c>
      <c r="AQ4" s="486">
        <v>0.01</v>
      </c>
      <c r="AR4" s="486">
        <v>0.01</v>
      </c>
      <c r="AS4" s="486">
        <v>0.01</v>
      </c>
      <c r="AT4" s="617">
        <v>0.01</v>
      </c>
      <c r="AU4" s="486"/>
      <c r="AV4" s="486"/>
      <c r="AW4" s="486"/>
      <c r="AX4" s="486"/>
      <c r="AY4" s="486"/>
      <c r="AZ4" s="486"/>
      <c r="BA4" s="586"/>
      <c r="BB4" s="486"/>
      <c r="BC4" s="486"/>
      <c r="BD4" s="486"/>
      <c r="BE4" s="486"/>
      <c r="BF4" s="577"/>
      <c r="BG4" s="542">
        <v>201701</v>
      </c>
      <c r="BH4" s="524"/>
      <c r="BI4" s="512"/>
      <c r="BJ4" s="512"/>
      <c r="BK4" s="512"/>
      <c r="BL4" s="513"/>
    </row>
    <row r="5" spans="1:64">
      <c r="C5" s="479" t="s">
        <v>250</v>
      </c>
      <c r="F5" s="480">
        <v>491376.95469994179</v>
      </c>
      <c r="G5" s="480">
        <f>F13</f>
        <v>413477.3946999418</v>
      </c>
      <c r="H5" s="480">
        <f>G13</f>
        <v>-179650.44284699953</v>
      </c>
      <c r="I5" s="480">
        <f>H13</f>
        <v>-770749.33284699952</v>
      </c>
      <c r="J5" s="480">
        <v>-2710545.8528469997</v>
      </c>
      <c r="K5" s="480">
        <v>-3047355.5123960003</v>
      </c>
      <c r="L5" s="480">
        <v>-3483331.733870001</v>
      </c>
      <c r="M5" s="480">
        <v>-3303433.4165520016</v>
      </c>
      <c r="N5" s="480">
        <v>-3467159.4003390018</v>
      </c>
      <c r="O5" s="480">
        <v>-2909172.6151350024</v>
      </c>
      <c r="P5" s="480">
        <v>-2551330.5892050019</v>
      </c>
      <c r="Q5" s="480">
        <v>-2140981.1901720017</v>
      </c>
      <c r="R5" s="480">
        <v>-1918732.8315610008</v>
      </c>
      <c r="S5" s="480">
        <v>-1739297.7924040011</v>
      </c>
      <c r="T5" s="480">
        <v>-1868566.8768950021</v>
      </c>
      <c r="U5" s="480">
        <f>T13</f>
        <v>312448.97088100051</v>
      </c>
      <c r="V5" s="480">
        <v>-411904.7279799963</v>
      </c>
      <c r="W5" s="480">
        <v>-645308.82581999747</v>
      </c>
      <c r="X5" s="480">
        <v>-754837.52375499834</v>
      </c>
      <c r="Y5" s="480">
        <v>-287477.8915199968</v>
      </c>
      <c r="Z5" s="480">
        <v>-1224292.1730279976</v>
      </c>
      <c r="AA5" s="480">
        <v>-1390232.6525299973</v>
      </c>
      <c r="AB5" s="480">
        <v>-1678662.999059998</v>
      </c>
      <c r="AC5" s="480">
        <v>-2022423.1820719973</v>
      </c>
      <c r="AD5" s="480">
        <v>-2418884.2503219969</v>
      </c>
      <c r="AE5" s="480">
        <v>-3067053.2533299979</v>
      </c>
      <c r="AF5" s="480">
        <v>-3722405.068684998</v>
      </c>
      <c r="AG5" s="480">
        <f t="shared" ref="AG5" si="22">AF13</f>
        <v>-2684344.9824949973</v>
      </c>
      <c r="AH5" s="480">
        <f t="shared" ref="AH5" si="23">AG13</f>
        <v>-3634681.6735539967</v>
      </c>
      <c r="AI5" s="480">
        <f t="shared" ref="AI5" si="24">AH13</f>
        <v>-4349728.1832369966</v>
      </c>
      <c r="AJ5" s="480">
        <f t="shared" ref="AJ5" si="25">AI13</f>
        <v>-4647235.483478996</v>
      </c>
      <c r="AK5" s="480">
        <f t="shared" ref="AK5" si="26">AJ13</f>
        <v>-5147221.2688729959</v>
      </c>
      <c r="AL5" s="480">
        <f t="shared" ref="AL5" si="27">AK13</f>
        <v>-6002096.6110229967</v>
      </c>
      <c r="AM5" s="480">
        <f>AL13</f>
        <v>-6406273.944958997</v>
      </c>
      <c r="AN5" s="480">
        <f>AM13</f>
        <v>-7224717.6167209959</v>
      </c>
      <c r="AO5" s="480">
        <f t="shared" ref="AO5" si="28">AN13</f>
        <v>-7883900.3474069955</v>
      </c>
      <c r="AP5" s="480">
        <f>AO13</f>
        <v>-8377930.5017169965</v>
      </c>
      <c r="AQ5" s="480">
        <f>AP13</f>
        <v>-8679973.3135639969</v>
      </c>
      <c r="AR5" s="480">
        <f t="shared" ref="AR5" si="29">AQ13</f>
        <v>-8823949.1609619968</v>
      </c>
      <c r="AS5" s="480">
        <f>AR13</f>
        <v>-1982511.2510679981</v>
      </c>
      <c r="AT5" s="480">
        <f>AS13</f>
        <v>-3636402.2442139965</v>
      </c>
      <c r="AU5" s="480">
        <f t="shared" ref="AU5" si="30">AT13</f>
        <v>-4982032.1333549954</v>
      </c>
      <c r="AV5" s="480">
        <f t="shared" ref="AV5" si="31">AU13</f>
        <v>-5706794.1808159947</v>
      </c>
      <c r="AW5" s="480">
        <f t="shared" ref="AW5" si="32">AV13</f>
        <v>-6444545.3274869947</v>
      </c>
      <c r="AX5" s="480">
        <f t="shared" ref="AX5" si="33">AW13</f>
        <v>-7010910.8193119941</v>
      </c>
      <c r="AY5" s="480">
        <f>AX13</f>
        <v>-7050530.3936179942</v>
      </c>
      <c r="AZ5" s="480">
        <f>AY13</f>
        <v>-7026929.7394839954</v>
      </c>
      <c r="BA5" s="480">
        <f t="shared" ref="BA5" si="34">AZ13</f>
        <v>-7779806.1160229957</v>
      </c>
      <c r="BB5" s="480">
        <f>BA13</f>
        <v>-8721740.6378779951</v>
      </c>
      <c r="BC5" s="480">
        <f>BB13</f>
        <v>-9560717.6893189941</v>
      </c>
      <c r="BD5" s="480">
        <f t="shared" ref="BD5" si="35">BC13</f>
        <v>-11229160.842050994</v>
      </c>
      <c r="BE5" s="480">
        <f>BD13</f>
        <v>-4584019.459393994</v>
      </c>
      <c r="BG5" s="495" t="s">
        <v>301</v>
      </c>
      <c r="BH5" s="525">
        <v>419600</v>
      </c>
      <c r="BI5" s="496" t="s">
        <v>285</v>
      </c>
      <c r="BJ5" s="496" t="s">
        <v>288</v>
      </c>
      <c r="BK5" s="517">
        <v>0</v>
      </c>
      <c r="BL5" s="518">
        <f>IF(SUMIF(AH3:BE3,BG4,AH8:BE8)&gt;0,SUMIF(AH3:BE3,BG4,AH8:BE8),0)</f>
        <v>0</v>
      </c>
    </row>
    <row r="6" spans="1:64">
      <c r="C6" s="479" t="s">
        <v>251</v>
      </c>
      <c r="D6" s="480">
        <f>SUM(AH6:BF6)</f>
        <v>-14155433.585804999</v>
      </c>
      <c r="E6" s="480">
        <f>-1369125.49+SUM(F6:AG6,F9:AF9)+901115.84+143183.96</f>
        <v>-3892072.071107314</v>
      </c>
      <c r="F6" s="480">
        <v>-455176.44</v>
      </c>
      <c r="G6" s="480">
        <v>-566000.78</v>
      </c>
      <c r="H6" s="480">
        <v>-244467.20000000001</v>
      </c>
      <c r="I6" s="480">
        <v>-725196.73</v>
      </c>
      <c r="J6" s="480">
        <v>227098.6570139993</v>
      </c>
      <c r="K6" s="480">
        <v>183834.20290999953</v>
      </c>
      <c r="L6" s="480">
        <v>469545.21157699917</v>
      </c>
      <c r="M6" s="480">
        <v>-169417.40824799961</v>
      </c>
      <c r="N6" s="480">
        <v>239184.1142799994</v>
      </c>
      <c r="O6" s="480">
        <v>-6425.6929409997538</v>
      </c>
      <c r="P6" s="480">
        <v>-26143.601032999693</v>
      </c>
      <c r="Q6" s="480">
        <v>-200511.53219999885</v>
      </c>
      <c r="R6" s="480">
        <v>-248881.32278600021</v>
      </c>
      <c r="S6" s="480">
        <v>-424822.11258000066</v>
      </c>
      <c r="T6" s="480">
        <v>-901115.83999999752</v>
      </c>
      <c r="U6" s="480">
        <v>-209833.86169599695</v>
      </c>
      <c r="V6" s="480">
        <v>331968.15844599903</v>
      </c>
      <c r="W6" s="480">
        <v>96375.796815998852</v>
      </c>
      <c r="X6" s="480">
        <v>547802.71264300169</v>
      </c>
      <c r="Y6" s="480">
        <v>-1029654.8148680007</v>
      </c>
      <c r="Z6" s="480">
        <v>-494908.28808599967</v>
      </c>
      <c r="AA6" s="480">
        <v>-803843.28933000052</v>
      </c>
      <c r="AB6" s="591">
        <v>-778841.02357199905</v>
      </c>
      <c r="AC6" s="591">
        <v>-816009.11660199915</v>
      </c>
      <c r="AD6" s="591">
        <v>-995450.54456800083</v>
      </c>
      <c r="AE6" s="591">
        <v>-911936.74747700011</v>
      </c>
      <c r="AF6" s="591">
        <v>-105844.75449999981</v>
      </c>
      <c r="AG6" s="591">
        <v>-283989.88756899955</v>
      </c>
      <c r="AH6" s="591">
        <v>-74080.34529899992</v>
      </c>
      <c r="AI6" s="591">
        <v>46444.419911999721</v>
      </c>
      <c r="AJ6" s="591">
        <v>-278768.33809999912</v>
      </c>
      <c r="AK6" s="591">
        <v>-1055945.7369300006</v>
      </c>
      <c r="AL6" s="591">
        <v>-687696.10780400049</v>
      </c>
      <c r="AM6" s="591">
        <v>-1172762.1835999992</v>
      </c>
      <c r="AN6" s="480">
        <v>-1035781.7308680005</v>
      </c>
      <c r="AO6" s="480">
        <v>-857831.94224800018</v>
      </c>
      <c r="AP6" s="480">
        <v>-635854.82350700046</v>
      </c>
      <c r="AQ6" s="480">
        <v>-187704.01560999965</v>
      </c>
      <c r="AR6" s="480">
        <f>Nov!$J$55</f>
        <v>-104602.75090299989</v>
      </c>
      <c r="AS6" s="480">
        <f>Dec!$J$55</f>
        <v>-541227.71922199894</v>
      </c>
      <c r="AT6" s="558">
        <f>Jan!$J$55</f>
        <v>-217727.43546999991</v>
      </c>
      <c r="AU6" s="558">
        <f>Feb!$J$55</f>
        <v>-84389.379861999769</v>
      </c>
      <c r="AV6" s="558">
        <f>Mar!$J$55</f>
        <v>-329270.69572800025</v>
      </c>
      <c r="AW6" s="558">
        <f>Apr!$J$55</f>
        <v>-440151.27622999996</v>
      </c>
      <c r="AX6" s="558">
        <f>May!$J$55</f>
        <v>-244744.84833299997</v>
      </c>
      <c r="AY6" s="558">
        <f>Jun!$J$55</f>
        <v>-324186.75672800053</v>
      </c>
      <c r="AZ6" s="558">
        <f>Jul!$J$55</f>
        <v>-1187641.0790100005</v>
      </c>
      <c r="BA6" s="558">
        <f>Aug!$J$55</f>
        <v>-1323183.6971459999</v>
      </c>
      <c r="BB6" s="558">
        <f>Sep!$J$55</f>
        <v>-1205028.0759599996</v>
      </c>
      <c r="BC6" s="558">
        <f>Oct!$J$55</f>
        <v>-1567468.5970339996</v>
      </c>
      <c r="BD6" s="558">
        <f>Nov!$J$55</f>
        <v>-104602.75090299989</v>
      </c>
      <c r="BE6" s="558">
        <f>Dec!$J$55</f>
        <v>-541227.71922199894</v>
      </c>
      <c r="BG6" s="497" t="s">
        <v>302</v>
      </c>
      <c r="BH6" s="526">
        <v>431600</v>
      </c>
      <c r="BI6" s="356" t="s">
        <v>285</v>
      </c>
      <c r="BJ6" s="356" t="s">
        <v>288</v>
      </c>
      <c r="BK6" s="379">
        <f>IF(SUMIF(AH3:BE3,BG4,AH8:BE8)&lt;0,-SUMIF(AH3:BE3,BG4,AH8:BE8),0)</f>
        <v>3589.52</v>
      </c>
      <c r="BL6" s="498">
        <v>0</v>
      </c>
    </row>
    <row r="7" spans="1:64">
      <c r="C7" s="479" t="s">
        <v>252</v>
      </c>
      <c r="D7" s="480">
        <f t="shared" ref="D7:D12" si="36">SUM(AH7:BF7)</f>
        <v>-2635578.4012659965</v>
      </c>
      <c r="E7" s="480">
        <f>1867859.17+SUM(F7:AG7,F10:AF10)-530386.55-444070.48</f>
        <v>270495.33285337873</v>
      </c>
      <c r="F7" s="480">
        <v>376900.01</v>
      </c>
      <c r="G7" s="480">
        <v>81480.25</v>
      </c>
      <c r="H7" s="480">
        <v>-348603.87</v>
      </c>
      <c r="I7" s="480">
        <v>-725799.3</v>
      </c>
      <c r="J7" s="480">
        <v>-561510.18656299985</v>
      </c>
      <c r="K7" s="480">
        <v>-617090.45438399981</v>
      </c>
      <c r="L7" s="480">
        <v>-286820.25425899972</v>
      </c>
      <c r="M7" s="480">
        <v>8511.3344610000495</v>
      </c>
      <c r="N7" s="480">
        <v>321458.37092400005</v>
      </c>
      <c r="O7" s="480">
        <v>366541.97887100006</v>
      </c>
      <c r="P7" s="480">
        <v>438447.32006599999</v>
      </c>
      <c r="Q7" s="480">
        <v>424450.73081099975</v>
      </c>
      <c r="R7" s="480">
        <v>429839.90194300003</v>
      </c>
      <c r="S7" s="480">
        <v>297055.67808899994</v>
      </c>
      <c r="T7" s="480">
        <v>530386.54777600011</v>
      </c>
      <c r="U7" s="480">
        <v>-514478.41716499988</v>
      </c>
      <c r="V7" s="480">
        <v>-634725.57628600008</v>
      </c>
      <c r="W7" s="480">
        <v>-205263.17475099966</v>
      </c>
      <c r="X7" s="480">
        <v>-80067.220408000168</v>
      </c>
      <c r="Y7" s="480">
        <v>93304.253359999973</v>
      </c>
      <c r="Z7" s="480">
        <v>330056.73858399986</v>
      </c>
      <c r="AA7" s="480">
        <v>516691.11279999983</v>
      </c>
      <c r="AB7" s="592">
        <v>436622.32056000002</v>
      </c>
      <c r="AC7" s="592">
        <v>421397.81835199991</v>
      </c>
      <c r="AD7" s="592">
        <v>349566.40155999974</v>
      </c>
      <c r="AE7" s="592">
        <v>259412.69212199986</v>
      </c>
      <c r="AF7" s="592">
        <v>-532788.92931000004</v>
      </c>
      <c r="AG7" s="592">
        <v>-663714.97348999989</v>
      </c>
      <c r="AH7" s="592">
        <v>-637640.7143839997</v>
      </c>
      <c r="AI7" s="592">
        <v>-340204.55015399994</v>
      </c>
      <c r="AJ7" s="592">
        <v>-217138.12729400001</v>
      </c>
      <c r="AK7" s="592">
        <v>205714.00478000002</v>
      </c>
      <c r="AL7" s="592">
        <v>288686.77386799984</v>
      </c>
      <c r="AM7" s="592">
        <v>359995.72183800041</v>
      </c>
      <c r="AN7" s="480">
        <v>382891.64018200024</v>
      </c>
      <c r="AO7" s="480">
        <v>370574.72793800005</v>
      </c>
      <c r="AP7" s="480">
        <v>340916.5116599999</v>
      </c>
      <c r="AQ7" s="480">
        <v>51018.42821200029</v>
      </c>
      <c r="AR7" s="480">
        <f>Nov!$K$55</f>
        <v>-277184.756864</v>
      </c>
      <c r="AS7" s="480">
        <f>Dec!$K$55</f>
        <v>-1110323.0339239996</v>
      </c>
      <c r="AT7" s="558">
        <f>Jan!$K$55</f>
        <v>-1124312.9336709999</v>
      </c>
      <c r="AU7" s="558">
        <f>Feb!$K$55</f>
        <v>-640372.66759899992</v>
      </c>
      <c r="AV7" s="558">
        <f>Mar!$K$55</f>
        <v>-408480.45094300003</v>
      </c>
      <c r="AW7" s="558">
        <f>Apr!$K$55</f>
        <v>-126214.21559499972</v>
      </c>
      <c r="AX7" s="558">
        <f>May!$K$55</f>
        <v>205125.27402700001</v>
      </c>
      <c r="AY7" s="558">
        <f>Jun!$K$55</f>
        <v>347787.41086200019</v>
      </c>
      <c r="AZ7" s="558">
        <f>Jul!$K$55</f>
        <v>434764.70247100014</v>
      </c>
      <c r="BA7" s="558">
        <f>Aug!$K$55</f>
        <v>381249.17529100023</v>
      </c>
      <c r="BB7" s="558">
        <f>Sep!$K$55</f>
        <v>366051.02451899991</v>
      </c>
      <c r="BC7" s="558">
        <f>Oct!$K$55</f>
        <v>-100974.55569799966</v>
      </c>
      <c r="BD7" s="558">
        <f>Nov!$K$55</f>
        <v>-277184.756864</v>
      </c>
      <c r="BE7" s="558">
        <f>Dec!$K$55</f>
        <v>-1110323.0339239996</v>
      </c>
      <c r="BG7" s="497" t="s">
        <v>303</v>
      </c>
      <c r="BH7" s="526">
        <v>191010</v>
      </c>
      <c r="BI7" s="356" t="s">
        <v>285</v>
      </c>
      <c r="BJ7" s="356" t="s">
        <v>288</v>
      </c>
      <c r="BK7" s="379">
        <f>IF((SUMIF(AH3:BE3,BG4,AH6:BE6)+SUMIF(AH3:BE3,BG4,AH7:BE7)+SUMIF(AH3:BE3,BG4,AH8:BE8))&gt;0,(SUMIF(AH3:BE3,BG4,AH6:BE6)+SUMIF(AH3:BE3,BG4,AH7:BE7)+SUMIF(AH3:BE3,BG4,AH8:BE8)),0)</f>
        <v>0</v>
      </c>
      <c r="BL7" s="498">
        <f>IF((SUMIF(AH3:BE3,BG4,AH6:BE6)+SUMIF(AH3:BE3,BG4,AH7:BE7)+SUMIF(AH3:BE3,BG4,AH8:BE8))&lt;0,-(SUMIF(AH3:BE3,BG4,AH6:BE6)+SUMIF(AH3:BE3,BG4,AH7:BE7)++SUMIF(AH3:BE3,BG4,AH8:BE8)),0)</f>
        <v>1345629.8891409999</v>
      </c>
    </row>
    <row r="8" spans="1:64">
      <c r="C8" s="479" t="s">
        <v>255</v>
      </c>
      <c r="D8" s="480">
        <f t="shared" si="36"/>
        <v>-61522.63</v>
      </c>
      <c r="E8" s="480">
        <f>-7356.73+SUM(F8:AG8,F11:AF11)+29.1+X12+Y12</f>
        <v>-13104.920000000007</v>
      </c>
      <c r="F8" s="480">
        <f>ROUND(((F5+F9+F10+F11)*(F4/12))+((SUM(F6:F7)/2)*(F4/12)),2)</f>
        <v>376.87</v>
      </c>
      <c r="G8" s="480">
        <f>ROUND(((G5+G9+G10+G11)*(G4/12))+((SUM(G6:G7)/2)*(G4/12)),2)</f>
        <v>52.13</v>
      </c>
      <c r="H8" s="480">
        <f>ROUND(((H5+H9+H10+H11)*(H4/12))+((SUM(H6:H7)/2)*(H4/12)),2)</f>
        <v>-394.85</v>
      </c>
      <c r="I8" s="535">
        <f>ROUND(((I5)*(I4/12))+((SUM(I6:I7)/2)*(I4/12)),2)</f>
        <v>-1246.8699999999999</v>
      </c>
      <c r="J8" s="487">
        <v>-2398.13</v>
      </c>
      <c r="K8" s="487">
        <v>-2719.99</v>
      </c>
      <c r="L8" s="487">
        <v>-2826.64</v>
      </c>
      <c r="M8" s="487">
        <v>-2819.91</v>
      </c>
      <c r="N8" s="487">
        <v>-2655.7</v>
      </c>
      <c r="O8" s="487">
        <v>-2274.2600000000002</v>
      </c>
      <c r="P8" s="487">
        <v>-1954.32</v>
      </c>
      <c r="Q8" s="487">
        <v>-1690.84</v>
      </c>
      <c r="R8" s="487">
        <v>-1523.54</v>
      </c>
      <c r="S8" s="487">
        <v>-1502.65</v>
      </c>
      <c r="T8" s="554">
        <v>414.5</v>
      </c>
      <c r="U8" s="487">
        <v>-41.42</v>
      </c>
      <c r="V8" s="487">
        <v>-469.4</v>
      </c>
      <c r="W8" s="487">
        <v>-641.30999999999995</v>
      </c>
      <c r="X8" s="487">
        <v>-434.04</v>
      </c>
      <c r="Y8" s="487">
        <v>-629.57000000000005</v>
      </c>
      <c r="Z8" s="487">
        <v>-1088.93</v>
      </c>
      <c r="AA8" s="487">
        <v>-1278.17</v>
      </c>
      <c r="AB8" s="593">
        <v>-1541.48</v>
      </c>
      <c r="AC8" s="593">
        <v>-1849.77</v>
      </c>
      <c r="AD8" s="593">
        <v>-2284.86</v>
      </c>
      <c r="AE8" s="593">
        <v>-2827.76</v>
      </c>
      <c r="AF8" s="593">
        <v>-1969.22</v>
      </c>
      <c r="AG8" s="593">
        <f>ROUND(((AG5+AG9+AG10+AG11)*(AG4/12))+((SUM(AG6:AG7)/2)*(AG4/12)),2)</f>
        <v>-2631.83</v>
      </c>
      <c r="AH8" s="593">
        <v>-3325.45</v>
      </c>
      <c r="AI8" s="593">
        <v>-3747.17</v>
      </c>
      <c r="AJ8" s="593">
        <v>-4079.32</v>
      </c>
      <c r="AK8" s="593">
        <v>-4643.6099999999997</v>
      </c>
      <c r="AL8" s="593">
        <v>-5168</v>
      </c>
      <c r="AM8" s="593">
        <v>-5677.21</v>
      </c>
      <c r="AN8" s="487">
        <v>-6292.64</v>
      </c>
      <c r="AO8" s="487">
        <v>-6772.94</v>
      </c>
      <c r="AP8" s="487">
        <v>-7104.5</v>
      </c>
      <c r="AQ8" s="487">
        <v>-7290.26</v>
      </c>
      <c r="AR8" s="487">
        <f>ROUND(((AR5+AR9+AR10+AR11)*(AR4/12))+((SUM(AR6:AR7)/2)*(AR4/12)),2)</f>
        <v>-1491.77</v>
      </c>
      <c r="AS8" s="487">
        <f>ROUND(((AS5+AS9+AS10+AS11)*(AS4/12))+((SUM(AS6:AS7)/2)*(AS4/12)),2)</f>
        <v>-2340.2399999999998</v>
      </c>
      <c r="AT8" s="555">
        <f>ROUND(((AT5+AT9+AT10+AT11)*(AT4/12))+((SUM(AT6:AT7)/2)*(AT4/12)),2)</f>
        <v>-3589.52</v>
      </c>
      <c r="AU8" s="555">
        <f t="shared" ref="AU8:AY8" si="37">ROUND(((AU5+AU9+AU10+AU11)*(AU4/12))+((SUM(AU6:AU7)/2)*(AU4/12)),2)</f>
        <v>0</v>
      </c>
      <c r="AV8" s="555">
        <f t="shared" si="37"/>
        <v>0</v>
      </c>
      <c r="AW8" s="555">
        <f t="shared" si="37"/>
        <v>0</v>
      </c>
      <c r="AX8" s="555">
        <f t="shared" si="37"/>
        <v>0</v>
      </c>
      <c r="AY8" s="555">
        <f t="shared" si="37"/>
        <v>0</v>
      </c>
      <c r="AZ8" s="555">
        <f>ROUND(((AZ5+AZ9+AZ10+AZ11)*(AZ4/12))+((SUM(AZ6:AZ7)/2)*(AZ4/12)),2)</f>
        <v>0</v>
      </c>
      <c r="BA8" s="555">
        <f t="shared" ref="BA8" si="38">ROUND(((BA5+BA9+BA10+BA11)*(BA4/12))+((SUM(BA6:BA7)/2)*(BA4/12)),2)</f>
        <v>0</v>
      </c>
      <c r="BB8" s="555">
        <f>ROUND(((BB5+BB9+BB10+BB11)*(BB4/12))+((SUM(BB6:BB7)/2)*(BB4/12)),2)</f>
        <v>0</v>
      </c>
      <c r="BC8" s="555">
        <f>ROUND(((BC5+BC9+BC10+BC11)*(BC4/12))+((SUM(BC6:BC7)/2)*(BC4/12)),2)</f>
        <v>0</v>
      </c>
      <c r="BD8" s="555">
        <f>ROUND(((BD5+BD9+BD10+BD11)*(BD4/12))+((SUM(BD6:BD7)/2)*(BD4/12)),2)</f>
        <v>0</v>
      </c>
      <c r="BE8" s="555">
        <f>ROUND(((BE5+BE9+BE10+BE11)*(BE4/12))+((SUM(BE6:BE7)/2)*(BE4/12)),2)</f>
        <v>0</v>
      </c>
      <c r="BG8" s="497" t="s">
        <v>304</v>
      </c>
      <c r="BH8" s="208">
        <v>805120</v>
      </c>
      <c r="BI8" s="7" t="s">
        <v>285</v>
      </c>
      <c r="BJ8" s="7" t="s">
        <v>288</v>
      </c>
      <c r="BK8" s="470">
        <f>IF((SUMIF(AH3:BE3,BG4,AH6:BE6)+SUMIF(AH3:BE3,BG4,AH7:BE7))&lt;0,-(SUMIF(AH3:BE3,BG4,AH6:BE6)+SUMIF(AH3:BE3,BG4,AH7:BE7)),0)</f>
        <v>1342040.3691409999</v>
      </c>
      <c r="BL8" s="460">
        <f>IF((SUMIF(AH3:BE3,BG4,AH6:BE6)+SUMIF(AH3:BE3,BG4,AH7:BE7))&gt;0,(SUMIF(AH3:BE3,BG4,AH6:BE6)+SUMIF(AH3:BE3,BG4,AH7:BE7)),0)</f>
        <v>0</v>
      </c>
    </row>
    <row r="9" spans="1:64">
      <c r="C9" s="479" t="s">
        <v>259</v>
      </c>
      <c r="D9" s="480">
        <f t="shared" si="36"/>
        <v>12118353.740817998</v>
      </c>
      <c r="F9" s="480">
        <v>0</v>
      </c>
      <c r="G9" s="488">
        <v>764537.78326267947</v>
      </c>
      <c r="H9" s="488">
        <v>2367.0300000000002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480">
        <v>0</v>
      </c>
      <c r="P9" s="480">
        <v>0</v>
      </c>
      <c r="Q9" s="480">
        <v>0</v>
      </c>
      <c r="R9" s="480">
        <v>0</v>
      </c>
      <c r="S9" s="480">
        <v>0</v>
      </c>
      <c r="T9" s="552">
        <v>1649242.74</v>
      </c>
      <c r="U9" s="480">
        <v>0</v>
      </c>
      <c r="V9" s="480">
        <v>0</v>
      </c>
      <c r="W9" s="480">
        <v>0</v>
      </c>
      <c r="X9" s="480">
        <v>0</v>
      </c>
      <c r="Y9" s="480">
        <v>0</v>
      </c>
      <c r="Z9" s="480">
        <v>0</v>
      </c>
      <c r="AA9" s="480">
        <v>0</v>
      </c>
      <c r="AB9" s="480">
        <v>0</v>
      </c>
      <c r="AC9" s="480">
        <v>0</v>
      </c>
      <c r="AD9" s="480">
        <v>0</v>
      </c>
      <c r="AE9" s="480">
        <v>0</v>
      </c>
      <c r="AF9" s="552">
        <v>2319268.2000000002</v>
      </c>
      <c r="AG9" s="480">
        <v>0</v>
      </c>
      <c r="AH9" s="480">
        <v>0</v>
      </c>
      <c r="AI9" s="480">
        <v>0</v>
      </c>
      <c r="AJ9" s="480">
        <v>0</v>
      </c>
      <c r="AK9" s="480">
        <v>0</v>
      </c>
      <c r="AL9" s="480">
        <v>0</v>
      </c>
      <c r="AM9" s="480">
        <v>0</v>
      </c>
      <c r="AN9" s="480">
        <v>0</v>
      </c>
      <c r="AO9" s="480">
        <v>0</v>
      </c>
      <c r="AP9" s="480">
        <v>0</v>
      </c>
      <c r="AQ9" s="480">
        <v>0</v>
      </c>
      <c r="AR9" s="603">
        <f>-SUM(AB6:AM6)</f>
        <v>7114880.3661089977</v>
      </c>
      <c r="AS9" s="480">
        <v>0</v>
      </c>
      <c r="AT9" s="558">
        <v>0</v>
      </c>
      <c r="AU9" s="558">
        <v>0</v>
      </c>
      <c r="AV9" s="558">
        <v>0</v>
      </c>
      <c r="AW9" s="558">
        <v>0</v>
      </c>
      <c r="AX9" s="558">
        <v>0</v>
      </c>
      <c r="AY9" s="558">
        <v>0</v>
      </c>
      <c r="AZ9" s="558">
        <v>0</v>
      </c>
      <c r="BA9" s="558">
        <v>0</v>
      </c>
      <c r="BB9" s="558">
        <v>0</v>
      </c>
      <c r="BC9" s="558">
        <v>0</v>
      </c>
      <c r="BD9" s="609">
        <f>-SUM(AN6:AY6)</f>
        <v>5003473.3747089999</v>
      </c>
      <c r="BE9" s="558">
        <v>0</v>
      </c>
      <c r="BG9" s="497" t="s">
        <v>11</v>
      </c>
      <c r="BH9" s="208">
        <v>191010</v>
      </c>
      <c r="BI9" s="7" t="s">
        <v>285</v>
      </c>
      <c r="BJ9" s="7" t="s">
        <v>288</v>
      </c>
      <c r="BK9" s="470">
        <v>0</v>
      </c>
      <c r="BL9" s="460">
        <v>0</v>
      </c>
    </row>
    <row r="10" spans="1:64" ht="16.5" thickBot="1">
      <c r="C10" s="479" t="s">
        <v>260</v>
      </c>
      <c r="D10" s="480">
        <f t="shared" si="36"/>
        <v>2058665.6272669984</v>
      </c>
      <c r="F10" s="480">
        <v>0</v>
      </c>
      <c r="G10" s="488">
        <v>-881118.99080962082</v>
      </c>
      <c r="H10" s="480">
        <v>0</v>
      </c>
      <c r="I10" s="488">
        <v>-481637.67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0</v>
      </c>
      <c r="T10" s="552">
        <v>879829.61</v>
      </c>
      <c r="U10" s="480">
        <v>0</v>
      </c>
      <c r="V10" s="480">
        <v>0</v>
      </c>
      <c r="W10" s="480">
        <v>0</v>
      </c>
      <c r="X10" s="480">
        <v>0</v>
      </c>
      <c r="Y10" s="480">
        <v>0</v>
      </c>
      <c r="Z10" s="480">
        <v>0</v>
      </c>
      <c r="AA10" s="480">
        <v>0</v>
      </c>
      <c r="AB10" s="480">
        <v>0</v>
      </c>
      <c r="AC10" s="480">
        <v>0</v>
      </c>
      <c r="AD10" s="480">
        <v>0</v>
      </c>
      <c r="AE10" s="480">
        <v>0</v>
      </c>
      <c r="AF10" s="552">
        <v>-651240.86</v>
      </c>
      <c r="AG10" s="480">
        <v>0</v>
      </c>
      <c r="AH10" s="480">
        <v>0</v>
      </c>
      <c r="AI10" s="480">
        <v>0</v>
      </c>
      <c r="AJ10" s="480">
        <v>0</v>
      </c>
      <c r="AK10" s="480">
        <v>0</v>
      </c>
      <c r="AL10" s="480">
        <v>0</v>
      </c>
      <c r="AM10" s="480">
        <v>0</v>
      </c>
      <c r="AN10" s="480">
        <v>0</v>
      </c>
      <c r="AO10" s="480">
        <v>0</v>
      </c>
      <c r="AP10" s="480">
        <v>0</v>
      </c>
      <c r="AQ10" s="480">
        <v>0</v>
      </c>
      <c r="AR10" s="604">
        <f>-SUM(AB7:AM7)</f>
        <v>70091.561551999883</v>
      </c>
      <c r="AS10" s="480">
        <v>0</v>
      </c>
      <c r="AT10" s="558">
        <v>0</v>
      </c>
      <c r="AU10" s="558">
        <v>0</v>
      </c>
      <c r="AV10" s="558">
        <v>0</v>
      </c>
      <c r="AW10" s="558">
        <v>0</v>
      </c>
      <c r="AX10" s="558">
        <v>0</v>
      </c>
      <c r="AY10" s="558">
        <v>0</v>
      </c>
      <c r="AZ10" s="558">
        <v>0</v>
      </c>
      <c r="BA10" s="558">
        <v>0</v>
      </c>
      <c r="BB10" s="558">
        <v>0</v>
      </c>
      <c r="BC10" s="558">
        <v>0</v>
      </c>
      <c r="BD10" s="610">
        <f>-SUM(AN7:AY7)</f>
        <v>1988574.0657149986</v>
      </c>
      <c r="BE10" s="558">
        <v>0</v>
      </c>
      <c r="BG10" s="499" t="str">
        <f>BG9</f>
        <v>Tracker Transfer</v>
      </c>
      <c r="BH10" s="556">
        <f>BH44</f>
        <v>191000</v>
      </c>
      <c r="BI10" s="556" t="str">
        <f>BI44</f>
        <v>GD</v>
      </c>
      <c r="BJ10" s="556" t="str">
        <f>BJ44</f>
        <v>ID</v>
      </c>
      <c r="BK10" s="462">
        <v>0</v>
      </c>
      <c r="BL10" s="471">
        <f>BK9</f>
        <v>0</v>
      </c>
    </row>
    <row r="11" spans="1:64" ht="16.5" thickBot="1">
      <c r="C11" s="479" t="s">
        <v>261</v>
      </c>
      <c r="D11" s="480">
        <f t="shared" si="36"/>
        <v>74627.55</v>
      </c>
      <c r="F11" s="480">
        <v>0</v>
      </c>
      <c r="G11" s="488">
        <v>7921.7699999999995</v>
      </c>
      <c r="H11" s="480">
        <v>0</v>
      </c>
      <c r="I11" s="488">
        <v>-5915.95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52">
        <v>22258.26</v>
      </c>
      <c r="U11" s="480">
        <v>0</v>
      </c>
      <c r="V11" s="480">
        <v>-49.16</v>
      </c>
      <c r="W11" s="480">
        <v>0</v>
      </c>
      <c r="X11" s="480">
        <v>0</v>
      </c>
      <c r="Y11" s="480">
        <v>0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F11" s="552">
        <v>10635.72</v>
      </c>
      <c r="AG11" s="480">
        <v>0</v>
      </c>
      <c r="AH11" s="480">
        <v>0</v>
      </c>
      <c r="AI11" s="480">
        <v>0</v>
      </c>
      <c r="AJ11" s="480">
        <v>0</v>
      </c>
      <c r="AK11" s="480">
        <v>0</v>
      </c>
      <c r="AL11" s="480">
        <v>0</v>
      </c>
      <c r="AM11" s="480">
        <v>0</v>
      </c>
      <c r="AN11" s="480">
        <v>0</v>
      </c>
      <c r="AO11" s="480">
        <v>0</v>
      </c>
      <c r="AP11" s="480">
        <v>0</v>
      </c>
      <c r="AQ11" s="480">
        <v>0</v>
      </c>
      <c r="AR11" s="605">
        <f>-SUM(AB8:AM8)</f>
        <v>39745.68</v>
      </c>
      <c r="AS11" s="480">
        <v>0</v>
      </c>
      <c r="AT11" s="558">
        <v>0</v>
      </c>
      <c r="AU11" s="558">
        <v>0</v>
      </c>
      <c r="AV11" s="558">
        <v>0</v>
      </c>
      <c r="AW11" s="558">
        <v>0</v>
      </c>
      <c r="AX11" s="558">
        <v>0</v>
      </c>
      <c r="AY11" s="558">
        <v>0</v>
      </c>
      <c r="AZ11" s="558">
        <v>0</v>
      </c>
      <c r="BA11" s="558">
        <v>0</v>
      </c>
      <c r="BB11" s="558">
        <v>0</v>
      </c>
      <c r="BC11" s="558">
        <v>0</v>
      </c>
      <c r="BD11" s="610">
        <f>-SUM(AN8:AY8)</f>
        <v>34881.870000000003</v>
      </c>
      <c r="BE11" s="558">
        <v>0</v>
      </c>
      <c r="BG11" s="514"/>
      <c r="BH11" s="528"/>
      <c r="BI11" s="515"/>
      <c r="BJ11" s="515"/>
      <c r="BK11" s="515" t="s">
        <v>159</v>
      </c>
      <c r="BL11" s="516">
        <f>SUM(BK5:BK10)-SUM(BL5:BL10)</f>
        <v>0</v>
      </c>
    </row>
    <row r="12" spans="1:64">
      <c r="C12" s="479" t="s">
        <v>148</v>
      </c>
      <c r="D12" s="480">
        <f t="shared" si="36"/>
        <v>-0.84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0.02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480">
        <v>0.03</v>
      </c>
      <c r="U12" s="480">
        <v>0</v>
      </c>
      <c r="V12" s="480">
        <v>69871.88</v>
      </c>
      <c r="W12" s="480">
        <v>-0.01</v>
      </c>
      <c r="X12" s="480">
        <v>58.18</v>
      </c>
      <c r="Y12" s="480">
        <v>165.85</v>
      </c>
      <c r="Z12" s="480">
        <v>0</v>
      </c>
      <c r="AA12" s="480">
        <v>0</v>
      </c>
      <c r="AB12" s="480">
        <v>0</v>
      </c>
      <c r="AC12" s="480">
        <v>0</v>
      </c>
      <c r="AD12" s="480">
        <v>0</v>
      </c>
      <c r="AE12" s="480">
        <v>0</v>
      </c>
      <c r="AF12" s="552">
        <v>-7.0000000000000007E-2</v>
      </c>
      <c r="AG12" s="480">
        <v>0</v>
      </c>
      <c r="AH12" s="480">
        <v>0</v>
      </c>
      <c r="AI12" s="480">
        <v>0</v>
      </c>
      <c r="AJ12" s="480">
        <v>0</v>
      </c>
      <c r="AK12" s="480">
        <v>0</v>
      </c>
      <c r="AL12" s="480">
        <v>0</v>
      </c>
      <c r="AM12" s="480">
        <v>0</v>
      </c>
      <c r="AN12" s="480">
        <v>0</v>
      </c>
      <c r="AO12" s="480">
        <v>0</v>
      </c>
      <c r="AP12" s="480">
        <v>0</v>
      </c>
      <c r="AQ12" s="480">
        <v>0</v>
      </c>
      <c r="AR12" s="606">
        <v>-0.42</v>
      </c>
      <c r="AS12" s="480">
        <v>0</v>
      </c>
      <c r="AT12" s="558">
        <v>0</v>
      </c>
      <c r="AU12" s="558">
        <v>0</v>
      </c>
      <c r="AV12" s="558">
        <v>0</v>
      </c>
      <c r="AW12" s="558">
        <v>0</v>
      </c>
      <c r="AX12" s="558">
        <v>0</v>
      </c>
      <c r="AY12" s="558">
        <v>0</v>
      </c>
      <c r="AZ12" s="558">
        <v>0</v>
      </c>
      <c r="BA12" s="558">
        <v>0</v>
      </c>
      <c r="BB12" s="558">
        <v>0</v>
      </c>
      <c r="BC12" s="558">
        <v>0</v>
      </c>
      <c r="BD12" s="611">
        <v>-0.42</v>
      </c>
      <c r="BE12" s="558">
        <v>0</v>
      </c>
    </row>
    <row r="13" spans="1:64" ht="16.5" thickBot="1">
      <c r="C13" s="479" t="s">
        <v>56</v>
      </c>
      <c r="D13" s="539"/>
      <c r="E13" s="539"/>
      <c r="F13" s="539">
        <f>SUM(F5:F12)</f>
        <v>413477.3946999418</v>
      </c>
      <c r="G13" s="539">
        <f t="shared" ref="G13:I13" si="39">SUM(G5:G12)</f>
        <v>-179650.44284699953</v>
      </c>
      <c r="H13" s="539">
        <f t="shared" si="39"/>
        <v>-770749.33284699952</v>
      </c>
      <c r="I13" s="539">
        <f t="shared" si="39"/>
        <v>-2710545.8528469997</v>
      </c>
      <c r="J13" s="539">
        <v>-3047355.5123960003</v>
      </c>
      <c r="K13" s="539">
        <v>-3483331.733870001</v>
      </c>
      <c r="L13" s="539">
        <v>-3303433.4165520016</v>
      </c>
      <c r="M13" s="539">
        <v>-3467159.4003390018</v>
      </c>
      <c r="N13" s="539">
        <v>-2909172.6151350024</v>
      </c>
      <c r="O13" s="539">
        <v>-2551330.5892050019</v>
      </c>
      <c r="P13" s="539">
        <v>-2140981.1901720017</v>
      </c>
      <c r="Q13" s="539">
        <v>-1918732.8315610008</v>
      </c>
      <c r="R13" s="539">
        <v>-1739297.7924040011</v>
      </c>
      <c r="S13" s="539">
        <v>-1868566.8768950021</v>
      </c>
      <c r="T13" s="539">
        <f>SUM(T5:T12)</f>
        <v>312448.97088100051</v>
      </c>
      <c r="U13" s="539">
        <f>SUM(U5:U12)</f>
        <v>-411904.7279799963</v>
      </c>
      <c r="V13" s="539">
        <f t="shared" ref="V13:AR13" si="40">SUM(V5:V12)</f>
        <v>-645308.82581999747</v>
      </c>
      <c r="W13" s="539">
        <f t="shared" si="40"/>
        <v>-754837.52375499834</v>
      </c>
      <c r="X13" s="539">
        <f t="shared" si="40"/>
        <v>-287477.8915199968</v>
      </c>
      <c r="Y13" s="539">
        <f t="shared" si="40"/>
        <v>-1224292.1730279976</v>
      </c>
      <c r="Z13" s="539">
        <f t="shared" si="40"/>
        <v>-1390232.6525299973</v>
      </c>
      <c r="AA13" s="539">
        <f t="shared" si="40"/>
        <v>-1678662.999059998</v>
      </c>
      <c r="AB13" s="539">
        <f t="shared" si="40"/>
        <v>-2022423.1820719973</v>
      </c>
      <c r="AC13" s="539">
        <f t="shared" si="40"/>
        <v>-2418884.2503219969</v>
      </c>
      <c r="AD13" s="539">
        <f t="shared" si="40"/>
        <v>-3067053.2533299979</v>
      </c>
      <c r="AE13" s="539">
        <f t="shared" si="40"/>
        <v>-3722405.068684998</v>
      </c>
      <c r="AF13" s="539">
        <f t="shared" si="40"/>
        <v>-2684344.9824949973</v>
      </c>
      <c r="AG13" s="539">
        <f t="shared" si="40"/>
        <v>-3634681.6735539967</v>
      </c>
      <c r="AH13" s="539">
        <f t="shared" si="40"/>
        <v>-4349728.1832369966</v>
      </c>
      <c r="AI13" s="539">
        <f t="shared" si="40"/>
        <v>-4647235.483478996</v>
      </c>
      <c r="AJ13" s="539">
        <f t="shared" si="40"/>
        <v>-5147221.2688729959</v>
      </c>
      <c r="AK13" s="539">
        <f t="shared" si="40"/>
        <v>-6002096.6110229967</v>
      </c>
      <c r="AL13" s="539">
        <f>SUM(AL5:AL12)</f>
        <v>-6406273.944958997</v>
      </c>
      <c r="AM13" s="608">
        <f t="shared" si="40"/>
        <v>-7224717.6167209959</v>
      </c>
      <c r="AN13" s="539">
        <f t="shared" si="40"/>
        <v>-7883900.3474069955</v>
      </c>
      <c r="AO13" s="539">
        <f t="shared" si="40"/>
        <v>-8377930.5017169965</v>
      </c>
      <c r="AP13" s="539">
        <f t="shared" si="40"/>
        <v>-8679973.3135639969</v>
      </c>
      <c r="AQ13" s="539">
        <f>SUM(AQ5:AQ12)</f>
        <v>-8823949.1609619968</v>
      </c>
      <c r="AR13" s="602">
        <f t="shared" si="40"/>
        <v>-1982511.2510679981</v>
      </c>
      <c r="AS13" s="539">
        <f>SUM(AS5:AS12)</f>
        <v>-3636402.2442139965</v>
      </c>
      <c r="AT13" s="539">
        <f>SUM(AT5:AT12)</f>
        <v>-4982032.1333549954</v>
      </c>
      <c r="AU13" s="539">
        <f t="shared" ref="AU13:AW13" si="41">SUM(AU5:AU12)</f>
        <v>-5706794.1808159947</v>
      </c>
      <c r="AV13" s="539">
        <f t="shared" si="41"/>
        <v>-6444545.3274869947</v>
      </c>
      <c r="AW13" s="539">
        <f t="shared" si="41"/>
        <v>-7010910.8193119941</v>
      </c>
      <c r="AX13" s="539">
        <f>SUM(AX5:AX12)</f>
        <v>-7050530.3936179942</v>
      </c>
      <c r="AY13" s="608">
        <f t="shared" ref="AY13:BD13" si="42">SUM(AY5:AY12)</f>
        <v>-7026929.7394839954</v>
      </c>
      <c r="AZ13" s="539">
        <f t="shared" si="42"/>
        <v>-7779806.1160229957</v>
      </c>
      <c r="BA13" s="539">
        <f t="shared" si="42"/>
        <v>-8721740.6378779951</v>
      </c>
      <c r="BB13" s="539">
        <f t="shared" si="42"/>
        <v>-9560717.6893189941</v>
      </c>
      <c r="BC13" s="539">
        <f t="shared" si="42"/>
        <v>-11229160.842050994</v>
      </c>
      <c r="BD13" s="602">
        <f t="shared" si="42"/>
        <v>-4584019.459393994</v>
      </c>
      <c r="BE13" s="539">
        <f>SUM(BE5:BE12)</f>
        <v>-6235570.2125399923</v>
      </c>
    </row>
    <row r="14" spans="1:64" ht="16.5" thickTop="1">
      <c r="C14" s="479" t="s">
        <v>257</v>
      </c>
      <c r="F14" s="480">
        <f>_xll.Get_Balance(F3,"YTD","USD","Total","A","","001",$A$3,"GD","ID","DL")</f>
        <v>413477.41</v>
      </c>
      <c r="G14" s="480">
        <f>_xll.Get_Balance(G3,"YTD","USD","Total","A","","001",$A$3,"GD","ID","DL")</f>
        <v>-179650.42</v>
      </c>
      <c r="H14" s="480">
        <f>_xll.Get_Balance(H3,"YTD","USD","Total","A","","001",$A$3,"GD","ID","DL")</f>
        <v>-770749.31</v>
      </c>
      <c r="I14" s="480">
        <f>_xll.Get_Balance(I3,"YTD","USD","Total","A","","001",$A$3,"GD","ID","DL")</f>
        <v>-2710545.83</v>
      </c>
      <c r="J14" s="480">
        <v>-3047355.49</v>
      </c>
      <c r="K14" s="480">
        <v>-3483331.73</v>
      </c>
      <c r="L14" s="480">
        <v>-3303433.41</v>
      </c>
      <c r="M14" s="480">
        <v>-3467159.39</v>
      </c>
      <c r="N14" s="480">
        <v>-2909172.6</v>
      </c>
      <c r="O14" s="480">
        <v>-2551330.5699999998</v>
      </c>
      <c r="P14" s="480">
        <v>-2140981.17</v>
      </c>
      <c r="Q14" s="480">
        <v>-1918732.81</v>
      </c>
      <c r="R14" s="480">
        <v>-1739297.77</v>
      </c>
      <c r="S14" s="480">
        <v>-1868566.85</v>
      </c>
      <c r="T14" s="480">
        <f>_xll.Get_Balance(T3,"YTD","USD","Total","A","","001",$A$3,"GD","ID","DL")</f>
        <v>312448.96999999997</v>
      </c>
      <c r="U14" s="480">
        <f>_xll.Get_Balance(U3,"YTD","USD","Total","A","","001",$A$3,"GD","ID","DL")</f>
        <v>-411904.73</v>
      </c>
      <c r="V14" s="480">
        <f>_xll.Get_Balance(V3,"YTD","USD","Total","A","","001",$A$3,"GD","ID","DL")</f>
        <v>-645308.82999999996</v>
      </c>
      <c r="W14" s="480">
        <f>_xll.Get_Balance(W3,"YTD","USD","Total","A","","001",$A$3,"GD","ID","DL")</f>
        <v>-754837.52</v>
      </c>
      <c r="X14" s="480">
        <f>_xll.Get_Balance(X3,"YTD","USD","Total","A","","001",$A$3,"GD","ID","DL")</f>
        <v>-287477.89</v>
      </c>
      <c r="Y14" s="480">
        <f>_xll.Get_Balance(Y3,"YTD","USD","Total","A","","001",$A$3,"GD","ID","DL")</f>
        <v>-1224292.17</v>
      </c>
      <c r="Z14" s="480">
        <f>_xll.Get_Balance(Z3,"YTD","USD","Total","A","","001",$A$3,"GD","ID","DL")</f>
        <v>-1390232.65</v>
      </c>
      <c r="AA14" s="480">
        <f>_xll.Get_Balance(AA3,"YTD","USD","Total","A","","001",$A$3,"GD","ID","DL")</f>
        <v>-1678663</v>
      </c>
      <c r="AB14" s="480">
        <f>_xll.Get_Balance(AB3,"YTD","USD","Total","A","","001",$A$3,"GD","ID","DL")</f>
        <v>-2022423.18</v>
      </c>
      <c r="AC14" s="480">
        <f>_xll.Get_Balance(AC3,"YTD","USD","Total","A","","001",$A$3,"GD","ID","DL")</f>
        <v>-2418884.25</v>
      </c>
      <c r="AD14" s="480">
        <f>_xll.Get_Balance(AD3,"YTD","USD","Total","A","","001",$A$3,"GD","ID","DL")</f>
        <v>-3067053.25</v>
      </c>
      <c r="AE14" s="480">
        <f>_xll.Get_Balance(AE3,"YTD","USD","Total","A","","001",$A$3,"GD","ID","DL")</f>
        <v>-3722405.07</v>
      </c>
      <c r="AF14" s="480">
        <f>_xll.Get_Balance(AF3,"YTD","USD","Total","A","","001",$A$3,"GD","ID","DL")</f>
        <v>-2684344.98</v>
      </c>
      <c r="AG14" s="480">
        <f>_xll.Get_Balance(AG3,"YTD","USD","Total","A","","001",$A$3,"GD","ID","DL")</f>
        <v>-3634681.67</v>
      </c>
      <c r="AH14" s="480">
        <f>_xll.Get_Balance(AH3,"YTD","USD","Total","A","","001",$A$3,"GD","ID","DL")</f>
        <v>-4349728.18</v>
      </c>
      <c r="AI14" s="480">
        <f>_xll.Get_Balance(AI3,"YTD","USD","Total","A","","001",$A$3,"GD","ID","DL")</f>
        <v>-4647235.4800000004</v>
      </c>
      <c r="AJ14" s="480">
        <f>_xll.Get_Balance(AJ3,"YTD","USD","Total","A","","001",$A$3,"GD","ID","DL")</f>
        <v>-5147221.2699999996</v>
      </c>
      <c r="AK14" s="480">
        <f>_xll.Get_Balance(AK3,"YTD","USD","Total","A","","001",$A$3,"GD","ID","DL")</f>
        <v>-6002096.6100000003</v>
      </c>
      <c r="AL14" s="480">
        <f>_xll.Get_Balance(AL3,"YTD","USD","Total","A","","001",$A$3,"GD","ID","DL")</f>
        <v>-6406273.9400000004</v>
      </c>
      <c r="AM14" s="601">
        <f>_xll.Get_Balance(AM3,"YTD","USD","Total","A","","001",$A$3,"GD","ID","DL")</f>
        <v>-7224717.6100000003</v>
      </c>
      <c r="AN14" s="480">
        <f>_xll.Get_Balance(AN3,"YTD","USD","Total","A","","001",$A$3,"GD","ID","DL")</f>
        <v>-7883900.3399999999</v>
      </c>
      <c r="AO14" s="480">
        <f>_xll.Get_Balance(AO3,"YTD","USD","Total","A","","001",$A$3,"GD","ID","DL")</f>
        <v>-8377930.4900000002</v>
      </c>
      <c r="AP14" s="480">
        <f>_xll.Get_Balance(AP3,"YTD","USD","Total","A","","001",$A$3,"GD","ID","DL")</f>
        <v>-8679973.3000000007</v>
      </c>
      <c r="AQ14" s="480">
        <f>_xll.Get_Balance(AQ3,"YTD","USD","Total","A","","001",$A$3,"GD","ID","DL")</f>
        <v>-8823949.1500000004</v>
      </c>
      <c r="AR14" s="480">
        <f>_xll.Get_Balance(AR3,"YTD","USD","Total","A","","001",$A$3,"GD","ID","DL")</f>
        <v>-1982511.24</v>
      </c>
      <c r="AS14" s="480">
        <f>_xll.Get_Balance(AS3,"YTD","USD","Total","A","","001",$A$3,"GD","ID","DL")</f>
        <v>-3636402.23</v>
      </c>
      <c r="AT14" s="480">
        <f>_xll.Get_Balance(AT3,"YTD","USD","Total","A","","001",$A$3,"GD","ID","DL")</f>
        <v>-4982032.12</v>
      </c>
      <c r="AU14" s="480">
        <f>_xll.Get_Balance(AU3,"YTD","USD","Total","A","","001",$A$3,"GD","ID","DL")</f>
        <v>-5711247.8499999996</v>
      </c>
      <c r="AV14" s="480">
        <f>_xll.Get_Balance(AV3,"YTD","USD","Total","A","","001",$A$3,"GD","ID","DL")</f>
        <v>-6454065.7699999996</v>
      </c>
      <c r="AW14" s="480">
        <f>_xll.Get_Balance(AW3,"YTD","USD","Total","A","","001",$A$3,"GD","ID","DL")</f>
        <v>-7026045.6299999999</v>
      </c>
      <c r="AX14" s="480">
        <f>_xll.Get_Balance(AX3,"YTD","USD","Total","A","","001",$A$3,"GD","ID","DL")</f>
        <v>-7071536.75</v>
      </c>
      <c r="AY14" s="601">
        <f>_xll.Get_Balance(AY3,"YTD","USD","Total","A","","001",$A$3,"GD","ID","DL")</f>
        <v>-7053819.21</v>
      </c>
      <c r="AZ14" s="480">
        <f>_xll.Get_Balance(AZ3,"YTD","USD","Total","A","","001",$A$3,"GD","ID","DL")</f>
        <v>-7812887.4699999997</v>
      </c>
      <c r="BA14" s="480">
        <f>_xll.Get_Balance(BA3,"YTD","USD","Total","A","","001",$A$3,"GD","ID","DL")</f>
        <v>-8761725.1999999993</v>
      </c>
      <c r="BB14" s="480">
        <f>_xll.Get_Balance(BB3,"YTD","USD","Total","A","","001",$A$3,"GD","ID","DL")</f>
        <v>-9608353.2599999998</v>
      </c>
      <c r="BC14" s="480">
        <f>_xll.Get_Balance(BC3,"YTD","USD","Total","A","","001",$A$3,"GD","ID","DL")</f>
        <v>-9608353.2599999998</v>
      </c>
      <c r="BD14" s="480">
        <f>_xll.Get_Balance(BD3,"YTD","USD","Total","A","","001",$A$3,"GD","ID","DL")</f>
        <v>-9608353.2599999998</v>
      </c>
      <c r="BE14" s="480">
        <f>_xll.Get_Balance(BE3,"YTD","USD","Total","A","","001",$A$3,"GD","ID","DL")</f>
        <v>0</v>
      </c>
    </row>
    <row r="15" spans="1:64">
      <c r="C15" s="479" t="s">
        <v>243</v>
      </c>
      <c r="F15" s="480">
        <f t="shared" ref="F15:I15" si="43">F13-F14</f>
        <v>-1.5300058177672327E-2</v>
      </c>
      <c r="G15" s="480">
        <f t="shared" si="43"/>
        <v>-2.2846999519970268E-2</v>
      </c>
      <c r="H15" s="480">
        <f t="shared" si="43"/>
        <v>-2.2846999461762607E-2</v>
      </c>
      <c r="I15" s="480">
        <f t="shared" si="43"/>
        <v>-2.2846999578177929E-2</v>
      </c>
      <c r="J15" s="480">
        <v>-2.2396000102162361E-2</v>
      </c>
      <c r="K15" s="480">
        <v>-3.8700010627508163E-3</v>
      </c>
      <c r="L15" s="480">
        <v>-6.5520014613866806E-3</v>
      </c>
      <c r="M15" s="480">
        <v>-1.0339001659303904E-2</v>
      </c>
      <c r="N15" s="480">
        <v>-1.5135002322494984E-2</v>
      </c>
      <c r="O15" s="480">
        <v>-1.920500211417675E-2</v>
      </c>
      <c r="P15" s="480">
        <v>-2.0172001793980598E-2</v>
      </c>
      <c r="Q15" s="480">
        <v>-2.1561000728979707E-2</v>
      </c>
      <c r="R15" s="480">
        <v>-2.2404001094400883E-2</v>
      </c>
      <c r="S15" s="480">
        <v>-2.6895001996308565E-2</v>
      </c>
      <c r="T15" s="480">
        <f t="shared" ref="T15:U15" si="44">T13-T14</f>
        <v>8.8100053835660219E-4</v>
      </c>
      <c r="U15" s="480">
        <f t="shared" si="44"/>
        <v>2.0200036815367639E-3</v>
      </c>
      <c r="V15" s="480">
        <f>V13-V14</f>
        <v>4.1800024919211864E-3</v>
      </c>
      <c r="W15" s="480">
        <f>W13-W14</f>
        <v>-3.7549983244389296E-3</v>
      </c>
      <c r="X15" s="480">
        <f t="shared" ref="X15:AB15" si="45">X13-X14</f>
        <v>-1.5199967892840505E-3</v>
      </c>
      <c r="Y15" s="480">
        <f t="shared" si="45"/>
        <v>-3.0279976781457663E-3</v>
      </c>
      <c r="Z15" s="480">
        <f t="shared" si="45"/>
        <v>-2.5299973785877228E-3</v>
      </c>
      <c r="AA15" s="480">
        <f t="shared" si="45"/>
        <v>9.4000203534960747E-4</v>
      </c>
      <c r="AB15" s="480">
        <f t="shared" si="45"/>
        <v>-2.0719973836094141E-3</v>
      </c>
      <c r="AC15" s="480">
        <f t="shared" ref="AC15:AS15" si="46">AC13-AC14</f>
        <v>-3.2199686393141747E-4</v>
      </c>
      <c r="AD15" s="480">
        <f t="shared" si="46"/>
        <v>-3.3299978822469711E-3</v>
      </c>
      <c r="AE15" s="480">
        <f t="shared" si="46"/>
        <v>1.3150018639862537E-3</v>
      </c>
      <c r="AF15" s="480">
        <f t="shared" si="46"/>
        <v>-2.4949973449110985E-3</v>
      </c>
      <c r="AG15" s="480">
        <f t="shared" si="46"/>
        <v>-3.5539967939257622E-3</v>
      </c>
      <c r="AH15" s="480">
        <f t="shared" si="46"/>
        <v>-3.2369969412684441E-3</v>
      </c>
      <c r="AI15" s="480">
        <f t="shared" si="46"/>
        <v>-3.4789955243468285E-3</v>
      </c>
      <c r="AJ15" s="480">
        <f t="shared" si="46"/>
        <v>1.1270036920905113E-3</v>
      </c>
      <c r="AK15" s="480">
        <f t="shared" si="46"/>
        <v>-1.0229963809251785E-3</v>
      </c>
      <c r="AL15" s="480">
        <f t="shared" si="46"/>
        <v>-4.9589965492486954E-3</v>
      </c>
      <c r="AM15" s="480">
        <f t="shared" si="46"/>
        <v>-6.7209955304861069E-3</v>
      </c>
      <c r="AN15" s="480">
        <f>AN13-AN14</f>
        <v>-7.4069956317543983E-3</v>
      </c>
      <c r="AO15" s="480">
        <f t="shared" si="46"/>
        <v>-1.1716996319591999E-2</v>
      </c>
      <c r="AP15" s="480">
        <f t="shared" si="46"/>
        <v>-1.3563996180891991E-2</v>
      </c>
      <c r="AQ15" s="480">
        <f t="shared" si="46"/>
        <v>-1.0961996391415596E-2</v>
      </c>
      <c r="AR15" s="480">
        <f t="shared" si="46"/>
        <v>-1.1067998129874468E-2</v>
      </c>
      <c r="AS15" s="480">
        <f t="shared" si="46"/>
        <v>-1.4213996473699808E-2</v>
      </c>
      <c r="AT15" s="480">
        <f t="shared" ref="AT15:AY15" si="47">AT13-AT14</f>
        <v>-1.3354995287954807E-2</v>
      </c>
      <c r="AU15" s="480">
        <f t="shared" si="47"/>
        <v>4453.6691840048879</v>
      </c>
      <c r="AV15" s="480">
        <f t="shared" si="47"/>
        <v>9520.4425130048767</v>
      </c>
      <c r="AW15" s="480">
        <f t="shared" si="47"/>
        <v>15134.81068800576</v>
      </c>
      <c r="AX15" s="480">
        <f t="shared" si="47"/>
        <v>21006.356382005848</v>
      </c>
      <c r="AY15" s="480">
        <f t="shared" si="47"/>
        <v>26889.4705160046</v>
      </c>
      <c r="AZ15" s="480">
        <f>AZ13-AZ14</f>
        <v>33081.353977004066</v>
      </c>
      <c r="BA15" s="480">
        <f t="shared" ref="BA15:BE15" si="48">BA13-BA14</f>
        <v>39984.562122004107</v>
      </c>
      <c r="BB15" s="480">
        <f t="shared" si="48"/>
        <v>47635.570681005716</v>
      </c>
      <c r="BC15" s="480">
        <f t="shared" si="48"/>
        <v>-1620807.582050994</v>
      </c>
      <c r="BD15" s="480">
        <f t="shared" si="48"/>
        <v>5024333.8006060058</v>
      </c>
      <c r="BE15" s="480">
        <f t="shared" si="48"/>
        <v>-6235570.2125399923</v>
      </c>
    </row>
    <row r="16" spans="1:64">
      <c r="C16" s="481" t="s">
        <v>268</v>
      </c>
      <c r="V16" s="480" t="s">
        <v>321</v>
      </c>
    </row>
    <row r="17" spans="1:64">
      <c r="A17" s="481" t="s">
        <v>289</v>
      </c>
      <c r="B17" s="481" t="s">
        <v>329</v>
      </c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H17" s="553"/>
    </row>
    <row r="18" spans="1:64">
      <c r="A18" s="534">
        <v>191000</v>
      </c>
      <c r="B18" s="534">
        <v>191000</v>
      </c>
      <c r="C18" s="483" t="s">
        <v>253</v>
      </c>
      <c r="D18" s="484" t="s">
        <v>248</v>
      </c>
      <c r="E18" s="484" t="s">
        <v>249</v>
      </c>
      <c r="F18" s="482">
        <v>201309</v>
      </c>
      <c r="G18" s="482">
        <f>F18+1</f>
        <v>201310</v>
      </c>
      <c r="H18" s="482">
        <f>G18+1</f>
        <v>201311</v>
      </c>
      <c r="I18" s="482">
        <f>H18+1</f>
        <v>201312</v>
      </c>
      <c r="J18" s="482">
        <v>201401</v>
      </c>
      <c r="K18" s="482">
        <v>201402</v>
      </c>
      <c r="L18" s="482">
        <v>201403</v>
      </c>
      <c r="M18" s="482">
        <v>201404</v>
      </c>
      <c r="N18" s="482">
        <v>201405</v>
      </c>
      <c r="O18" s="482">
        <v>201406</v>
      </c>
      <c r="P18" s="482">
        <v>201407</v>
      </c>
      <c r="Q18" s="482">
        <v>201408</v>
      </c>
      <c r="R18" s="482">
        <v>201409</v>
      </c>
      <c r="S18" s="482">
        <v>201410</v>
      </c>
      <c r="T18" s="482">
        <v>201411</v>
      </c>
      <c r="U18" s="482">
        <v>201412</v>
      </c>
      <c r="V18" s="482">
        <v>201501</v>
      </c>
      <c r="W18" s="482">
        <f t="shared" ref="W18" si="49">V18+1</f>
        <v>201502</v>
      </c>
      <c r="X18" s="482">
        <f t="shared" ref="X18" si="50">W18+1</f>
        <v>201503</v>
      </c>
      <c r="Y18" s="482">
        <f t="shared" ref="Y18" si="51">X18+1</f>
        <v>201504</v>
      </c>
      <c r="Z18" s="482">
        <f t="shared" ref="Z18" si="52">Y18+1</f>
        <v>201505</v>
      </c>
      <c r="AA18" s="482">
        <f t="shared" ref="AA18" si="53">Z18+1</f>
        <v>201506</v>
      </c>
      <c r="AB18" s="482">
        <f t="shared" ref="AB18" si="54">AA18+1</f>
        <v>201507</v>
      </c>
      <c r="AC18" s="482">
        <f t="shared" ref="AC18" si="55">AB18+1</f>
        <v>201508</v>
      </c>
      <c r="AD18" s="482">
        <f t="shared" ref="AD18" si="56">AC18+1</f>
        <v>201509</v>
      </c>
      <c r="AE18" s="482">
        <f t="shared" ref="AE18" si="57">AD18+1</f>
        <v>201510</v>
      </c>
      <c r="AF18" s="482">
        <f t="shared" ref="AF18" si="58">AE18+1</f>
        <v>201511</v>
      </c>
      <c r="AG18" s="482">
        <f t="shared" ref="AG18" si="59">AF18+1</f>
        <v>201512</v>
      </c>
      <c r="AH18" s="482">
        <v>201601</v>
      </c>
      <c r="AI18" s="482">
        <f>AH18+1</f>
        <v>201602</v>
      </c>
      <c r="AJ18" s="482">
        <f t="shared" ref="AJ18:AS18" si="60">AI18+1</f>
        <v>201603</v>
      </c>
      <c r="AK18" s="482">
        <f t="shared" si="60"/>
        <v>201604</v>
      </c>
      <c r="AL18" s="482">
        <f t="shared" si="60"/>
        <v>201605</v>
      </c>
      <c r="AM18" s="482">
        <f t="shared" si="60"/>
        <v>201606</v>
      </c>
      <c r="AN18" s="482">
        <f t="shared" si="60"/>
        <v>201607</v>
      </c>
      <c r="AO18" s="482">
        <f t="shared" si="60"/>
        <v>201608</v>
      </c>
      <c r="AP18" s="482">
        <f t="shared" si="60"/>
        <v>201609</v>
      </c>
      <c r="AQ18" s="482">
        <f t="shared" si="60"/>
        <v>201610</v>
      </c>
      <c r="AR18" s="482">
        <f t="shared" si="60"/>
        <v>201611</v>
      </c>
      <c r="AS18" s="482">
        <f t="shared" si="60"/>
        <v>201612</v>
      </c>
      <c r="AT18" s="482">
        <f>AT3</f>
        <v>201701</v>
      </c>
      <c r="AU18" s="482">
        <f>AT18+1</f>
        <v>201702</v>
      </c>
      <c r="AV18" s="482">
        <f t="shared" ref="AV18" si="61">AU18+1</f>
        <v>201703</v>
      </c>
      <c r="AW18" s="482">
        <f t="shared" ref="AW18" si="62">AV18+1</f>
        <v>201704</v>
      </c>
      <c r="AX18" s="482">
        <f t="shared" ref="AX18" si="63">AW18+1</f>
        <v>201705</v>
      </c>
      <c r="AY18" s="482">
        <f t="shared" ref="AY18" si="64">AX18+1</f>
        <v>201706</v>
      </c>
      <c r="AZ18" s="482">
        <f t="shared" ref="AZ18" si="65">AY18+1</f>
        <v>201707</v>
      </c>
      <c r="BA18" s="482">
        <f t="shared" ref="BA18" si="66">AZ18+1</f>
        <v>201708</v>
      </c>
      <c r="BB18" s="482">
        <f t="shared" ref="BB18" si="67">BA18+1</f>
        <v>201709</v>
      </c>
      <c r="BC18" s="482">
        <f t="shared" ref="BC18" si="68">BB18+1</f>
        <v>201710</v>
      </c>
      <c r="BD18" s="482">
        <f t="shared" ref="BD18" si="69">BC18+1</f>
        <v>201711</v>
      </c>
      <c r="BE18" s="482">
        <f t="shared" ref="BE18" si="70">BD18+1</f>
        <v>201712</v>
      </c>
      <c r="BF18" s="578"/>
      <c r="BH18" s="553"/>
    </row>
    <row r="19" spans="1:64">
      <c r="A19" s="481"/>
      <c r="B19" s="481"/>
      <c r="C19" s="479" t="s">
        <v>37</v>
      </c>
      <c r="D19" s="489">
        <f>SUM(AH19:AS19)</f>
        <v>52276421</v>
      </c>
      <c r="E19" s="489">
        <f>SUM(AF19:AQ19)</f>
        <v>50972665</v>
      </c>
      <c r="F19" s="489">
        <v>1338764</v>
      </c>
      <c r="G19" s="489">
        <v>4291264</v>
      </c>
      <c r="H19" s="489">
        <v>7085932</v>
      </c>
      <c r="I19" s="489">
        <v>10497053</v>
      </c>
      <c r="J19" s="489">
        <v>8687325</v>
      </c>
      <c r="K19" s="489">
        <v>8895182</v>
      </c>
      <c r="L19" s="489">
        <v>6774285</v>
      </c>
      <c r="M19" s="489">
        <v>3867130</v>
      </c>
      <c r="N19" s="489">
        <v>1979544</v>
      </c>
      <c r="O19" s="489">
        <v>1402196</v>
      </c>
      <c r="P19" s="489">
        <v>1007077</v>
      </c>
      <c r="Q19" s="489">
        <v>989884</v>
      </c>
      <c r="R19" s="489">
        <v>1199079</v>
      </c>
      <c r="S19" s="489">
        <v>2624816</v>
      </c>
      <c r="T19" s="489">
        <v>7693608</v>
      </c>
      <c r="U19" s="489">
        <v>8470110</v>
      </c>
      <c r="V19" s="489">
        <v>8991869</v>
      </c>
      <c r="W19" s="489">
        <v>5607449</v>
      </c>
      <c r="X19" s="489">
        <v>5090227</v>
      </c>
      <c r="Y19" s="489">
        <v>3621515</v>
      </c>
      <c r="Z19" s="489">
        <v>1624041</v>
      </c>
      <c r="AA19" s="489">
        <v>985347</v>
      </c>
      <c r="AB19" s="489">
        <f>Jul!$K36</f>
        <v>1087844</v>
      </c>
      <c r="AC19" s="489">
        <v>930531</v>
      </c>
      <c r="AD19" s="489">
        <v>1531464</v>
      </c>
      <c r="AE19" s="489">
        <v>2476612</v>
      </c>
      <c r="AF19" s="489">
        <v>7248071</v>
      </c>
      <c r="AG19" s="489">
        <v>9218989</v>
      </c>
      <c r="AH19" s="489">
        <v>8841051</v>
      </c>
      <c r="AI19" s="489">
        <v>6461869</v>
      </c>
      <c r="AJ19" s="489">
        <v>5909720</v>
      </c>
      <c r="AK19" s="489">
        <v>2663108</v>
      </c>
      <c r="AL19" s="489">
        <v>1813665</v>
      </c>
      <c r="AM19" s="489">
        <v>1388507</v>
      </c>
      <c r="AN19" s="489">
        <v>1156092</v>
      </c>
      <c r="AO19" s="489">
        <v>1109728</v>
      </c>
      <c r="AP19" s="489">
        <v>1432073</v>
      </c>
      <c r="AQ19" s="489">
        <v>3729792</v>
      </c>
      <c r="AR19" s="563">
        <f>Nov!K36</f>
        <v>5746085</v>
      </c>
      <c r="AS19" s="563">
        <f>Dec!$K36</f>
        <v>12024731</v>
      </c>
      <c r="AT19" s="621">
        <f>Jan!$K36</f>
        <v>12030330</v>
      </c>
      <c r="AU19" s="489">
        <f>Feb!$K36</f>
        <v>8205105</v>
      </c>
      <c r="AV19" s="489">
        <f>Mar!$K36</f>
        <v>7018804</v>
      </c>
      <c r="AW19" s="489">
        <f>Apr!$K36</f>
        <v>4807641</v>
      </c>
      <c r="AX19" s="489">
        <f>May!$K36</f>
        <v>2613793</v>
      </c>
      <c r="AY19" s="489">
        <f>Jun!$K36</f>
        <v>1233197</v>
      </c>
      <c r="AZ19" s="489">
        <f>Jul!$K36</f>
        <v>1087844</v>
      </c>
      <c r="BA19" s="489">
        <f>Aug!$K36</f>
        <v>986275</v>
      </c>
      <c r="BB19" s="489">
        <f>Sep!$K36</f>
        <v>1445438</v>
      </c>
      <c r="BC19" s="489">
        <f>Oct!$K36</f>
        <v>4795103</v>
      </c>
      <c r="BD19" s="563">
        <f>Nov!$K36</f>
        <v>5746085</v>
      </c>
      <c r="BE19" s="563">
        <f>Dec!$K36</f>
        <v>12024731</v>
      </c>
      <c r="BF19" s="579"/>
    </row>
    <row r="20" spans="1:64">
      <c r="A20" s="481"/>
      <c r="B20" s="481"/>
      <c r="C20" s="479" t="s">
        <v>38</v>
      </c>
      <c r="D20" s="489">
        <f t="shared" ref="D20:D24" si="71">SUM(AH20:AS20)</f>
        <v>21177522</v>
      </c>
      <c r="E20" s="489">
        <f t="shared" ref="E20:E24" si="72">SUM(AF20:AQ20)</f>
        <v>20818624</v>
      </c>
      <c r="F20" s="489">
        <v>1168974</v>
      </c>
      <c r="G20" s="489">
        <v>1602282</v>
      </c>
      <c r="H20" s="489">
        <v>2422167</v>
      </c>
      <c r="I20" s="489">
        <v>3263133</v>
      </c>
      <c r="J20" s="489">
        <v>3029182</v>
      </c>
      <c r="K20" s="489">
        <v>3036554</v>
      </c>
      <c r="L20" s="489">
        <v>2467111</v>
      </c>
      <c r="M20" s="489">
        <v>1697584</v>
      </c>
      <c r="N20" s="489">
        <v>1050330</v>
      </c>
      <c r="O20" s="489">
        <v>1107684</v>
      </c>
      <c r="P20" s="489">
        <v>856502</v>
      </c>
      <c r="Q20" s="489">
        <v>1025146</v>
      </c>
      <c r="R20" s="489">
        <v>908391</v>
      </c>
      <c r="S20" s="489">
        <v>1622635</v>
      </c>
      <c r="T20" s="489">
        <v>2516335</v>
      </c>
      <c r="U20" s="489">
        <v>2595480</v>
      </c>
      <c r="V20" s="489">
        <v>2818068</v>
      </c>
      <c r="W20" s="489">
        <v>2333245</v>
      </c>
      <c r="X20" s="489">
        <v>1927746</v>
      </c>
      <c r="Y20" s="489">
        <v>1633221</v>
      </c>
      <c r="Z20" s="489">
        <v>1075904</v>
      </c>
      <c r="AA20" s="489">
        <v>1089173</v>
      </c>
      <c r="AB20" s="489">
        <f>Jul!$K37</f>
        <v>931171</v>
      </c>
      <c r="AC20" s="489">
        <v>1322423</v>
      </c>
      <c r="AD20" s="489">
        <v>1101192</v>
      </c>
      <c r="AE20" s="489">
        <v>1392647</v>
      </c>
      <c r="AF20" s="489">
        <v>2379775</v>
      </c>
      <c r="AG20" s="489">
        <v>2701016</v>
      </c>
      <c r="AH20" s="489">
        <v>2843963</v>
      </c>
      <c r="AI20" s="489">
        <v>2339216</v>
      </c>
      <c r="AJ20" s="489">
        <v>2149496</v>
      </c>
      <c r="AK20" s="489">
        <v>1257156</v>
      </c>
      <c r="AL20" s="489">
        <v>1182789</v>
      </c>
      <c r="AM20" s="489">
        <v>1004638</v>
      </c>
      <c r="AN20" s="489">
        <v>1000390</v>
      </c>
      <c r="AO20" s="489">
        <v>1265573</v>
      </c>
      <c r="AP20" s="489">
        <v>1029125</v>
      </c>
      <c r="AQ20" s="489">
        <v>1665487</v>
      </c>
      <c r="AR20" s="489">
        <f>Nov!K37</f>
        <v>2022498</v>
      </c>
      <c r="AS20" s="489">
        <f>Dec!$K37</f>
        <v>3417191</v>
      </c>
      <c r="AT20" s="621">
        <f>Jan!$K37</f>
        <v>3930876</v>
      </c>
      <c r="AU20" s="489">
        <f>Feb!$K37</f>
        <v>2972280</v>
      </c>
      <c r="AV20" s="489">
        <f>Mar!$K37</f>
        <v>2558534</v>
      </c>
      <c r="AW20" s="489">
        <f>Apr!$K37</f>
        <v>1910087</v>
      </c>
      <c r="AX20" s="489">
        <f>May!$K37</f>
        <v>1315495</v>
      </c>
      <c r="AY20" s="489">
        <f>Jun!$K37</f>
        <v>1319570</v>
      </c>
      <c r="AZ20" s="489">
        <f>Jul!$K37</f>
        <v>931171</v>
      </c>
      <c r="BA20" s="489">
        <f>Aug!$K37</f>
        <v>1366641</v>
      </c>
      <c r="BB20" s="489">
        <f>Sep!$K37</f>
        <v>991953</v>
      </c>
      <c r="BC20" s="489">
        <f>Oct!$K37</f>
        <v>1966749</v>
      </c>
      <c r="BD20" s="489">
        <f>Nov!$K37</f>
        <v>2022498</v>
      </c>
      <c r="BE20" s="489">
        <f>Dec!$K37</f>
        <v>3417191</v>
      </c>
      <c r="BF20" s="579"/>
    </row>
    <row r="21" spans="1:64" hidden="1" outlineLevel="1">
      <c r="A21" s="481"/>
      <c r="B21" s="481"/>
      <c r="C21" s="574" t="s">
        <v>39</v>
      </c>
      <c r="D21" s="489">
        <f t="shared" si="71"/>
        <v>0</v>
      </c>
      <c r="E21" s="489">
        <f t="shared" si="72"/>
        <v>0</v>
      </c>
      <c r="F21" s="489"/>
      <c r="G21" s="489"/>
      <c r="H21" s="489"/>
      <c r="I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621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</row>
    <row r="22" spans="1:64" hidden="1" outlineLevel="1">
      <c r="A22" s="481"/>
      <c r="B22" s="481"/>
      <c r="C22" s="574" t="s">
        <v>40</v>
      </c>
      <c r="D22" s="489">
        <f t="shared" si="71"/>
        <v>0</v>
      </c>
      <c r="E22" s="489">
        <f t="shared" si="72"/>
        <v>0</v>
      </c>
      <c r="F22" s="489"/>
      <c r="G22" s="489"/>
      <c r="H22" s="489"/>
      <c r="I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621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</row>
    <row r="23" spans="1:64" hidden="1" outlineLevel="1">
      <c r="A23" s="481"/>
      <c r="B23" s="481"/>
      <c r="C23" s="574" t="s">
        <v>41</v>
      </c>
      <c r="D23" s="489">
        <f t="shared" si="71"/>
        <v>0</v>
      </c>
      <c r="E23" s="489">
        <f t="shared" si="72"/>
        <v>0</v>
      </c>
      <c r="F23" s="489"/>
      <c r="G23" s="489"/>
      <c r="H23" s="489"/>
      <c r="I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621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</row>
    <row r="24" spans="1:64" collapsed="1">
      <c r="A24" s="481"/>
      <c r="B24" s="481"/>
      <c r="C24" s="565" t="s">
        <v>42</v>
      </c>
      <c r="D24" s="489">
        <f t="shared" si="71"/>
        <v>0</v>
      </c>
      <c r="E24" s="489">
        <f t="shared" si="72"/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  <c r="K24" s="489">
        <v>0</v>
      </c>
      <c r="L24" s="489">
        <v>0</v>
      </c>
      <c r="M24" s="489">
        <v>0</v>
      </c>
      <c r="N24" s="489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f>Jul!$K41</f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f>Dec!$K41</f>
        <v>0</v>
      </c>
      <c r="AH24" s="489">
        <f>Jan!$K41</f>
        <v>0</v>
      </c>
      <c r="AI24" s="489">
        <f>Feb!$K41</f>
        <v>0</v>
      </c>
      <c r="AJ24" s="489">
        <f>Mar!$K41</f>
        <v>0</v>
      </c>
      <c r="AK24" s="489">
        <f>Apr!$K41</f>
        <v>0</v>
      </c>
      <c r="AL24" s="489">
        <f>May!$K41</f>
        <v>0</v>
      </c>
      <c r="AM24" s="489">
        <f>Jun!$K41</f>
        <v>0</v>
      </c>
      <c r="AN24" s="489">
        <v>0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621">
        <f>Jan!$K41</f>
        <v>0</v>
      </c>
      <c r="AU24" s="489">
        <f>Feb!$K41</f>
        <v>0</v>
      </c>
      <c r="AV24" s="489">
        <f>Mar!$K41</f>
        <v>0</v>
      </c>
      <c r="AW24" s="489">
        <f>Apr!$K41</f>
        <v>0</v>
      </c>
      <c r="AX24" s="489">
        <f>May!$K41</f>
        <v>0</v>
      </c>
      <c r="AY24" s="489">
        <f>Jun!$K41</f>
        <v>0</v>
      </c>
      <c r="AZ24" s="489">
        <v>0</v>
      </c>
      <c r="BA24" s="489">
        <v>0</v>
      </c>
      <c r="BB24" s="489">
        <v>0</v>
      </c>
      <c r="BC24" s="489">
        <v>0</v>
      </c>
      <c r="BD24" s="489">
        <v>0</v>
      </c>
      <c r="BE24" s="489">
        <v>0</v>
      </c>
      <c r="BF24" s="579"/>
    </row>
    <row r="25" spans="1:64" hidden="1" outlineLevel="1">
      <c r="A25" s="481"/>
      <c r="B25" s="481"/>
      <c r="C25" s="574" t="s">
        <v>43</v>
      </c>
      <c r="D25" s="489">
        <f t="shared" ref="D25:D26" si="73">SUM(J25:U25)</f>
        <v>0</v>
      </c>
      <c r="E25" s="489">
        <f>SUM(H25:S25)</f>
        <v>0</v>
      </c>
      <c r="F25" s="489"/>
      <c r="G25" s="489"/>
      <c r="H25" s="489"/>
      <c r="I25" s="489"/>
    </row>
    <row r="26" spans="1:64" hidden="1" outlineLevel="1">
      <c r="A26" s="481"/>
      <c r="B26" s="481"/>
      <c r="C26" s="574" t="s">
        <v>74</v>
      </c>
      <c r="D26" s="489">
        <f t="shared" si="73"/>
        <v>0</v>
      </c>
      <c r="E26" s="489">
        <f>SUM(H26:S26)</f>
        <v>0</v>
      </c>
      <c r="F26" s="489"/>
      <c r="G26" s="489"/>
      <c r="H26" s="489"/>
      <c r="I26" s="489"/>
    </row>
    <row r="27" spans="1:64" ht="16.5" collapsed="1" thickBot="1">
      <c r="A27" s="481"/>
      <c r="B27" s="481"/>
      <c r="C27" s="479" t="s">
        <v>21</v>
      </c>
      <c r="D27" s="540">
        <f>SUM(V27:AG27)</f>
        <v>69119540</v>
      </c>
      <c r="E27" s="540">
        <f>SUM(G27:R27)</f>
        <v>79142017</v>
      </c>
      <c r="F27" s="540">
        <f>SUM(F19:F26)</f>
        <v>2507738</v>
      </c>
      <c r="G27" s="540">
        <v>5893546</v>
      </c>
      <c r="H27" s="540">
        <f t="shared" ref="H27:I27" si="74">SUM(H19:H26)</f>
        <v>9508099</v>
      </c>
      <c r="I27" s="540">
        <f t="shared" si="74"/>
        <v>13760186</v>
      </c>
      <c r="J27" s="540">
        <v>11716507</v>
      </c>
      <c r="K27" s="540">
        <v>11931736</v>
      </c>
      <c r="L27" s="540">
        <v>9241396</v>
      </c>
      <c r="M27" s="540">
        <v>5564714</v>
      </c>
      <c r="N27" s="540">
        <v>3029874</v>
      </c>
      <c r="O27" s="540">
        <v>2509880</v>
      </c>
      <c r="P27" s="540">
        <v>1863579</v>
      </c>
      <c r="Q27" s="540">
        <v>2015030</v>
      </c>
      <c r="R27" s="540">
        <v>2107470</v>
      </c>
      <c r="S27" s="540">
        <v>4247451</v>
      </c>
      <c r="T27" s="540">
        <v>10209943</v>
      </c>
      <c r="U27" s="540">
        <v>11065590</v>
      </c>
      <c r="V27" s="540">
        <f t="shared" ref="V27:AD27" si="75">SUM(V19:V26)</f>
        <v>11809937</v>
      </c>
      <c r="W27" s="540">
        <f t="shared" si="75"/>
        <v>7940694</v>
      </c>
      <c r="X27" s="540">
        <f t="shared" si="75"/>
        <v>7017973</v>
      </c>
      <c r="Y27" s="540">
        <f t="shared" si="75"/>
        <v>5254736</v>
      </c>
      <c r="Z27" s="540">
        <f t="shared" si="75"/>
        <v>2699945</v>
      </c>
      <c r="AA27" s="540">
        <f t="shared" si="75"/>
        <v>2074520</v>
      </c>
      <c r="AB27" s="540">
        <f t="shared" si="75"/>
        <v>2019015</v>
      </c>
      <c r="AC27" s="540">
        <f t="shared" si="75"/>
        <v>2252954</v>
      </c>
      <c r="AD27" s="540">
        <f t="shared" si="75"/>
        <v>2632656</v>
      </c>
      <c r="AE27" s="540">
        <f t="shared" ref="AE27:AS27" si="76">SUM(AE19:AE26)</f>
        <v>3869259</v>
      </c>
      <c r="AF27" s="540">
        <f t="shared" si="76"/>
        <v>9627846</v>
      </c>
      <c r="AG27" s="540">
        <f t="shared" si="76"/>
        <v>11920005</v>
      </c>
      <c r="AH27" s="540">
        <f t="shared" si="76"/>
        <v>11685014</v>
      </c>
      <c r="AI27" s="540">
        <f t="shared" si="76"/>
        <v>8801085</v>
      </c>
      <c r="AJ27" s="540">
        <f t="shared" si="76"/>
        <v>8059216</v>
      </c>
      <c r="AK27" s="540">
        <f t="shared" si="76"/>
        <v>3920264</v>
      </c>
      <c r="AL27" s="540">
        <f t="shared" si="76"/>
        <v>2996454</v>
      </c>
      <c r="AM27" s="540">
        <f t="shared" si="76"/>
        <v>2393145</v>
      </c>
      <c r="AN27" s="540">
        <f t="shared" si="76"/>
        <v>2156482</v>
      </c>
      <c r="AO27" s="540">
        <f t="shared" si="76"/>
        <v>2375301</v>
      </c>
      <c r="AP27" s="540">
        <f>SUM(AP19:AP26)</f>
        <v>2461198</v>
      </c>
      <c r="AQ27" s="540">
        <f t="shared" si="76"/>
        <v>5395279</v>
      </c>
      <c r="AR27" s="540">
        <f t="shared" si="76"/>
        <v>7768583</v>
      </c>
      <c r="AS27" s="540">
        <f t="shared" si="76"/>
        <v>15441922</v>
      </c>
      <c r="AT27" s="540">
        <f t="shared" ref="AT27:BA27" si="77">SUM(AT19:AT26)</f>
        <v>15961206</v>
      </c>
      <c r="AU27" s="540">
        <f t="shared" si="77"/>
        <v>11177385</v>
      </c>
      <c r="AV27" s="540">
        <f t="shared" si="77"/>
        <v>9577338</v>
      </c>
      <c r="AW27" s="540">
        <f t="shared" si="77"/>
        <v>6717728</v>
      </c>
      <c r="AX27" s="540">
        <f t="shared" si="77"/>
        <v>3929288</v>
      </c>
      <c r="AY27" s="540">
        <f t="shared" si="77"/>
        <v>2552767</v>
      </c>
      <c r="AZ27" s="540">
        <f>SUM(AZ19:AZ26)</f>
        <v>2019015</v>
      </c>
      <c r="BA27" s="540">
        <f t="shared" si="77"/>
        <v>2352916</v>
      </c>
      <c r="BB27" s="540">
        <f>SUM(BB19:BB26)</f>
        <v>2437391</v>
      </c>
      <c r="BC27" s="540">
        <f t="shared" ref="BC27:BE27" si="78">SUM(BC19:BC26)</f>
        <v>6761852</v>
      </c>
      <c r="BD27" s="540">
        <f t="shared" si="78"/>
        <v>7768583</v>
      </c>
      <c r="BE27" s="540">
        <f t="shared" si="78"/>
        <v>15441922</v>
      </c>
    </row>
    <row r="28" spans="1:64" ht="16.5" thickTop="1">
      <c r="A28" s="481"/>
      <c r="B28" s="481"/>
      <c r="C28" s="479" t="s">
        <v>266</v>
      </c>
      <c r="D28" s="489">
        <f>SUM(V28:AG28)</f>
        <v>69054815</v>
      </c>
      <c r="E28" s="489">
        <f>SUM(G28:R28)</f>
        <v>79142017</v>
      </c>
      <c r="F28" s="489">
        <v>2507738</v>
      </c>
      <c r="G28" s="489">
        <v>5893546</v>
      </c>
      <c r="H28" s="489">
        <v>9508099</v>
      </c>
      <c r="I28" s="489">
        <v>13760186</v>
      </c>
      <c r="J28" s="489">
        <v>11716507</v>
      </c>
      <c r="K28" s="489">
        <v>11931736</v>
      </c>
      <c r="L28" s="489">
        <v>9241396</v>
      </c>
      <c r="M28" s="489">
        <v>5564714</v>
      </c>
      <c r="N28" s="489">
        <v>3029874</v>
      </c>
      <c r="O28" s="489">
        <v>2509880</v>
      </c>
      <c r="P28" s="541">
        <v>1863579</v>
      </c>
      <c r="Q28" s="541">
        <v>2015030</v>
      </c>
      <c r="R28" s="541">
        <v>2107470</v>
      </c>
      <c r="S28" s="541">
        <v>4247451</v>
      </c>
      <c r="T28" s="541">
        <v>10209943</v>
      </c>
      <c r="U28" s="541">
        <v>11065590</v>
      </c>
      <c r="V28" s="489">
        <v>11809937</v>
      </c>
      <c r="W28" s="489">
        <v>7940694</v>
      </c>
      <c r="X28" s="489">
        <v>7017973</v>
      </c>
      <c r="Y28" s="489">
        <v>5254736</v>
      </c>
      <c r="Z28" s="489">
        <v>2699945</v>
      </c>
      <c r="AA28" s="489">
        <v>2074520</v>
      </c>
      <c r="AB28" s="541">
        <v>1954290</v>
      </c>
      <c r="AC28" s="541">
        <v>2252954</v>
      </c>
      <c r="AD28" s="541">
        <v>2632656</v>
      </c>
      <c r="AE28" s="541">
        <v>3869259</v>
      </c>
      <c r="AF28" s="562">
        <v>9627846</v>
      </c>
      <c r="AG28" s="541">
        <v>11920005</v>
      </c>
      <c r="AH28" s="541">
        <v>11685014</v>
      </c>
      <c r="AI28" s="562">
        <v>8801085</v>
      </c>
      <c r="AJ28" s="562">
        <v>8059216</v>
      </c>
      <c r="AK28" s="562">
        <v>3920264</v>
      </c>
      <c r="AL28" s="562">
        <v>2996454</v>
      </c>
      <c r="AM28" s="562">
        <v>2393145</v>
      </c>
      <c r="AN28" s="562">
        <v>2156482</v>
      </c>
      <c r="AO28" s="562">
        <v>2375301</v>
      </c>
      <c r="AP28" s="562">
        <v>2461198</v>
      </c>
      <c r="AQ28" s="562">
        <v>5395279</v>
      </c>
      <c r="AR28" s="562">
        <v>7768583</v>
      </c>
      <c r="AS28" s="562">
        <v>15441922</v>
      </c>
      <c r="AT28" s="541">
        <v>15961206</v>
      </c>
      <c r="AU28" s="562">
        <v>8801085</v>
      </c>
      <c r="AV28" s="562">
        <v>8059216</v>
      </c>
      <c r="AW28" s="562">
        <v>3920264</v>
      </c>
      <c r="AX28" s="562">
        <v>2996454</v>
      </c>
      <c r="AY28" s="562">
        <v>2393145</v>
      </c>
      <c r="AZ28" s="562">
        <v>2156482</v>
      </c>
      <c r="BA28" s="562">
        <v>2375301</v>
      </c>
      <c r="BB28" s="562">
        <v>2461198</v>
      </c>
      <c r="BC28" s="562">
        <v>5395279</v>
      </c>
      <c r="BD28" s="562">
        <v>7768583</v>
      </c>
      <c r="BE28" s="562">
        <v>15441922</v>
      </c>
    </row>
    <row r="29" spans="1:64">
      <c r="A29" s="481" t="s">
        <v>22</v>
      </c>
      <c r="B29" s="481" t="s">
        <v>22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</row>
    <row r="30" spans="1:64">
      <c r="A30" s="534">
        <v>191000</v>
      </c>
      <c r="B30" s="534">
        <v>191000</v>
      </c>
      <c r="C30" s="483" t="s">
        <v>253</v>
      </c>
      <c r="F30" s="482">
        <v>201309</v>
      </c>
      <c r="G30" s="482">
        <f>F30+1</f>
        <v>201310</v>
      </c>
      <c r="H30" s="482">
        <f>G30+1</f>
        <v>201311</v>
      </c>
      <c r="I30" s="482">
        <f>H30+1</f>
        <v>201312</v>
      </c>
      <c r="J30" s="482">
        <v>201401</v>
      </c>
      <c r="K30" s="482">
        <v>201402</v>
      </c>
      <c r="L30" s="482">
        <v>201403</v>
      </c>
      <c r="M30" s="482">
        <v>201404</v>
      </c>
      <c r="N30" s="482">
        <v>201405</v>
      </c>
      <c r="O30" s="482">
        <v>201406</v>
      </c>
      <c r="P30" s="482">
        <v>201407</v>
      </c>
      <c r="Q30" s="482">
        <v>201408</v>
      </c>
      <c r="R30" s="482">
        <v>201409</v>
      </c>
      <c r="S30" s="482">
        <v>201410</v>
      </c>
      <c r="T30" s="482">
        <v>201411</v>
      </c>
      <c r="U30" s="482">
        <v>201412</v>
      </c>
      <c r="V30" s="482">
        <v>201501</v>
      </c>
      <c r="W30" s="482">
        <f t="shared" ref="W30" si="79">V30+1</f>
        <v>201502</v>
      </c>
      <c r="X30" s="482">
        <f t="shared" ref="X30" si="80">W30+1</f>
        <v>201503</v>
      </c>
      <c r="Y30" s="482">
        <f t="shared" ref="Y30" si="81">X30+1</f>
        <v>201504</v>
      </c>
      <c r="Z30" s="482">
        <f t="shared" ref="Z30" si="82">Y30+1</f>
        <v>201505</v>
      </c>
      <c r="AA30" s="482">
        <f t="shared" ref="AA30" si="83">Z30+1</f>
        <v>201506</v>
      </c>
      <c r="AB30" s="482">
        <f t="shared" ref="AB30" si="84">AA30+1</f>
        <v>201507</v>
      </c>
      <c r="AC30" s="482">
        <f t="shared" ref="AC30" si="85">AB30+1</f>
        <v>201508</v>
      </c>
      <c r="AD30" s="482">
        <f t="shared" ref="AD30" si="86">AC30+1</f>
        <v>201509</v>
      </c>
      <c r="AE30" s="482">
        <f t="shared" ref="AE30" si="87">AD30+1</f>
        <v>201510</v>
      </c>
      <c r="AF30" s="482">
        <f t="shared" ref="AF30" si="88">AE30+1</f>
        <v>201511</v>
      </c>
      <c r="AG30" s="482">
        <f t="shared" ref="AG30" si="89">AF30+1</f>
        <v>201512</v>
      </c>
      <c r="AH30" s="482">
        <v>201601</v>
      </c>
      <c r="AI30" s="482">
        <f>AH30+1</f>
        <v>201602</v>
      </c>
      <c r="AJ30" s="482">
        <f t="shared" ref="AJ30:AS30" si="90">AI30+1</f>
        <v>201603</v>
      </c>
      <c r="AK30" s="482">
        <f t="shared" si="90"/>
        <v>201604</v>
      </c>
      <c r="AL30" s="482">
        <f t="shared" si="90"/>
        <v>201605</v>
      </c>
      <c r="AM30" s="482">
        <f t="shared" si="90"/>
        <v>201606</v>
      </c>
      <c r="AN30" s="482">
        <f t="shared" si="90"/>
        <v>201607</v>
      </c>
      <c r="AO30" s="482">
        <f t="shared" si="90"/>
        <v>201608</v>
      </c>
      <c r="AP30" s="482">
        <f t="shared" si="90"/>
        <v>201609</v>
      </c>
      <c r="AQ30" s="482">
        <f t="shared" si="90"/>
        <v>201610</v>
      </c>
      <c r="AR30" s="482">
        <f t="shared" si="90"/>
        <v>201611</v>
      </c>
      <c r="AS30" s="482">
        <f t="shared" si="90"/>
        <v>201612</v>
      </c>
      <c r="AT30" s="482">
        <f>AT3</f>
        <v>201701</v>
      </c>
      <c r="AU30" s="482">
        <f>AT30+1</f>
        <v>201702</v>
      </c>
      <c r="AV30" s="482">
        <f t="shared" ref="AV30" si="91">AU30+1</f>
        <v>201703</v>
      </c>
      <c r="AW30" s="482">
        <f t="shared" ref="AW30" si="92">AV30+1</f>
        <v>201704</v>
      </c>
      <c r="AX30" s="482">
        <f t="shared" ref="AX30" si="93">AW30+1</f>
        <v>201705</v>
      </c>
      <c r="AY30" s="482">
        <f t="shared" ref="AY30" si="94">AX30+1</f>
        <v>201706</v>
      </c>
      <c r="AZ30" s="482">
        <f t="shared" ref="AZ30" si="95">AY30+1</f>
        <v>201707</v>
      </c>
      <c r="BA30" s="482">
        <f t="shared" ref="BA30" si="96">AZ30+1</f>
        <v>201708</v>
      </c>
      <c r="BB30" s="482">
        <f t="shared" ref="BB30" si="97">BA30+1</f>
        <v>201709</v>
      </c>
      <c r="BC30" s="482">
        <f t="shared" ref="BC30" si="98">BB30+1</f>
        <v>201710</v>
      </c>
      <c r="BD30" s="482">
        <f t="shared" ref="BD30" si="99">BC30+1</f>
        <v>201711</v>
      </c>
      <c r="BE30" s="482">
        <f t="shared" ref="BE30" si="100">BD30+1</f>
        <v>201712</v>
      </c>
    </row>
    <row r="31" spans="1:64">
      <c r="A31" s="481"/>
      <c r="B31" s="481"/>
      <c r="C31" s="479" t="s">
        <v>37</v>
      </c>
      <c r="F31" s="490">
        <v>1.7780000000000001E-2</v>
      </c>
      <c r="G31" s="490" t="s">
        <v>267</v>
      </c>
      <c r="H31" s="490" t="s">
        <v>267</v>
      </c>
      <c r="I31" s="490">
        <v>-1.4999999999999999E-4</v>
      </c>
      <c r="J31" s="490">
        <v>-1.4999999999999999E-4</v>
      </c>
      <c r="K31" s="490">
        <v>-1.4999999999999999E-4</v>
      </c>
      <c r="L31" s="490">
        <v>-1.4999999999999999E-4</v>
      </c>
      <c r="M31" s="490">
        <v>-1.4999999999999999E-4</v>
      </c>
      <c r="N31" s="490">
        <v>-1.4999999999999999E-4</v>
      </c>
      <c r="O31" s="490">
        <v>-1.4999999999999999E-4</v>
      </c>
      <c r="P31" s="490">
        <v>-1.4999999999999999E-4</v>
      </c>
      <c r="Q31" s="490">
        <v>-1.4999999999999999E-4</v>
      </c>
      <c r="R31" s="490">
        <v>-1.4999999999999999E-4</v>
      </c>
      <c r="S31" s="490">
        <v>-1.4999999999999999E-4</v>
      </c>
      <c r="T31" s="490" t="s">
        <v>267</v>
      </c>
      <c r="U31" s="490" t="s">
        <v>267</v>
      </c>
      <c r="V31" s="490">
        <v>3.041E-2</v>
      </c>
      <c r="W31" s="490">
        <v>3.041E-2</v>
      </c>
      <c r="X31" s="490">
        <v>3.041E-2</v>
      </c>
      <c r="Y31" s="490">
        <v>3.041E-2</v>
      </c>
      <c r="Z31" s="490">
        <v>3.041E-2</v>
      </c>
      <c r="AA31" s="490">
        <v>3.041E-2</v>
      </c>
      <c r="AB31" s="490">
        <v>3.041E-2</v>
      </c>
      <c r="AC31" s="490">
        <v>3.041E-2</v>
      </c>
      <c r="AD31" s="490">
        <v>3.041E-2</v>
      </c>
      <c r="AE31" s="490">
        <v>3.041E-2</v>
      </c>
      <c r="AF31" s="490" t="s">
        <v>326</v>
      </c>
      <c r="AG31" s="490" t="s">
        <v>326</v>
      </c>
      <c r="AH31" s="490">
        <v>2.8709999999999999E-2</v>
      </c>
      <c r="AI31" s="490">
        <v>2.8709999999999999E-2</v>
      </c>
      <c r="AJ31" s="490">
        <v>2.8709999999999999E-2</v>
      </c>
      <c r="AK31" s="490">
        <v>2.8709999999999999E-2</v>
      </c>
      <c r="AL31" s="490">
        <v>2.8709999999999999E-2</v>
      </c>
      <c r="AM31" s="490">
        <v>2.8709999999999999E-2</v>
      </c>
      <c r="AN31" s="490">
        <v>2.8709999999999999E-2</v>
      </c>
      <c r="AO31" s="564">
        <v>2.8709999999999999E-2</v>
      </c>
      <c r="AP31" s="490">
        <v>2.8709999999999999E-2</v>
      </c>
      <c r="AQ31" s="490">
        <v>2.8709999999999999E-2</v>
      </c>
      <c r="AR31" s="490" t="s">
        <v>326</v>
      </c>
      <c r="AS31" s="490" t="s">
        <v>326</v>
      </c>
      <c r="AT31" s="618">
        <v>9.3079999999999996E-2</v>
      </c>
      <c r="AU31" s="613">
        <v>2.8709999999999999E-2</v>
      </c>
      <c r="AV31" s="613">
        <v>2.8709999999999999E-2</v>
      </c>
      <c r="AW31" s="613">
        <v>2.8709999999999999E-2</v>
      </c>
      <c r="AX31" s="613">
        <v>2.8709999999999999E-2</v>
      </c>
      <c r="AY31" s="613">
        <v>2.8709999999999999E-2</v>
      </c>
      <c r="AZ31" s="613">
        <v>2.8709999999999999E-2</v>
      </c>
      <c r="BA31" s="613">
        <v>2.8709999999999999E-2</v>
      </c>
      <c r="BB31" s="613">
        <v>2.8709999999999999E-2</v>
      </c>
      <c r="BC31" s="613">
        <v>2.8709999999999999E-2</v>
      </c>
      <c r="BD31" s="490" t="s">
        <v>326</v>
      </c>
      <c r="BE31" s="490" t="s">
        <v>326</v>
      </c>
      <c r="BG31" s="653"/>
      <c r="BH31" s="654"/>
      <c r="BI31" s="654"/>
      <c r="BJ31" s="654"/>
      <c r="BK31" s="654"/>
      <c r="BL31" s="559"/>
    </row>
    <row r="32" spans="1:64">
      <c r="A32" s="481"/>
      <c r="B32" s="481"/>
      <c r="C32" s="479" t="s">
        <v>38</v>
      </c>
      <c r="F32" s="490">
        <v>1.7780000000000001E-2</v>
      </c>
      <c r="G32" s="490" t="s">
        <v>267</v>
      </c>
      <c r="H32" s="490" t="s">
        <v>267</v>
      </c>
      <c r="I32" s="490">
        <v>-1.4999999999999999E-4</v>
      </c>
      <c r="J32" s="490">
        <v>-1.4999999999999999E-4</v>
      </c>
      <c r="K32" s="490">
        <v>-1.4999999999999999E-4</v>
      </c>
      <c r="L32" s="490">
        <v>-1.4999999999999999E-4</v>
      </c>
      <c r="M32" s="490">
        <v>-1.4999999999999999E-4</v>
      </c>
      <c r="N32" s="490">
        <v>-1.4999999999999999E-4</v>
      </c>
      <c r="O32" s="490">
        <v>-1.4999999999999999E-4</v>
      </c>
      <c r="P32" s="490">
        <v>-1.4999999999999999E-4</v>
      </c>
      <c r="Q32" s="490">
        <v>-1.4999999999999999E-4</v>
      </c>
      <c r="R32" s="490">
        <v>-1.4999999999999999E-4</v>
      </c>
      <c r="S32" s="490">
        <v>-1.4999999999999999E-4</v>
      </c>
      <c r="T32" s="490" t="s">
        <v>267</v>
      </c>
      <c r="U32" s="490" t="s">
        <v>267</v>
      </c>
      <c r="V32" s="490">
        <v>3.041E-2</v>
      </c>
      <c r="W32" s="490">
        <v>3.041E-2</v>
      </c>
      <c r="X32" s="490">
        <v>3.041E-2</v>
      </c>
      <c r="Y32" s="490">
        <v>3.041E-2</v>
      </c>
      <c r="Z32" s="490">
        <v>3.041E-2</v>
      </c>
      <c r="AA32" s="490">
        <v>3.041E-2</v>
      </c>
      <c r="AB32" s="490">
        <v>3.041E-2</v>
      </c>
      <c r="AC32" s="490">
        <v>3.041E-2</v>
      </c>
      <c r="AD32" s="490">
        <v>3.041E-2</v>
      </c>
      <c r="AE32" s="490">
        <v>3.041E-2</v>
      </c>
      <c r="AF32" s="490" t="s">
        <v>326</v>
      </c>
      <c r="AG32" s="490" t="s">
        <v>326</v>
      </c>
      <c r="AH32" s="490">
        <v>2.8709999999999999E-2</v>
      </c>
      <c r="AI32" s="490">
        <v>2.8709999999999999E-2</v>
      </c>
      <c r="AJ32" s="490">
        <v>2.8709999999999999E-2</v>
      </c>
      <c r="AK32" s="490">
        <v>2.8709999999999999E-2</v>
      </c>
      <c r="AL32" s="490">
        <v>2.8709999999999999E-2</v>
      </c>
      <c r="AM32" s="490">
        <v>2.8709999999999999E-2</v>
      </c>
      <c r="AN32" s="490">
        <v>2.8709999999999999E-2</v>
      </c>
      <c r="AO32" s="564">
        <v>2.8709999999999999E-2</v>
      </c>
      <c r="AP32" s="490">
        <v>2.8709999999999999E-2</v>
      </c>
      <c r="AQ32" s="490">
        <v>2.8709999999999999E-2</v>
      </c>
      <c r="AR32" s="490" t="s">
        <v>326</v>
      </c>
      <c r="AS32" s="490" t="s">
        <v>326</v>
      </c>
      <c r="AT32" s="618">
        <v>9.3079999999999996E-2</v>
      </c>
      <c r="AU32" s="613">
        <v>2.8709999999999999E-2</v>
      </c>
      <c r="AV32" s="613">
        <v>2.8709999999999999E-2</v>
      </c>
      <c r="AW32" s="613">
        <v>2.8709999999999999E-2</v>
      </c>
      <c r="AX32" s="613">
        <v>2.8709999999999999E-2</v>
      </c>
      <c r="AY32" s="613">
        <v>2.8709999999999999E-2</v>
      </c>
      <c r="AZ32" s="613">
        <v>2.8709999999999999E-2</v>
      </c>
      <c r="BA32" s="613">
        <v>2.8709999999999999E-2</v>
      </c>
      <c r="BB32" s="613">
        <v>2.8709999999999999E-2</v>
      </c>
      <c r="BC32" s="613">
        <v>2.8709999999999999E-2</v>
      </c>
      <c r="BD32" s="490" t="s">
        <v>326</v>
      </c>
      <c r="BE32" s="490" t="s">
        <v>326</v>
      </c>
      <c r="BG32" s="654"/>
      <c r="BH32" s="654"/>
      <c r="BI32" s="654"/>
      <c r="BJ32" s="654"/>
      <c r="BK32" s="654"/>
    </row>
    <row r="33" spans="1:64" ht="15.75" hidden="1" customHeight="1" outlineLevel="1">
      <c r="A33" s="481"/>
      <c r="B33" s="481"/>
      <c r="C33" s="574" t="s">
        <v>39</v>
      </c>
      <c r="F33" s="490"/>
      <c r="G33" s="490" t="s">
        <v>267</v>
      </c>
      <c r="H33" s="490" t="s">
        <v>267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 t="s">
        <v>267</v>
      </c>
      <c r="U33" s="490" t="s">
        <v>267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 t="s">
        <v>267</v>
      </c>
      <c r="AG33" s="490" t="s">
        <v>267</v>
      </c>
      <c r="AH33" s="490"/>
      <c r="AI33" s="490"/>
      <c r="AJ33" s="490"/>
      <c r="AK33" s="490"/>
      <c r="AL33" s="490"/>
      <c r="AM33" s="490"/>
      <c r="AN33" s="490"/>
      <c r="AO33" s="564"/>
      <c r="AP33" s="490"/>
      <c r="AQ33" s="490"/>
      <c r="AR33" s="490" t="s">
        <v>267</v>
      </c>
      <c r="AS33" s="490" t="s">
        <v>267</v>
      </c>
      <c r="AT33" s="618"/>
      <c r="AU33" s="613"/>
      <c r="AV33" s="613"/>
      <c r="AW33" s="613"/>
      <c r="AX33" s="613"/>
      <c r="AY33" s="613"/>
      <c r="AZ33" s="613"/>
      <c r="BA33" s="613"/>
      <c r="BB33" s="613"/>
      <c r="BC33" s="613"/>
      <c r="BD33" s="490" t="s">
        <v>267</v>
      </c>
      <c r="BE33" s="490" t="s">
        <v>267</v>
      </c>
      <c r="BG33" s="654"/>
      <c r="BH33" s="654"/>
      <c r="BI33" s="654"/>
      <c r="BJ33" s="654"/>
      <c r="BK33" s="654"/>
    </row>
    <row r="34" spans="1:64" ht="15.75" hidden="1" customHeight="1" outlineLevel="1">
      <c r="A34" s="481"/>
      <c r="B34" s="481"/>
      <c r="C34" s="574" t="s">
        <v>40</v>
      </c>
      <c r="F34" s="490"/>
      <c r="G34" s="490" t="s">
        <v>267</v>
      </c>
      <c r="H34" s="490" t="s">
        <v>267</v>
      </c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 t="s">
        <v>267</v>
      </c>
      <c r="U34" s="490" t="s">
        <v>267</v>
      </c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 t="s">
        <v>267</v>
      </c>
      <c r="AG34" s="490" t="s">
        <v>267</v>
      </c>
      <c r="AH34" s="490"/>
      <c r="AI34" s="490"/>
      <c r="AJ34" s="490"/>
      <c r="AK34" s="490"/>
      <c r="AL34" s="490"/>
      <c r="AM34" s="490"/>
      <c r="AN34" s="490"/>
      <c r="AO34" s="564"/>
      <c r="AP34" s="490"/>
      <c r="AQ34" s="490"/>
      <c r="AR34" s="490" t="s">
        <v>267</v>
      </c>
      <c r="AS34" s="490" t="s">
        <v>267</v>
      </c>
      <c r="AT34" s="618"/>
      <c r="AU34" s="613"/>
      <c r="AV34" s="613"/>
      <c r="AW34" s="613"/>
      <c r="AX34" s="613"/>
      <c r="AY34" s="613"/>
      <c r="AZ34" s="613"/>
      <c r="BA34" s="613"/>
      <c r="BB34" s="613"/>
      <c r="BC34" s="613"/>
      <c r="BD34" s="490" t="s">
        <v>267</v>
      </c>
      <c r="BE34" s="490" t="s">
        <v>267</v>
      </c>
      <c r="BG34" s="654"/>
      <c r="BH34" s="654"/>
      <c r="BI34" s="654"/>
      <c r="BJ34" s="654"/>
      <c r="BK34" s="654"/>
    </row>
    <row r="35" spans="1:64" ht="15.75" hidden="1" customHeight="1" outlineLevel="1">
      <c r="A35" s="481"/>
      <c r="B35" s="481"/>
      <c r="C35" s="574" t="s">
        <v>41</v>
      </c>
      <c r="F35" s="490"/>
      <c r="G35" s="490" t="s">
        <v>267</v>
      </c>
      <c r="H35" s="490" t="s">
        <v>267</v>
      </c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 t="s">
        <v>267</v>
      </c>
      <c r="U35" s="490" t="s">
        <v>267</v>
      </c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 t="s">
        <v>267</v>
      </c>
      <c r="AG35" s="490" t="s">
        <v>267</v>
      </c>
      <c r="AH35" s="490"/>
      <c r="AI35" s="490"/>
      <c r="AJ35" s="490"/>
      <c r="AK35" s="490"/>
      <c r="AL35" s="490"/>
      <c r="AM35" s="490"/>
      <c r="AN35" s="490"/>
      <c r="AO35" s="564"/>
      <c r="AP35" s="490"/>
      <c r="AQ35" s="490"/>
      <c r="AR35" s="490" t="s">
        <v>267</v>
      </c>
      <c r="AS35" s="490" t="s">
        <v>267</v>
      </c>
      <c r="AT35" s="618"/>
      <c r="AU35" s="613"/>
      <c r="AV35" s="613"/>
      <c r="AW35" s="613"/>
      <c r="AX35" s="613"/>
      <c r="AY35" s="613"/>
      <c r="AZ35" s="613"/>
      <c r="BA35" s="613"/>
      <c r="BB35" s="613"/>
      <c r="BC35" s="613"/>
      <c r="BD35" s="490" t="s">
        <v>267</v>
      </c>
      <c r="BE35" s="490" t="s">
        <v>267</v>
      </c>
      <c r="BG35" s="654"/>
      <c r="BH35" s="654"/>
      <c r="BI35" s="654"/>
      <c r="BJ35" s="654"/>
      <c r="BK35" s="654"/>
    </row>
    <row r="36" spans="1:64" collapsed="1">
      <c r="A36" s="481"/>
      <c r="B36" s="481"/>
      <c r="C36" s="565" t="s">
        <v>42</v>
      </c>
      <c r="F36" s="490">
        <v>1.6570000000000001E-2</v>
      </c>
      <c r="G36" s="490" t="s">
        <v>267</v>
      </c>
      <c r="H36" s="490" t="s">
        <v>267</v>
      </c>
      <c r="I36" s="490">
        <v>1.042E-2</v>
      </c>
      <c r="J36" s="490">
        <v>1.042E-2</v>
      </c>
      <c r="K36" s="490">
        <v>1.042E-2</v>
      </c>
      <c r="L36" s="490">
        <v>1.042E-2</v>
      </c>
      <c r="M36" s="490">
        <v>1.042E-2</v>
      </c>
      <c r="N36" s="490">
        <v>1.042E-2</v>
      </c>
      <c r="O36" s="490">
        <v>1.042E-2</v>
      </c>
      <c r="P36" s="490">
        <v>1.042E-2</v>
      </c>
      <c r="Q36" s="490">
        <v>1.042E-2</v>
      </c>
      <c r="R36" s="490">
        <v>1.042E-2</v>
      </c>
      <c r="S36" s="490">
        <v>1.042E-2</v>
      </c>
      <c r="T36" s="490" t="s">
        <v>267</v>
      </c>
      <c r="U36" s="490" t="s">
        <v>267</v>
      </c>
      <c r="V36" s="490">
        <v>9.1900000000000003E-3</v>
      </c>
      <c r="W36" s="490">
        <v>9.1900000000000003E-3</v>
      </c>
      <c r="X36" s="490">
        <v>9.1900000000000003E-3</v>
      </c>
      <c r="Y36" s="490">
        <v>9.1900000000000003E-3</v>
      </c>
      <c r="Z36" s="490">
        <v>9.1900000000000003E-3</v>
      </c>
      <c r="AA36" s="490">
        <v>9.1900000000000003E-3</v>
      </c>
      <c r="AB36" s="490">
        <v>9.1900000000000003E-3</v>
      </c>
      <c r="AC36" s="490">
        <v>9.1900000000000003E-3</v>
      </c>
      <c r="AD36" s="490">
        <v>9.1900000000000003E-3</v>
      </c>
      <c r="AE36" s="490">
        <v>9.1900000000000003E-3</v>
      </c>
      <c r="AF36" s="490" t="s">
        <v>326</v>
      </c>
      <c r="AG36" s="490" t="s">
        <v>326</v>
      </c>
      <c r="AH36" s="490">
        <v>3.0040000000000001E-2</v>
      </c>
      <c r="AI36" s="490">
        <v>3.0040000000000001E-2</v>
      </c>
      <c r="AJ36" s="490">
        <v>3.0040000000000001E-2</v>
      </c>
      <c r="AK36" s="490">
        <v>3.0040000000000001E-2</v>
      </c>
      <c r="AL36" s="490">
        <v>3.0040000000000001E-2</v>
      </c>
      <c r="AM36" s="490">
        <v>3.0040000000000001E-2</v>
      </c>
      <c r="AN36" s="490">
        <v>3.0040000000000001E-2</v>
      </c>
      <c r="AO36" s="564">
        <v>3.0040000000000001E-2</v>
      </c>
      <c r="AP36" s="490">
        <v>3.0040000000000001E-2</v>
      </c>
      <c r="AQ36" s="490">
        <v>3.0040000000000001E-2</v>
      </c>
      <c r="AR36" s="490" t="s">
        <v>326</v>
      </c>
      <c r="AS36" s="490" t="s">
        <v>326</v>
      </c>
      <c r="AT36" s="618">
        <v>9.665E-2</v>
      </c>
      <c r="AU36" s="613">
        <v>3.0040000000000001E-2</v>
      </c>
      <c r="AV36" s="613">
        <v>3.0040000000000001E-2</v>
      </c>
      <c r="AW36" s="613">
        <v>3.0040000000000001E-2</v>
      </c>
      <c r="AX36" s="613">
        <v>3.0040000000000001E-2</v>
      </c>
      <c r="AY36" s="613">
        <v>3.0040000000000001E-2</v>
      </c>
      <c r="AZ36" s="613">
        <v>3.0040000000000001E-2</v>
      </c>
      <c r="BA36" s="613">
        <v>3.0040000000000001E-2</v>
      </c>
      <c r="BB36" s="613">
        <v>3.0040000000000001E-2</v>
      </c>
      <c r="BC36" s="613">
        <v>3.0040000000000001E-2</v>
      </c>
      <c r="BD36" s="490" t="s">
        <v>326</v>
      </c>
      <c r="BE36" s="490" t="s">
        <v>326</v>
      </c>
      <c r="BG36" s="654"/>
      <c r="BH36" s="654"/>
      <c r="BI36" s="654"/>
      <c r="BJ36" s="654"/>
      <c r="BK36" s="654"/>
    </row>
    <row r="37" spans="1:64" hidden="1" outlineLevel="1">
      <c r="A37" s="481"/>
      <c r="B37" s="481"/>
      <c r="C37" s="574" t="s">
        <v>43</v>
      </c>
      <c r="F37" s="490"/>
      <c r="G37" s="490" t="s">
        <v>267</v>
      </c>
      <c r="H37" s="490" t="s">
        <v>267</v>
      </c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564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564"/>
      <c r="BB37" s="490"/>
      <c r="BC37" s="490"/>
      <c r="BD37" s="490"/>
      <c r="BE37" s="490"/>
    </row>
    <row r="38" spans="1:64" hidden="1" outlineLevel="1">
      <c r="A38" s="481"/>
      <c r="B38" s="481"/>
      <c r="C38" s="574" t="s">
        <v>74</v>
      </c>
      <c r="F38" s="490"/>
      <c r="G38" s="490" t="s">
        <v>267</v>
      </c>
      <c r="H38" s="490" t="s">
        <v>267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564"/>
      <c r="AP38" s="490"/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564"/>
      <c r="BB38" s="490"/>
      <c r="BC38" s="490"/>
      <c r="BD38" s="490"/>
      <c r="BE38" s="490"/>
    </row>
    <row r="39" spans="1:64" collapsed="1">
      <c r="A39" s="481" t="s">
        <v>290</v>
      </c>
      <c r="B39" s="481" t="s">
        <v>290</v>
      </c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564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564"/>
      <c r="BB39" s="490"/>
      <c r="BC39" s="490"/>
      <c r="BD39" s="490"/>
      <c r="BE39" s="490"/>
      <c r="BG39" s="559"/>
    </row>
    <row r="40" spans="1:64" s="481" customFormat="1" ht="16.5" thickBot="1">
      <c r="A40" s="534">
        <v>191000</v>
      </c>
      <c r="B40" s="534">
        <v>191000</v>
      </c>
      <c r="C40" s="483" t="s">
        <v>253</v>
      </c>
      <c r="D40" s="484" t="s">
        <v>248</v>
      </c>
      <c r="E40" s="485" t="s">
        <v>249</v>
      </c>
      <c r="F40" s="482">
        <v>201309</v>
      </c>
      <c r="G40" s="482">
        <f>F40+1</f>
        <v>201310</v>
      </c>
      <c r="H40" s="482">
        <f>G40+1</f>
        <v>201311</v>
      </c>
      <c r="I40" s="482">
        <f>H40+1</f>
        <v>201312</v>
      </c>
      <c r="J40" s="482">
        <v>201401</v>
      </c>
      <c r="K40" s="482">
        <v>201402</v>
      </c>
      <c r="L40" s="482">
        <v>201403</v>
      </c>
      <c r="M40" s="482">
        <v>201404</v>
      </c>
      <c r="N40" s="482">
        <v>201405</v>
      </c>
      <c r="O40" s="482">
        <v>201406</v>
      </c>
      <c r="P40" s="482">
        <v>201407</v>
      </c>
      <c r="Q40" s="482">
        <v>201408</v>
      </c>
      <c r="R40" s="482">
        <v>201409</v>
      </c>
      <c r="S40" s="482">
        <v>201410</v>
      </c>
      <c r="T40" s="482">
        <v>201411</v>
      </c>
      <c r="U40" s="482">
        <v>201412</v>
      </c>
      <c r="V40" s="482">
        <v>201501</v>
      </c>
      <c r="W40" s="482">
        <f t="shared" ref="W40" si="101">V40+1</f>
        <v>201502</v>
      </c>
      <c r="X40" s="482">
        <f t="shared" ref="X40" si="102">W40+1</f>
        <v>201503</v>
      </c>
      <c r="Y40" s="482">
        <f t="shared" ref="Y40" si="103">X40+1</f>
        <v>201504</v>
      </c>
      <c r="Z40" s="482">
        <f t="shared" ref="Z40" si="104">Y40+1</f>
        <v>201505</v>
      </c>
      <c r="AA40" s="482">
        <f t="shared" ref="AA40" si="105">Z40+1</f>
        <v>201506</v>
      </c>
      <c r="AB40" s="482">
        <f t="shared" ref="AB40" si="106">AA40+1</f>
        <v>201507</v>
      </c>
      <c r="AC40" s="482">
        <f t="shared" ref="AC40" si="107">AB40+1</f>
        <v>201508</v>
      </c>
      <c r="AD40" s="482">
        <f t="shared" ref="AD40" si="108">AC40+1</f>
        <v>201509</v>
      </c>
      <c r="AE40" s="482">
        <f t="shared" ref="AE40" si="109">AD40+1</f>
        <v>201510</v>
      </c>
      <c r="AF40" s="482">
        <f t="shared" ref="AF40" si="110">AE40+1</f>
        <v>201511</v>
      </c>
      <c r="AG40" s="482">
        <f t="shared" ref="AG40" si="111">AF40+1</f>
        <v>201512</v>
      </c>
      <c r="AH40" s="482">
        <v>201601</v>
      </c>
      <c r="AI40" s="482">
        <f>AH40+1</f>
        <v>201602</v>
      </c>
      <c r="AJ40" s="482">
        <f t="shared" ref="AJ40:AS40" si="112">AI40+1</f>
        <v>201603</v>
      </c>
      <c r="AK40" s="482">
        <f t="shared" si="112"/>
        <v>201604</v>
      </c>
      <c r="AL40" s="482">
        <f t="shared" si="112"/>
        <v>201605</v>
      </c>
      <c r="AM40" s="482">
        <f t="shared" si="112"/>
        <v>201606</v>
      </c>
      <c r="AN40" s="482">
        <f t="shared" si="112"/>
        <v>201607</v>
      </c>
      <c r="AO40" s="587">
        <f t="shared" si="112"/>
        <v>201608</v>
      </c>
      <c r="AP40" s="482">
        <f t="shared" si="112"/>
        <v>201609</v>
      </c>
      <c r="AQ40" s="482">
        <f t="shared" si="112"/>
        <v>201610</v>
      </c>
      <c r="AR40" s="482">
        <f t="shared" si="112"/>
        <v>201611</v>
      </c>
      <c r="AS40" s="482">
        <f t="shared" si="112"/>
        <v>201612</v>
      </c>
      <c r="AT40" s="482">
        <f>AT3</f>
        <v>201701</v>
      </c>
      <c r="AU40" s="482">
        <f>AT40+1</f>
        <v>201702</v>
      </c>
      <c r="AV40" s="482">
        <f t="shared" ref="AV40" si="113">AU40+1</f>
        <v>201703</v>
      </c>
      <c r="AW40" s="482">
        <f t="shared" ref="AW40" si="114">AV40+1</f>
        <v>201704</v>
      </c>
      <c r="AX40" s="482">
        <f t="shared" ref="AX40" si="115">AW40+1</f>
        <v>201705</v>
      </c>
      <c r="AY40" s="482">
        <f t="shared" ref="AY40" si="116">AX40+1</f>
        <v>201706</v>
      </c>
      <c r="AZ40" s="482">
        <f t="shared" ref="AZ40" si="117">AY40+1</f>
        <v>201707</v>
      </c>
      <c r="BA40" s="587">
        <f t="shared" ref="BA40" si="118">AZ40+1</f>
        <v>201708</v>
      </c>
      <c r="BB40" s="482">
        <f t="shared" ref="BB40" si="119">BA40+1</f>
        <v>201709</v>
      </c>
      <c r="BC40" s="482">
        <f t="shared" ref="BC40" si="120">BB40+1</f>
        <v>201710</v>
      </c>
      <c r="BD40" s="482">
        <f t="shared" ref="BD40" si="121">BC40+1</f>
        <v>201711</v>
      </c>
      <c r="BE40" s="482">
        <f t="shared" ref="BE40" si="122">BD40+1</f>
        <v>201712</v>
      </c>
      <c r="BF40" s="577"/>
      <c r="BG40" s="559"/>
      <c r="BH40" s="482"/>
    </row>
    <row r="41" spans="1:64" s="481" customFormat="1" ht="16.5" thickBot="1">
      <c r="C41" s="483" t="s">
        <v>254</v>
      </c>
      <c r="D41" s="480"/>
      <c r="F41" s="486">
        <v>0.01</v>
      </c>
      <c r="G41" s="486">
        <v>0.01</v>
      </c>
      <c r="H41" s="486">
        <v>0.01</v>
      </c>
      <c r="I41" s="486">
        <v>0.01</v>
      </c>
      <c r="J41" s="486">
        <v>0.01</v>
      </c>
      <c r="K41" s="486">
        <v>0.01</v>
      </c>
      <c r="L41" s="486">
        <v>0.01</v>
      </c>
      <c r="M41" s="486">
        <v>0.01</v>
      </c>
      <c r="N41" s="486">
        <v>0.01</v>
      </c>
      <c r="O41" s="486">
        <v>0.01</v>
      </c>
      <c r="P41" s="486">
        <v>0.01</v>
      </c>
      <c r="Q41" s="486">
        <v>0.01</v>
      </c>
      <c r="R41" s="486">
        <v>0.01</v>
      </c>
      <c r="S41" s="486">
        <v>0.01</v>
      </c>
      <c r="T41" s="486">
        <v>0.01</v>
      </c>
      <c r="U41" s="486">
        <v>0.01</v>
      </c>
      <c r="V41" s="486">
        <v>0.01</v>
      </c>
      <c r="W41" s="486">
        <v>0.01</v>
      </c>
      <c r="X41" s="486">
        <v>0.01</v>
      </c>
      <c r="Y41" s="486">
        <v>0.01</v>
      </c>
      <c r="Z41" s="486">
        <v>0.01</v>
      </c>
      <c r="AA41" s="486">
        <v>0.01</v>
      </c>
      <c r="AB41" s="486">
        <v>0.01</v>
      </c>
      <c r="AC41" s="486">
        <v>0.01</v>
      </c>
      <c r="AD41" s="486">
        <v>0.01</v>
      </c>
      <c r="AE41" s="486">
        <v>0.01</v>
      </c>
      <c r="AF41" s="486">
        <v>0.01</v>
      </c>
      <c r="AG41" s="486">
        <v>0.01</v>
      </c>
      <c r="AH41" s="486">
        <v>0.01</v>
      </c>
      <c r="AI41" s="486">
        <v>0.01</v>
      </c>
      <c r="AJ41" s="486">
        <v>0.01</v>
      </c>
      <c r="AK41" s="486">
        <v>0.01</v>
      </c>
      <c r="AL41" s="486">
        <v>0.01</v>
      </c>
      <c r="AM41" s="486">
        <v>0.01</v>
      </c>
      <c r="AN41" s="486">
        <v>0.01</v>
      </c>
      <c r="AO41" s="586">
        <v>0.01</v>
      </c>
      <c r="AP41" s="486">
        <v>0.01</v>
      </c>
      <c r="AQ41" s="486">
        <v>0.01</v>
      </c>
      <c r="AR41" s="486">
        <v>0.01</v>
      </c>
      <c r="AS41" s="486">
        <v>0.01</v>
      </c>
      <c r="AT41" s="617">
        <v>0.01</v>
      </c>
      <c r="AU41" s="486"/>
      <c r="AV41" s="486"/>
      <c r="AW41" s="486"/>
      <c r="AX41" s="486"/>
      <c r="AY41" s="486"/>
      <c r="AZ41" s="486"/>
      <c r="BA41" s="586"/>
      <c r="BB41" s="486"/>
      <c r="BC41" s="486"/>
      <c r="BD41" s="486"/>
      <c r="BE41" s="486"/>
      <c r="BF41" s="577"/>
      <c r="BG41" s="511">
        <f>BG4</f>
        <v>201701</v>
      </c>
      <c r="BH41" s="524"/>
      <c r="BI41" s="512"/>
      <c r="BJ41" s="512"/>
      <c r="BK41" s="512"/>
      <c r="BL41" s="513"/>
    </row>
    <row r="42" spans="1:64">
      <c r="A42" s="491"/>
      <c r="B42" s="491"/>
      <c r="C42" s="479" t="s">
        <v>250</v>
      </c>
      <c r="F42" s="480">
        <f>'ID Amort 191000'!E225</f>
        <v>-50127.534716029098</v>
      </c>
      <c r="G42" s="480">
        <f>F47</f>
        <v>-5563.1478626091184</v>
      </c>
      <c r="H42" s="480">
        <f>G47</f>
        <v>122203.74560073584</v>
      </c>
      <c r="I42" s="480">
        <f>H47</f>
        <v>121907.05607206978</v>
      </c>
      <c r="J42" s="480">
        <v>119852.94737383818</v>
      </c>
      <c r="K42" s="480">
        <v>118194.61649829555</v>
      </c>
      <c r="L42" s="480">
        <v>116502.60587854413</v>
      </c>
      <c r="M42" s="480">
        <v>115212.90439619293</v>
      </c>
      <c r="N42" s="480">
        <v>114473.86025523143</v>
      </c>
      <c r="O42" s="480">
        <v>114114.58467165245</v>
      </c>
      <c r="P42" s="480">
        <v>113833.04129137883</v>
      </c>
      <c r="Q42" s="480">
        <v>113648.24883543415</v>
      </c>
      <c r="R42" s="480">
        <v>113440.57527008868</v>
      </c>
      <c r="S42" s="480">
        <v>113218.85686593875</v>
      </c>
      <c r="T42" s="480">
        <v>112675.82279763953</v>
      </c>
      <c r="U42" s="480">
        <f>T47</f>
        <v>-2186758.9002166959</v>
      </c>
      <c r="V42" s="480">
        <v>-1737468.3702166961</v>
      </c>
      <c r="W42" s="480">
        <f>V47</f>
        <v>-1379625.346046696</v>
      </c>
      <c r="X42" s="480">
        <f t="shared" ref="X42" si="123">W47</f>
        <v>-1139196.8415066958</v>
      </c>
      <c r="Y42" s="480">
        <f t="shared" ref="Y42" si="124">X47</f>
        <v>-927936.74257669575</v>
      </c>
      <c r="Z42" s="480">
        <f t="shared" ref="Z42" si="125">Y47</f>
        <v>-767403.9580847763</v>
      </c>
      <c r="AA42" s="480">
        <v>-685903.92338007619</v>
      </c>
      <c r="AB42" s="480">
        <v>-623363.07088572613</v>
      </c>
      <c r="AC42" s="480">
        <v>-564427.81872858922</v>
      </c>
      <c r="AD42" s="480">
        <f t="shared" ref="AD42" si="126">AC47</f>
        <v>-496357.29729955469</v>
      </c>
      <c r="AE42" s="480">
        <f t="shared" ref="AE42" si="127">AD47</f>
        <v>-416678.50147523766</v>
      </c>
      <c r="AF42" s="480">
        <f t="shared" ref="AF42" si="128">AE47</f>
        <v>-299312.54063388787</v>
      </c>
      <c r="AG42" s="480">
        <f>AF47</f>
        <v>-1658528.5495927494</v>
      </c>
      <c r="AH42" s="480">
        <f t="shared" ref="AH42:AS42" si="129">AG47</f>
        <v>-1317584.0800507434</v>
      </c>
      <c r="AI42" s="480">
        <f t="shared" si="129"/>
        <v>-983065.53286414407</v>
      </c>
      <c r="AJ42" s="480">
        <f t="shared" si="129"/>
        <v>-731100.32081221836</v>
      </c>
      <c r="AK42" s="480">
        <f t="shared" si="129"/>
        <v>-500233.0713481619</v>
      </c>
      <c r="AL42" s="480">
        <f t="shared" si="129"/>
        <v>-388052.25664285204</v>
      </c>
      <c r="AM42" s="480">
        <f t="shared" si="129"/>
        <v>-302311.59410241275</v>
      </c>
      <c r="AN42" s="480">
        <f t="shared" si="129"/>
        <v>-233827.69948376893</v>
      </c>
      <c r="AO42" s="480">
        <f t="shared" si="129"/>
        <v>-172084.16076408038</v>
      </c>
      <c r="AP42" s="480">
        <f>AO47</f>
        <v>-104004.25798317129</v>
      </c>
      <c r="AQ42" s="480">
        <f>AP47</f>
        <v>-33400.491537082271</v>
      </c>
      <c r="AR42" s="480">
        <f>AQ47</f>
        <v>121534.67583500767</v>
      </c>
      <c r="AS42" s="480">
        <f t="shared" si="129"/>
        <v>-6302479.3101892965</v>
      </c>
      <c r="AT42" s="480">
        <f>AS47</f>
        <v>-4876312.2000311213</v>
      </c>
      <c r="AU42" s="480">
        <f t="shared" ref="AU42" si="130">AT47</f>
        <v>-3394087.7102784473</v>
      </c>
      <c r="AV42" s="480">
        <f t="shared" ref="AV42" si="131">AU47</f>
        <v>-3073184.9869284471</v>
      </c>
      <c r="AW42" s="480">
        <f t="shared" ref="AW42" si="132">AV47</f>
        <v>-2798219.612948447</v>
      </c>
      <c r="AX42" s="480">
        <f t="shared" ref="AX42" si="133">AW47</f>
        <v>-2605353.6420684471</v>
      </c>
      <c r="AY42" s="480">
        <f t="shared" ref="AY42" si="134">AX47</f>
        <v>-2492543.7835884471</v>
      </c>
      <c r="AZ42" s="480">
        <f t="shared" ref="AZ42" si="135">AY47</f>
        <v>-2419253.843018447</v>
      </c>
      <c r="BA42" s="480">
        <f t="shared" ref="BA42" si="136">AZ47</f>
        <v>-2361287.9223684468</v>
      </c>
      <c r="BB42" s="480">
        <f>BA47</f>
        <v>-2293735.704008447</v>
      </c>
      <c r="BC42" s="480">
        <f>BB47</f>
        <v>-2223758.2083984469</v>
      </c>
      <c r="BD42" s="480">
        <f>BC47</f>
        <v>-2029625.4374784469</v>
      </c>
      <c r="BE42" s="480">
        <f t="shared" ref="BE42" si="137">BD47</f>
        <v>-8448056.0574784465</v>
      </c>
      <c r="BG42" s="495" t="s">
        <v>305</v>
      </c>
      <c r="BH42" s="525">
        <v>419600</v>
      </c>
      <c r="BI42" s="496" t="s">
        <v>285</v>
      </c>
      <c r="BJ42" s="496" t="s">
        <v>288</v>
      </c>
      <c r="BK42" s="517">
        <v>0</v>
      </c>
      <c r="BL42" s="518">
        <f>IF(SUMIF(AH40:BE40,BG41,AH44:BE44)&gt;0,SUMIF(AH40:BE40,BG41,AH44:BE44),0)</f>
        <v>0</v>
      </c>
    </row>
    <row r="43" spans="1:64">
      <c r="C43" s="479" t="s">
        <v>23</v>
      </c>
      <c r="D43" s="480">
        <f>SUM(AH43:AS43)</f>
        <v>3597815.1049799998</v>
      </c>
      <c r="E43" s="489">
        <f>SUM(AF43:AQ43)</f>
        <v>2061373.1049799998</v>
      </c>
      <c r="F43" s="480">
        <f>SUMPRODUCT(F19:F26,F31:F38)</f>
        <v>44587.581640000004</v>
      </c>
      <c r="G43" s="480">
        <v>-849.23</v>
      </c>
      <c r="H43" s="480">
        <v>-398.36</v>
      </c>
      <c r="I43" s="480">
        <f t="shared" ref="I43" si="138">SUMPRODUCT(I19:I26,I31:I38)</f>
        <v>-2064.0279</v>
      </c>
      <c r="J43" s="480">
        <v>-1757.4760499999998</v>
      </c>
      <c r="K43" s="480">
        <v>-1789.7603999999999</v>
      </c>
      <c r="L43" s="480">
        <v>-1386.2093999999997</v>
      </c>
      <c r="M43" s="480">
        <v>-834.70709999999985</v>
      </c>
      <c r="N43" s="480">
        <v>-454.48109999999997</v>
      </c>
      <c r="O43" s="480">
        <v>-376.48199999999997</v>
      </c>
      <c r="P43" s="480">
        <v>-279.53684999999996</v>
      </c>
      <c r="Q43" s="480">
        <v>-302.25450000000001</v>
      </c>
      <c r="R43" s="480">
        <v>-316.12049999999999</v>
      </c>
      <c r="S43" s="480">
        <v>-637.11764999999991</v>
      </c>
      <c r="T43" s="552">
        <v>313583.35999999999</v>
      </c>
      <c r="U43" s="552">
        <v>332991.17</v>
      </c>
      <c r="V43" s="480">
        <v>359140.18416999996</v>
      </c>
      <c r="W43" s="480">
        <f t="shared" ref="W43:X43" si="139">SUMPRODUCT(W19:W26,W31:W38)</f>
        <v>241476.50453999999</v>
      </c>
      <c r="X43" s="480">
        <f t="shared" si="139"/>
        <v>213416.55893</v>
      </c>
      <c r="Y43" s="480">
        <v>159796.52176</v>
      </c>
      <c r="Z43" s="480">
        <v>82105.327449999997</v>
      </c>
      <c r="AA43" s="480">
        <v>63086.153200000001</v>
      </c>
      <c r="AB43" s="480">
        <v>59429.958899999998</v>
      </c>
      <c r="AC43" s="480">
        <v>68512.331139999995</v>
      </c>
      <c r="AD43" s="480">
        <f t="shared" ref="AD43:AE43" si="140">SUMPRODUCT(AD19:AD26,AD31:AD38)</f>
        <v>80059.068960000004</v>
      </c>
      <c r="AE43" s="480">
        <f t="shared" si="140"/>
        <v>117664.16618999999</v>
      </c>
      <c r="AF43" s="480">
        <v>276700</v>
      </c>
      <c r="AG43" s="558">
        <v>342184</v>
      </c>
      <c r="AH43" s="558">
        <v>335476.75193999999</v>
      </c>
      <c r="AI43" s="558">
        <v>252679.15035000001</v>
      </c>
      <c r="AJ43" s="558">
        <v>231380.09135999999</v>
      </c>
      <c r="AK43" s="558">
        <v>112550.77944</v>
      </c>
      <c r="AL43" s="558">
        <v>86028.194340000002</v>
      </c>
      <c r="AM43" s="558">
        <v>68707.192949999997</v>
      </c>
      <c r="AN43" s="558">
        <v>61912.59822</v>
      </c>
      <c r="AO43" s="558">
        <v>68194.891709999996</v>
      </c>
      <c r="AP43" s="558">
        <v>70660.994579999999</v>
      </c>
      <c r="AQ43" s="558">
        <v>154898.46009000001</v>
      </c>
      <c r="AR43" s="558">
        <v>724503</v>
      </c>
      <c r="AS43" s="558">
        <v>1430823</v>
      </c>
      <c r="AT43" s="558">
        <f>SUMPRODUCT(AT19:AT24,AT31:AT36)</f>
        <v>1485669.0544799999</v>
      </c>
      <c r="AU43" s="558">
        <f t="shared" ref="AU43:AZ43" si="141">SUMPRODUCT(AU19:AU24,AU31:AU36)</f>
        <v>320902.72334999999</v>
      </c>
      <c r="AV43" s="558">
        <f t="shared" si="141"/>
        <v>274965.37397999997</v>
      </c>
      <c r="AW43" s="558">
        <f t="shared" si="141"/>
        <v>192865.97087999998</v>
      </c>
      <c r="AX43" s="558">
        <f t="shared" si="141"/>
        <v>112809.85848</v>
      </c>
      <c r="AY43" s="558">
        <f t="shared" si="141"/>
        <v>73289.940570000006</v>
      </c>
      <c r="AZ43" s="558">
        <f t="shared" si="141"/>
        <v>57965.92065</v>
      </c>
      <c r="BA43" s="558">
        <f>SUMPRODUCT(BA19:BA24,BA31:BA36)</f>
        <v>67552.218359999999</v>
      </c>
      <c r="BB43" s="558">
        <f>SUMPRODUCT(BB19:BB24,BB31:BB36)</f>
        <v>69977.495609999998</v>
      </c>
      <c r="BC43" s="558">
        <f>SUMPRODUCT(BC19:BC24,BC31:BC36)</f>
        <v>194132.77092000001</v>
      </c>
      <c r="BD43" s="558">
        <v>724503</v>
      </c>
      <c r="BE43" s="558">
        <v>1430823</v>
      </c>
      <c r="BG43" s="497" t="s">
        <v>306</v>
      </c>
      <c r="BH43" s="526">
        <v>431600</v>
      </c>
      <c r="BI43" s="356" t="s">
        <v>285</v>
      </c>
      <c r="BJ43" s="356" t="s">
        <v>288</v>
      </c>
      <c r="BK43" s="379">
        <f>IF(SUMIF(AH40:BE40,BG41,AH44:BE44)&lt;0,-SUMIF(AH40:BE40,BG41,AH44:BE44),0)</f>
        <v>3444.5647273259347</v>
      </c>
      <c r="BL43" s="498">
        <v>0</v>
      </c>
    </row>
    <row r="44" spans="1:64">
      <c r="C44" s="479" t="s">
        <v>4</v>
      </c>
      <c r="D44" s="480">
        <f t="shared" ref="D44:D46" si="142">SUM(AH44:AS44)</f>
        <v>-13609.604960377437</v>
      </c>
      <c r="E44" s="489">
        <f>SUM(AF44:AQ44)</f>
        <v>-6124.4585111043943</v>
      </c>
      <c r="F44" s="480">
        <f>(F42*(F41/12))+((F43/2)*(F41/12))</f>
        <v>-23.194786580024246</v>
      </c>
      <c r="G44" s="480">
        <f>((G42+G45)*(G41/12))+(((G43+G46)/2)*(G41/12))</f>
        <v>93.835916403610199</v>
      </c>
      <c r="H44" s="480">
        <f>(H42*(H41/12))+((H43/2)*(H41/12))</f>
        <v>101.67047133394655</v>
      </c>
      <c r="I44" s="487">
        <f>(I42*(I41/12))+((I43/2)*(I41/12))-90.81</f>
        <v>9.9192017683914884</v>
      </c>
      <c r="J44" s="487">
        <v>99.145174457365144</v>
      </c>
      <c r="K44" s="487">
        <v>97.74978024857964</v>
      </c>
      <c r="L44" s="487">
        <v>96.507917648786787</v>
      </c>
      <c r="M44" s="487">
        <v>95.662959038494108</v>
      </c>
      <c r="N44" s="487">
        <v>95.205516421026189</v>
      </c>
      <c r="O44" s="487">
        <v>94.938619726377041</v>
      </c>
      <c r="P44" s="487">
        <v>94.744394055315695</v>
      </c>
      <c r="Q44" s="487">
        <v>94.580934654528463</v>
      </c>
      <c r="R44" s="487">
        <v>94.402095850073906</v>
      </c>
      <c r="S44" s="487">
        <v>94.083581700782304</v>
      </c>
      <c r="T44" s="487">
        <f>(((T42+T45)*(T41/12))+(((T43+T46)/2)*(T41/12)))</f>
        <v>-1926.4530143353002</v>
      </c>
      <c r="U44" s="487">
        <v>-1683.55</v>
      </c>
      <c r="V44" s="487">
        <v>-1297.1600000000001</v>
      </c>
      <c r="W44" s="487">
        <v>-1047.99</v>
      </c>
      <c r="X44" s="487">
        <v>-859.33</v>
      </c>
      <c r="Y44" s="487">
        <v>-705.49726808057983</v>
      </c>
      <c r="Z44" s="487">
        <v>-605.29274529981353</v>
      </c>
      <c r="AA44" s="487">
        <v>-545.30070565006349</v>
      </c>
      <c r="AB44" s="487">
        <v>-494.70674286310515</v>
      </c>
      <c r="AC44" s="487">
        <v>-441.80971096549104</v>
      </c>
      <c r="AD44" s="487">
        <f t="shared" ref="AD44:AE44" si="143">((AD42*(AD41/12))+((AD43/2)*(AD41/12)))</f>
        <v>-380.27313568296228</v>
      </c>
      <c r="AE44" s="487">
        <f t="shared" si="143"/>
        <v>-298.20534865019806</v>
      </c>
      <c r="AF44" s="487">
        <f>((AF42+AF45)*(AF41/12))+(((AF43+AF46)/2)*(AF41/12))</f>
        <v>-1514.5789588615733</v>
      </c>
      <c r="AG44" s="487">
        <f t="shared" ref="AG44:AO44" si="144">((AG42*(AG41/12))+((AG43/2)*(AG41/12)))</f>
        <v>-1239.530457993958</v>
      </c>
      <c r="AH44" s="487">
        <f t="shared" si="144"/>
        <v>-958.20475340061967</v>
      </c>
      <c r="AI44" s="487">
        <f t="shared" si="144"/>
        <v>-713.93829807428676</v>
      </c>
      <c r="AJ44" s="487">
        <f t="shared" si="144"/>
        <v>-512.8418959435154</v>
      </c>
      <c r="AK44" s="487">
        <f t="shared" si="144"/>
        <v>-369.96473469013495</v>
      </c>
      <c r="AL44" s="487">
        <f t="shared" si="144"/>
        <v>-287.53179956071006</v>
      </c>
      <c r="AM44" s="487">
        <f t="shared" si="144"/>
        <v>-223.2983313561773</v>
      </c>
      <c r="AN44" s="487">
        <f t="shared" si="144"/>
        <v>-169.05950031147412</v>
      </c>
      <c r="AO44" s="487">
        <f t="shared" si="144"/>
        <v>-114.98892909090033</v>
      </c>
      <c r="AP44" s="487">
        <f>((AP42*(AP41/12))+((AP43/2)*(AP41/12)))</f>
        <v>-57.228133910976084</v>
      </c>
      <c r="AQ44" s="487">
        <f>((AQ42*(AQ41/12))+((AQ43/2)*(AQ41/12)))</f>
        <v>36.707282089931446</v>
      </c>
      <c r="AR44" s="555">
        <f>(((AR42+AR45)*(AR41/12))+(((AR43+AR46)/2)*(AR41/12)))</f>
        <v>-5583.3660243041613</v>
      </c>
      <c r="AS44" s="487">
        <f>((AS42*(AS41/12))+((AS43/2)*(AS41/12)))</f>
        <v>-4655.8898418244135</v>
      </c>
      <c r="AT44" s="487">
        <f>((AT42*(AT41/12))+((AT43/2)*(AT41/12)))</f>
        <v>-3444.5647273259347</v>
      </c>
      <c r="AU44" s="487">
        <f t="shared" ref="AU44:BB44" si="145">((AU42*(AU41/12))+((AU43/2)*(AU41/12)))</f>
        <v>0</v>
      </c>
      <c r="AV44" s="487">
        <f t="shared" si="145"/>
        <v>0</v>
      </c>
      <c r="AW44" s="487">
        <f t="shared" si="145"/>
        <v>0</v>
      </c>
      <c r="AX44" s="487">
        <f t="shared" si="145"/>
        <v>0</v>
      </c>
      <c r="AY44" s="487">
        <f t="shared" si="145"/>
        <v>0</v>
      </c>
      <c r="AZ44" s="487">
        <f t="shared" si="145"/>
        <v>0</v>
      </c>
      <c r="BA44" s="487">
        <f t="shared" si="145"/>
        <v>0</v>
      </c>
      <c r="BB44" s="487">
        <f t="shared" si="145"/>
        <v>0</v>
      </c>
      <c r="BC44" s="487">
        <f>((BC42*(BC41/12))+((BC43/2)*(BC41/12)))</f>
        <v>0</v>
      </c>
      <c r="BD44" s="555">
        <f>(((BD42+BD45)*(BD41/12))+(((BD43+BD46)/2)*(BD41/12)))</f>
        <v>0</v>
      </c>
      <c r="BE44" s="487">
        <f>((BE42*(BE41/12))+((BE43/2)*(BE41/12)))</f>
        <v>0</v>
      </c>
      <c r="BG44" s="497" t="s">
        <v>307</v>
      </c>
      <c r="BH44" s="526">
        <v>191000</v>
      </c>
      <c r="BI44" s="356" t="s">
        <v>285</v>
      </c>
      <c r="BJ44" s="356" t="s">
        <v>288</v>
      </c>
      <c r="BK44" s="379">
        <f>IF((SUMIF(AH40:BE40,BG41,AH43:BE43)+SUMIF(AH40:BE40,BG41,AH44:BE44))&gt;0,(SUMIF(AH40:BE40,BG41,AH43:BE43)+SUMIF(AH40:BE40,BG41,AH44:BE44)),0)</f>
        <v>1482224.489752674</v>
      </c>
      <c r="BL44" s="498">
        <f>IF((SUMIF(AH40:BE40,BG41,AH43:BE43)+SUMIF(AH40:BE40,BG41,AH44:BE44))&lt;0,-(SUMIF(AH40:BE40,BG41,AH43:BE43)+SUMIF(AH40:BE40,BG41,AH44:BE44)),0)</f>
        <v>0</v>
      </c>
    </row>
    <row r="45" spans="1:64">
      <c r="C45" s="479" t="s">
        <v>256</v>
      </c>
      <c r="D45" s="480">
        <f t="shared" si="142"/>
        <v>-7224717.1900000004</v>
      </c>
      <c r="F45" s="480">
        <v>0</v>
      </c>
      <c r="G45" s="488">
        <v>108659.43754694135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552">
        <v>-2551330.61</v>
      </c>
      <c r="U45" s="480">
        <v>0</v>
      </c>
      <c r="V45" s="480">
        <v>0</v>
      </c>
      <c r="W45" s="480">
        <v>0</v>
      </c>
      <c r="X45" s="480">
        <v>0</v>
      </c>
      <c r="Y45" s="480">
        <v>0</v>
      </c>
      <c r="Z45" s="480">
        <v>0</v>
      </c>
      <c r="AA45" s="480">
        <v>0</v>
      </c>
      <c r="AB45" s="480">
        <v>0</v>
      </c>
      <c r="AC45" s="480">
        <v>0</v>
      </c>
      <c r="AD45" s="480">
        <v>0</v>
      </c>
      <c r="AE45" s="480">
        <v>0</v>
      </c>
      <c r="AF45" s="552">
        <v>-1678662.99</v>
      </c>
      <c r="AG45" s="480">
        <v>0</v>
      </c>
      <c r="AH45" s="480">
        <v>0</v>
      </c>
      <c r="AI45" s="480">
        <v>0</v>
      </c>
      <c r="AJ45" s="480">
        <v>0</v>
      </c>
      <c r="AK45" s="480">
        <v>0</v>
      </c>
      <c r="AL45" s="480">
        <v>0</v>
      </c>
      <c r="AM45" s="480">
        <v>0</v>
      </c>
      <c r="AN45" s="480">
        <v>0</v>
      </c>
      <c r="AO45" s="480">
        <v>0</v>
      </c>
      <c r="AP45" s="480">
        <v>0</v>
      </c>
      <c r="AQ45" s="480">
        <v>0</v>
      </c>
      <c r="AR45" s="607">
        <v>-7224717.1900000004</v>
      </c>
      <c r="AS45" s="480">
        <v>0</v>
      </c>
      <c r="AT45" s="480">
        <v>0</v>
      </c>
      <c r="AU45" s="480">
        <v>0</v>
      </c>
      <c r="AV45" s="480">
        <v>0</v>
      </c>
      <c r="AW45" s="480">
        <v>0</v>
      </c>
      <c r="AX45" s="480">
        <v>0</v>
      </c>
      <c r="AY45" s="480">
        <v>0</v>
      </c>
      <c r="AZ45" s="480">
        <v>0</v>
      </c>
      <c r="BA45" s="480">
        <v>0</v>
      </c>
      <c r="BB45" s="480">
        <v>0</v>
      </c>
      <c r="BC45" s="480">
        <v>0</v>
      </c>
      <c r="BD45" s="607">
        <v>-7224717.1900000004</v>
      </c>
      <c r="BE45" s="480">
        <v>0</v>
      </c>
      <c r="BG45" s="497" t="s">
        <v>308</v>
      </c>
      <c r="BH45" s="526">
        <v>805110</v>
      </c>
      <c r="BI45" s="356" t="s">
        <v>285</v>
      </c>
      <c r="BJ45" s="356" t="s">
        <v>288</v>
      </c>
      <c r="BK45" s="379">
        <f>IF((SUMIF(AH40:BE40,BG41,AH43:BE43))&lt;0,-(SUMIF(AH40:BE40,BG41,AH43:BE43)),0)</f>
        <v>0</v>
      </c>
      <c r="BL45" s="498">
        <f>IF((SUMIF(AH40:BE40,BG41,AH43:BE43))&gt;0,(SUMIF(AH40:BE40,BG41,AH43:BE43)),0)</f>
        <v>1485669.0544799999</v>
      </c>
    </row>
    <row r="46" spans="1:64">
      <c r="C46" s="479" t="s">
        <v>148</v>
      </c>
      <c r="D46" s="480">
        <f t="shared" si="142"/>
        <v>81783.570000000007</v>
      </c>
      <c r="F46" s="480">
        <v>0</v>
      </c>
      <c r="G46" s="488">
        <v>19862.850000000002</v>
      </c>
      <c r="H46" s="480">
        <v>0</v>
      </c>
      <c r="I46" s="480">
        <v>0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552">
        <v>-59761.02</v>
      </c>
      <c r="U46" s="558">
        <f>119522.06-1539.15</f>
        <v>117982.91</v>
      </c>
      <c r="V46" s="480">
        <v>0</v>
      </c>
      <c r="W46" s="480">
        <v>-0.01</v>
      </c>
      <c r="X46" s="480">
        <v>-1297.1300000000001</v>
      </c>
      <c r="Y46" s="480">
        <v>1441.76</v>
      </c>
      <c r="Z46" s="480">
        <v>0</v>
      </c>
      <c r="AA46" s="480">
        <v>0</v>
      </c>
      <c r="AB46" s="480">
        <v>0</v>
      </c>
      <c r="AC46" s="480">
        <v>0</v>
      </c>
      <c r="AD46" s="480">
        <v>0</v>
      </c>
      <c r="AE46" s="480">
        <v>0</v>
      </c>
      <c r="AF46" s="552">
        <v>44261.56</v>
      </c>
      <c r="AG46" s="480">
        <v>0</v>
      </c>
      <c r="AH46" s="480">
        <v>0</v>
      </c>
      <c r="AI46" s="480">
        <v>0</v>
      </c>
      <c r="AJ46" s="480">
        <v>0</v>
      </c>
      <c r="AK46" s="480">
        <v>0</v>
      </c>
      <c r="AL46" s="480">
        <v>0</v>
      </c>
      <c r="AM46" s="480">
        <v>0</v>
      </c>
      <c r="AN46" s="480">
        <v>0</v>
      </c>
      <c r="AO46" s="480">
        <v>0</v>
      </c>
      <c r="AP46" s="480">
        <v>0</v>
      </c>
      <c r="AQ46" s="480">
        <v>0</v>
      </c>
      <c r="AR46" s="558">
        <v>81783.570000000007</v>
      </c>
      <c r="AS46" s="480">
        <v>0</v>
      </c>
      <c r="AT46" s="480">
        <v>0</v>
      </c>
      <c r="AU46" s="480">
        <v>0</v>
      </c>
      <c r="AV46" s="480">
        <v>0</v>
      </c>
      <c r="AW46" s="480">
        <v>0</v>
      </c>
      <c r="AX46" s="480">
        <v>0</v>
      </c>
      <c r="AY46" s="480">
        <v>0</v>
      </c>
      <c r="AZ46" s="480">
        <v>0</v>
      </c>
      <c r="BA46" s="480">
        <v>0</v>
      </c>
      <c r="BB46" s="480">
        <v>0</v>
      </c>
      <c r="BC46" s="480">
        <v>0</v>
      </c>
      <c r="BD46" s="558">
        <v>81783.570000000007</v>
      </c>
      <c r="BE46" s="480">
        <v>0</v>
      </c>
      <c r="BG46" s="497" t="s">
        <v>156</v>
      </c>
      <c r="BH46" s="526">
        <f t="shared" ref="BH46:BJ47" si="146">BH44</f>
        <v>191000</v>
      </c>
      <c r="BI46" s="526" t="str">
        <f t="shared" si="146"/>
        <v>GD</v>
      </c>
      <c r="BJ46" s="526" t="str">
        <f t="shared" si="146"/>
        <v>ID</v>
      </c>
      <c r="BK46" s="379">
        <v>0</v>
      </c>
      <c r="BL46" s="498">
        <v>0</v>
      </c>
    </row>
    <row r="47" spans="1:64" ht="16.5" thickBot="1">
      <c r="C47" s="479" t="s">
        <v>56</v>
      </c>
      <c r="D47" s="539"/>
      <c r="E47" s="539"/>
      <c r="F47" s="539">
        <f>SUM(F42:F46)</f>
        <v>-5563.1478626091184</v>
      </c>
      <c r="G47" s="539">
        <f t="shared" ref="G47:I47" si="147">SUM(G42:G46)</f>
        <v>122203.74560073584</v>
      </c>
      <c r="H47" s="539">
        <f t="shared" si="147"/>
        <v>121907.05607206978</v>
      </c>
      <c r="I47" s="539">
        <f t="shared" si="147"/>
        <v>119852.94737383818</v>
      </c>
      <c r="J47" s="539">
        <v>118194.61649829555</v>
      </c>
      <c r="K47" s="539">
        <v>116502.60587854413</v>
      </c>
      <c r="L47" s="539">
        <v>115212.90439619293</v>
      </c>
      <c r="M47" s="539">
        <v>114473.86025523143</v>
      </c>
      <c r="N47" s="539">
        <v>114114.58467165245</v>
      </c>
      <c r="O47" s="539">
        <v>113833.04129137883</v>
      </c>
      <c r="P47" s="539">
        <v>113648.24883543415</v>
      </c>
      <c r="Q47" s="539">
        <v>113440.57527008868</v>
      </c>
      <c r="R47" s="539">
        <v>113218.85686593875</v>
      </c>
      <c r="S47" s="539">
        <v>112675.82279763953</v>
      </c>
      <c r="T47" s="539">
        <f>SUM(T42:T46)</f>
        <v>-2186758.9002166959</v>
      </c>
      <c r="U47" s="539">
        <f>SUM(U42:U46)</f>
        <v>-1737468.3702166961</v>
      </c>
      <c r="V47" s="539">
        <f>SUM(V42:V46)</f>
        <v>-1379625.346046696</v>
      </c>
      <c r="W47" s="539">
        <f t="shared" ref="W47:AR47" si="148">SUM(W42:W46)</f>
        <v>-1139196.8415066958</v>
      </c>
      <c r="X47" s="539">
        <f t="shared" si="148"/>
        <v>-927936.74257669575</v>
      </c>
      <c r="Y47" s="539">
        <f t="shared" si="148"/>
        <v>-767403.9580847763</v>
      </c>
      <c r="Z47" s="539">
        <f t="shared" si="148"/>
        <v>-685903.92338007619</v>
      </c>
      <c r="AA47" s="539">
        <f t="shared" si="148"/>
        <v>-623363.07088572613</v>
      </c>
      <c r="AB47" s="539">
        <f t="shared" si="148"/>
        <v>-564427.81872858922</v>
      </c>
      <c r="AC47" s="539">
        <f t="shared" si="148"/>
        <v>-496357.29729955469</v>
      </c>
      <c r="AD47" s="539">
        <f t="shared" si="148"/>
        <v>-416678.50147523766</v>
      </c>
      <c r="AE47" s="539">
        <f t="shared" si="148"/>
        <v>-299312.54063388787</v>
      </c>
      <c r="AF47" s="539">
        <f t="shared" si="148"/>
        <v>-1658528.5495927494</v>
      </c>
      <c r="AG47" s="539">
        <f t="shared" si="148"/>
        <v>-1317584.0800507434</v>
      </c>
      <c r="AH47" s="539">
        <f t="shared" si="148"/>
        <v>-983065.53286414407</v>
      </c>
      <c r="AI47" s="539">
        <f t="shared" si="148"/>
        <v>-731100.32081221836</v>
      </c>
      <c r="AJ47" s="539">
        <f t="shared" si="148"/>
        <v>-500233.0713481619</v>
      </c>
      <c r="AK47" s="539">
        <f t="shared" si="148"/>
        <v>-388052.25664285204</v>
      </c>
      <c r="AL47" s="539">
        <f t="shared" si="148"/>
        <v>-302311.59410241275</v>
      </c>
      <c r="AM47" s="539">
        <f t="shared" si="148"/>
        <v>-233827.69948376893</v>
      </c>
      <c r="AN47" s="539">
        <f t="shared" si="148"/>
        <v>-172084.16076408038</v>
      </c>
      <c r="AO47" s="539">
        <f t="shared" si="148"/>
        <v>-104004.25798317129</v>
      </c>
      <c r="AP47" s="539">
        <f t="shared" si="148"/>
        <v>-33400.491537082271</v>
      </c>
      <c r="AQ47" s="539">
        <f t="shared" si="148"/>
        <v>121534.67583500767</v>
      </c>
      <c r="AR47" s="539">
        <f t="shared" si="148"/>
        <v>-6302479.3101892965</v>
      </c>
      <c r="AS47" s="539">
        <f>SUM(AS42:AS46)</f>
        <v>-4876312.2000311213</v>
      </c>
      <c r="AT47" s="539">
        <f t="shared" ref="AT47:BD47" si="149">SUM(AT42:AT46)</f>
        <v>-3394087.7102784473</v>
      </c>
      <c r="AU47" s="539">
        <f t="shared" si="149"/>
        <v>-3073184.9869284471</v>
      </c>
      <c r="AV47" s="539">
        <f t="shared" si="149"/>
        <v>-2798219.612948447</v>
      </c>
      <c r="AW47" s="539">
        <f t="shared" si="149"/>
        <v>-2605353.6420684471</v>
      </c>
      <c r="AX47" s="539">
        <f t="shared" si="149"/>
        <v>-2492543.7835884471</v>
      </c>
      <c r="AY47" s="539">
        <f t="shared" si="149"/>
        <v>-2419253.843018447</v>
      </c>
      <c r="AZ47" s="539">
        <f t="shared" si="149"/>
        <v>-2361287.9223684468</v>
      </c>
      <c r="BA47" s="539">
        <f t="shared" si="149"/>
        <v>-2293735.704008447</v>
      </c>
      <c r="BB47" s="539">
        <f t="shared" si="149"/>
        <v>-2223758.2083984469</v>
      </c>
      <c r="BC47" s="539">
        <f t="shared" si="149"/>
        <v>-2029625.4374784469</v>
      </c>
      <c r="BD47" s="539">
        <f t="shared" si="149"/>
        <v>-8448056.0574784465</v>
      </c>
      <c r="BE47" s="539">
        <f>SUM(BE42:BE46)</f>
        <v>-7017233.0574784465</v>
      </c>
      <c r="BG47" s="499" t="str">
        <f>BG46</f>
        <v>Large Customer Refund</v>
      </c>
      <c r="BH47" s="527">
        <f t="shared" si="146"/>
        <v>805110</v>
      </c>
      <c r="BI47" s="527" t="str">
        <f t="shared" si="146"/>
        <v>GD</v>
      </c>
      <c r="BJ47" s="527" t="str">
        <f t="shared" si="146"/>
        <v>ID</v>
      </c>
      <c r="BK47" s="501">
        <v>0</v>
      </c>
      <c r="BL47" s="519">
        <f>BK46</f>
        <v>0</v>
      </c>
    </row>
    <row r="48" spans="1:64" ht="17.25" thickTop="1" thickBot="1">
      <c r="C48" s="479" t="s">
        <v>257</v>
      </c>
      <c r="F48" s="480">
        <f>_xll.Get_Balance(F40,"YTD","USD","Total","A","","001",$A$40,"GD","ID","DL")</f>
        <v>-5563.17</v>
      </c>
      <c r="G48" s="480">
        <f>_xll.Get_Balance(G40,"YTD","USD","Total","A","","001",$A$40,"GD","ID","DL")</f>
        <v>122113.18</v>
      </c>
      <c r="H48" s="480">
        <f>_xll.Get_Balance(H40,"YTD","USD","Total","A","","001",$A$40,"GD","ID","DL")</f>
        <v>121816.41</v>
      </c>
      <c r="I48" s="480">
        <f>_xll.Get_Balance(I40,"YTD","USD","Total","A","","001",$A$40,"GD","ID","DL")</f>
        <v>119852.95</v>
      </c>
      <c r="J48" s="480">
        <v>118194.62</v>
      </c>
      <c r="K48" s="480">
        <v>116502.61</v>
      </c>
      <c r="L48" s="480">
        <v>115212.91</v>
      </c>
      <c r="M48" s="480">
        <v>114473.87</v>
      </c>
      <c r="N48" s="480">
        <v>114114.59</v>
      </c>
      <c r="O48" s="480">
        <v>113833.05</v>
      </c>
      <c r="P48" s="480">
        <v>113927.91</v>
      </c>
      <c r="Q48" s="480">
        <v>113440.59</v>
      </c>
      <c r="R48" s="480">
        <v>113218.87</v>
      </c>
      <c r="S48" s="480">
        <v>112675.84</v>
      </c>
      <c r="T48" s="480">
        <f>_xll.Get_Balance(T40,"YTD","USD","Total","A","","001",$A$40,"GD","ID","DL")</f>
        <v>-2186758.9</v>
      </c>
      <c r="U48" s="480">
        <f>_xll.Get_Balance(U40,"YTD","USD","Total","A","","001",$A$40,"GD","ID","DL")</f>
        <v>-1737468.37</v>
      </c>
      <c r="V48" s="480">
        <f>_xll.Get_Balance(V40,"YTD","USD","Total","A","","001",$A$40,"GD","ID","DL")</f>
        <v>-1379625.35</v>
      </c>
      <c r="W48" s="480">
        <f>_xll.Get_Balance(W40,"YTD","USD","Total","A","","001",$A$40,"GD","ID","DL")</f>
        <v>-1139196.8400000001</v>
      </c>
      <c r="X48" s="480">
        <f>_xll.Get_Balance(X40,"YTD","USD","Total","A","","001",$A$40,"GD","ID","DL")</f>
        <v>-927936.74</v>
      </c>
      <c r="Y48" s="480">
        <f>_xll.Get_Balance(Y40,"YTD","USD","Total","A","","001",$A$40,"GD","ID","DL")</f>
        <v>-767403.96</v>
      </c>
      <c r="Z48" s="480">
        <f>_xll.Get_Balance(Z40,"YTD","USD","Total","A","","001",$A$40,"GD","ID","DL")</f>
        <v>-685903.92</v>
      </c>
      <c r="AA48" s="480">
        <f>_xll.Get_Balance(AA40,"YTD","USD","Total","A","","001",$A$40,"GD","ID","DL")</f>
        <v>-623363.06999999995</v>
      </c>
      <c r="AB48" s="480">
        <f>_xll.Get_Balance(AB40,"YTD","USD","Total","A","","001",$A$40,"GD","ID","DL")</f>
        <v>-564427.81999999995</v>
      </c>
      <c r="AC48" s="480">
        <f>_xll.Get_Balance(AC40,"YTD","USD","Total","A","","001",$A$40,"GD","ID","DL")</f>
        <v>-496357.3</v>
      </c>
      <c r="AD48" s="480">
        <f>_xll.Get_Balance(AD40,"YTD","USD","Total","A","","001",$A$40,"GD","ID","DL")</f>
        <v>-416678.5</v>
      </c>
      <c r="AE48" s="480">
        <f>_xll.Get_Balance(AE40,"YTD","USD","Total","A","","001",$A$40,"GD","ID","DL")</f>
        <v>-299312.53999999998</v>
      </c>
      <c r="AF48" s="480">
        <f>_xll.Get_Balance(AF40,"YTD","USD","Total","A","","001",$A$40,"GD","ID","DL")</f>
        <v>-1658528.55</v>
      </c>
      <c r="AG48" s="480">
        <f>_xll.Get_Balance(AG40,"YTD","USD","Total","A","","001",$A$40,"GD","ID","DL")</f>
        <v>-1317584.08</v>
      </c>
      <c r="AH48" s="480">
        <f>_xll.Get_Balance(AH40,"YTD","USD","Total","A","","001",$A$40,"GD","ID","DL")</f>
        <v>-983065.53</v>
      </c>
      <c r="AI48" s="480">
        <f>_xll.Get_Balance(AI40,"YTD","USD","Total","A","","001",$A$40,"GD","ID","DL")</f>
        <v>-731100.32</v>
      </c>
      <c r="AJ48" s="480">
        <f>_xll.Get_Balance(AJ40,"YTD","USD","Total","A","","001",$A$40,"GD","ID","DL")</f>
        <v>-500233.07</v>
      </c>
      <c r="AK48" s="480">
        <f>_xll.Get_Balance(AK40,"YTD","USD","Total","A","","001",$A$40,"GD","ID","DL")</f>
        <v>-388052.25</v>
      </c>
      <c r="AL48" s="480">
        <f>_xll.Get_Balance(AL40,"YTD","USD","Total","A","","001",$A$40,"GD","ID","DL")</f>
        <v>-302311.59000000003</v>
      </c>
      <c r="AM48" s="480">
        <f>_xll.Get_Balance(AM40,"YTD","USD","Total","A","","001",$A$40,"GD","ID","DL")</f>
        <v>-233827.7</v>
      </c>
      <c r="AN48" s="480">
        <f>_xll.Get_Balance(AN40,"YTD","USD","Total","A","","001",$A$40,"GD","ID","DL")</f>
        <v>-172084.16</v>
      </c>
      <c r="AO48" s="480">
        <f>_xll.Get_Balance(AO40,"YTD","USD","Total","A","","001",$A$40,"GD","ID","DL")</f>
        <v>-104004.26</v>
      </c>
      <c r="AP48" s="480">
        <f>_xll.Get_Balance(AP40,"YTD","USD","Total","A","","001",$A$40,"GD","ID","DL")</f>
        <v>-33400.49</v>
      </c>
      <c r="AQ48" s="480">
        <f>_xll.Get_Balance(AQ40,"YTD","USD","Total","A","","001",$A$40,"GD","ID","DL")</f>
        <v>121534.68</v>
      </c>
      <c r="AR48" s="480">
        <f>_xll.Get_Balance(AR40,"YTD","USD","Total","A","","001",$A$40,"GD","ID","DL")</f>
        <v>-6302479.3099999996</v>
      </c>
      <c r="AS48" s="480">
        <f>_xll.Get_Balance(AS40,"YTD","USD","Total","A","","001",$A$40,"GD","ID","DL")</f>
        <v>-4876312.2</v>
      </c>
      <c r="AT48" s="480">
        <f>_xll.Get_Balance(AT40,"YTD","USD","Total","A","","001",$A$40,"GD","ID","DL")</f>
        <v>-3394087.71</v>
      </c>
      <c r="AU48" s="480">
        <f>_xll.Get_Balance(AU40,"YTD","USD","Total","A","","001",$A$40,"GD","ID","DL")</f>
        <v>-2356091.62</v>
      </c>
      <c r="AV48" s="480">
        <f>_xll.Get_Balance(AV40,"YTD","USD","Total","A","","001",$A$40,"GD","ID","DL")</f>
        <v>-1466224.97</v>
      </c>
      <c r="AW48" s="480">
        <f>_xll.Get_Balance(AW40,"YTD","USD","Total","A","","001",$A$40,"GD","ID","DL")</f>
        <v>-841900.17</v>
      </c>
      <c r="AX48" s="480">
        <f>_xll.Get_Balance(AX40,"YTD","USD","Total","A","","001",$A$40,"GD","ID","DL")</f>
        <v>-476711.24</v>
      </c>
      <c r="AY48" s="480">
        <f>_xll.Get_Balance(AY40,"YTD","USD","Total","A","","001",$A$40,"GD","ID","DL")</f>
        <v>-239397.94</v>
      </c>
      <c r="AZ48" s="480">
        <f>_xll.Get_Balance(AZ40,"YTD","USD","Total","A","","001",$A$40,"GD","ID","DL")</f>
        <v>-51589.22</v>
      </c>
      <c r="BA48" s="480">
        <f>_xll.Get_Balance(BA40,"YTD","USD","Total","A","","001",$A$40,"GD","ID","DL")</f>
        <v>167468.46</v>
      </c>
      <c r="BB48" s="480">
        <f>_xll.Get_Balance(BB40,"YTD","USD","Total","A","","001",$A$40,"GD","ID","DL")</f>
        <v>394574.9</v>
      </c>
      <c r="BC48" s="480">
        <f>_xll.Get_Balance(BC40,"YTD","USD","Total","A","","001",$A$40,"GD","ID","DL")</f>
        <v>394574.9</v>
      </c>
      <c r="BD48" s="480">
        <f>_xll.Get_Balance(BD40,"YTD","USD","Total","A","","001",$A$40,"GD","ID","DL")</f>
        <v>394574.9</v>
      </c>
      <c r="BE48" s="480">
        <f>_xll.Get_Balance(BE40,"YTD","USD","Total","A","","001",$A$40,"GD","ID","DL")</f>
        <v>0</v>
      </c>
      <c r="BG48" s="514"/>
      <c r="BH48" s="528"/>
      <c r="BI48" s="515"/>
      <c r="BJ48" s="515"/>
      <c r="BK48" s="515" t="s">
        <v>159</v>
      </c>
      <c r="BL48" s="516">
        <f>SUM(BK42:BK47)-SUM(BL42:BL47)</f>
        <v>0</v>
      </c>
    </row>
    <row r="49" spans="1:58">
      <c r="C49" s="479" t="s">
        <v>243</v>
      </c>
      <c r="F49" s="480">
        <f t="shared" ref="F49:I49" si="150">F47-F48</f>
        <v>2.2137390881653118E-2</v>
      </c>
      <c r="G49" s="480">
        <f t="shared" si="150"/>
        <v>90.56560073584842</v>
      </c>
      <c r="H49" s="480">
        <f t="shared" si="150"/>
        <v>90.646072069779621</v>
      </c>
      <c r="I49" s="480">
        <f t="shared" si="150"/>
        <v>-2.6261618186254054E-3</v>
      </c>
      <c r="J49" s="480">
        <v>-3.5017044428968802E-3</v>
      </c>
      <c r="K49" s="480">
        <v>-4.1214558732463047E-3</v>
      </c>
      <c r="L49" s="480">
        <v>-5.6038070761132985E-3</v>
      </c>
      <c r="M49" s="480">
        <v>-9.7447685693623498E-3</v>
      </c>
      <c r="N49" s="480">
        <v>-5.3283475426724181E-3</v>
      </c>
      <c r="O49" s="480">
        <v>-8.7086211715359241E-3</v>
      </c>
      <c r="P49" s="480">
        <v>-279.66116456585587</v>
      </c>
      <c r="Q49" s="480">
        <v>-1.4729911315953359E-2</v>
      </c>
      <c r="R49" s="480">
        <v>-1.3134061242453754E-2</v>
      </c>
      <c r="S49" s="480">
        <v>-1.7202360468218103E-2</v>
      </c>
      <c r="T49" s="480">
        <f>T47-T48</f>
        <v>-2.1669594570994377E-4</v>
      </c>
      <c r="U49" s="480">
        <f>U47-U48</f>
        <v>-2.1669594570994377E-4</v>
      </c>
      <c r="V49" s="480">
        <f>V47-V48</f>
        <v>3.9533041417598724E-3</v>
      </c>
      <c r="W49" s="480">
        <f t="shared" ref="W49:Y49" si="151">W47-W48</f>
        <v>-1.506695756688714E-3</v>
      </c>
      <c r="X49" s="480">
        <f t="shared" si="151"/>
        <v>-2.5766957551240921E-3</v>
      </c>
      <c r="Y49" s="480">
        <f t="shared" si="151"/>
        <v>1.9152236636728048E-3</v>
      </c>
      <c r="Z49" s="480">
        <f t="shared" ref="Z49:AR49" si="152">Z47-Z48</f>
        <v>-3.3800761448219419E-3</v>
      </c>
      <c r="AA49" s="480">
        <f t="shared" si="152"/>
        <v>-8.8572618551552296E-4</v>
      </c>
      <c r="AB49" s="480">
        <f t="shared" si="152"/>
        <v>1.2714107288047671E-3</v>
      </c>
      <c r="AC49" s="480">
        <f t="shared" si="152"/>
        <v>2.7004453004337847E-3</v>
      </c>
      <c r="AD49" s="480">
        <f t="shared" si="152"/>
        <v>-1.4752376591786742E-3</v>
      </c>
      <c r="AE49" s="480">
        <f t="shared" si="152"/>
        <v>-6.3388788839802146E-4</v>
      </c>
      <c r="AF49" s="480">
        <f t="shared" si="152"/>
        <v>4.0725059807300568E-4</v>
      </c>
      <c r="AG49" s="480">
        <f t="shared" si="152"/>
        <v>-5.0743343308568001E-5</v>
      </c>
      <c r="AH49" s="480">
        <f>AH47-AH48</f>
        <v>-2.8641440439969301E-3</v>
      </c>
      <c r="AI49" s="480">
        <f t="shared" si="152"/>
        <v>-8.1221840810030699E-4</v>
      </c>
      <c r="AJ49" s="480">
        <f t="shared" si="152"/>
        <v>-1.3481618952937424E-3</v>
      </c>
      <c r="AK49" s="480">
        <f t="shared" si="152"/>
        <v>-6.6428520367480814E-3</v>
      </c>
      <c r="AL49" s="480">
        <f t="shared" si="152"/>
        <v>-4.1024127276614308E-3</v>
      </c>
      <c r="AM49" s="480">
        <f t="shared" si="152"/>
        <v>5.1623108447529376E-4</v>
      </c>
      <c r="AN49" s="480">
        <f t="shared" si="152"/>
        <v>-7.6408038148656487E-4</v>
      </c>
      <c r="AO49" s="480">
        <f t="shared" si="152"/>
        <v>2.0168287010164931E-3</v>
      </c>
      <c r="AP49" s="480">
        <f t="shared" si="152"/>
        <v>-1.5370822729892097E-3</v>
      </c>
      <c r="AQ49" s="480">
        <f>AQ47-AQ48</f>
        <v>-4.1649923223303631E-3</v>
      </c>
      <c r="AR49" s="480">
        <f t="shared" si="152"/>
        <v>-1.892969012260437E-4</v>
      </c>
      <c r="AS49" s="480">
        <f>AS47-AS48</f>
        <v>-3.112107515335083E-5</v>
      </c>
      <c r="AT49" s="480">
        <f t="shared" ref="AT49:BB49" si="153">AT47-AT48</f>
        <v>-2.7844728901982307E-4</v>
      </c>
      <c r="AU49" s="480">
        <f t="shared" si="153"/>
        <v>-717093.36692844704</v>
      </c>
      <c r="AV49" s="480">
        <f t="shared" si="153"/>
        <v>-1331994.642948447</v>
      </c>
      <c r="AW49" s="480">
        <f t="shared" si="153"/>
        <v>-1763453.4720684472</v>
      </c>
      <c r="AX49" s="480">
        <f t="shared" si="153"/>
        <v>-2015832.5435884472</v>
      </c>
      <c r="AY49" s="480">
        <f t="shared" si="153"/>
        <v>-2179855.9030184471</v>
      </c>
      <c r="AZ49" s="480">
        <f t="shared" si="153"/>
        <v>-2309698.7023684466</v>
      </c>
      <c r="BA49" s="480">
        <f t="shared" si="153"/>
        <v>-2461204.164008447</v>
      </c>
      <c r="BB49" s="480">
        <f t="shared" si="153"/>
        <v>-2618333.1083984468</v>
      </c>
      <c r="BC49" s="480">
        <f>BC47-BC48</f>
        <v>-2424200.3374784468</v>
      </c>
      <c r="BD49" s="480">
        <f t="shared" ref="BD49" si="154">BD47-BD48</f>
        <v>-8842630.9574784469</v>
      </c>
      <c r="BE49" s="480">
        <f>BE47-BE48</f>
        <v>-7017233.0574784465</v>
      </c>
    </row>
    <row r="50" spans="1:58">
      <c r="A50" s="481" t="s">
        <v>289</v>
      </c>
      <c r="B50" s="481" t="s">
        <v>330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</row>
    <row r="51" spans="1:58">
      <c r="A51" s="534">
        <v>191015</v>
      </c>
      <c r="B51" s="534">
        <v>191015</v>
      </c>
      <c r="C51" s="483" t="s">
        <v>253</v>
      </c>
      <c r="D51" s="484" t="s">
        <v>248</v>
      </c>
      <c r="E51" s="484" t="s">
        <v>249</v>
      </c>
      <c r="F51" s="482">
        <v>201309</v>
      </c>
      <c r="G51" s="482">
        <f>F51+1</f>
        <v>201310</v>
      </c>
      <c r="H51" s="482">
        <f>G51+1</f>
        <v>201311</v>
      </c>
      <c r="I51" s="482">
        <f>H51+1</f>
        <v>201312</v>
      </c>
      <c r="J51" s="482">
        <v>201401</v>
      </c>
      <c r="K51" s="482">
        <v>201402</v>
      </c>
      <c r="L51" s="482">
        <v>201403</v>
      </c>
      <c r="M51" s="482">
        <v>201404</v>
      </c>
      <c r="N51" s="482">
        <v>201405</v>
      </c>
      <c r="O51" s="482">
        <v>201406</v>
      </c>
      <c r="P51" s="482">
        <v>201407</v>
      </c>
      <c r="Q51" s="482">
        <v>201408</v>
      </c>
      <c r="R51" s="482">
        <v>201409</v>
      </c>
      <c r="S51" s="482">
        <v>201410</v>
      </c>
      <c r="T51" s="482">
        <v>201411</v>
      </c>
      <c r="U51" s="482">
        <v>201412</v>
      </c>
      <c r="V51" s="482">
        <v>201501</v>
      </c>
      <c r="W51" s="482">
        <f t="shared" ref="W51" si="155">V51+1</f>
        <v>201502</v>
      </c>
      <c r="X51" s="482">
        <f t="shared" ref="X51" si="156">W51+1</f>
        <v>201503</v>
      </c>
      <c r="Y51" s="482">
        <f t="shared" ref="Y51" si="157">X51+1</f>
        <v>201504</v>
      </c>
      <c r="Z51" s="482">
        <f t="shared" ref="Z51" si="158">Y51+1</f>
        <v>201505</v>
      </c>
      <c r="AA51" s="482">
        <f t="shared" ref="AA51" si="159">Z51+1</f>
        <v>201506</v>
      </c>
      <c r="AB51" s="482">
        <f t="shared" ref="AB51" si="160">AA51+1</f>
        <v>201507</v>
      </c>
      <c r="AC51" s="482">
        <f t="shared" ref="AC51" si="161">AB51+1</f>
        <v>201508</v>
      </c>
      <c r="AD51" s="482">
        <f t="shared" ref="AD51" si="162">AC51+1</f>
        <v>201509</v>
      </c>
      <c r="AE51" s="482">
        <f t="shared" ref="AE51" si="163">AD51+1</f>
        <v>201510</v>
      </c>
      <c r="AF51" s="482">
        <f t="shared" ref="AF51" si="164">AE51+1</f>
        <v>201511</v>
      </c>
      <c r="AG51" s="482">
        <f t="shared" ref="AG51" si="165">AF51+1</f>
        <v>201512</v>
      </c>
      <c r="AH51" s="482">
        <v>201601</v>
      </c>
      <c r="AI51" s="482">
        <f>AH51+1</f>
        <v>201602</v>
      </c>
      <c r="AJ51" s="482">
        <f t="shared" ref="AJ51:AS51" si="166">AI51+1</f>
        <v>201603</v>
      </c>
      <c r="AK51" s="482">
        <f t="shared" si="166"/>
        <v>201604</v>
      </c>
      <c r="AL51" s="482">
        <f t="shared" si="166"/>
        <v>201605</v>
      </c>
      <c r="AM51" s="482">
        <f t="shared" si="166"/>
        <v>201606</v>
      </c>
      <c r="AN51" s="482">
        <f t="shared" si="166"/>
        <v>201607</v>
      </c>
      <c r="AO51" s="482">
        <f t="shared" si="166"/>
        <v>201608</v>
      </c>
      <c r="AP51" s="482">
        <f t="shared" si="166"/>
        <v>201609</v>
      </c>
      <c r="AQ51" s="482">
        <f t="shared" si="166"/>
        <v>201610</v>
      </c>
      <c r="AR51" s="482">
        <f t="shared" si="166"/>
        <v>201611</v>
      </c>
      <c r="AS51" s="482">
        <f t="shared" si="166"/>
        <v>201612</v>
      </c>
      <c r="AT51" s="482">
        <f>AT3</f>
        <v>201701</v>
      </c>
      <c r="AU51" s="482">
        <f>AT51+1</f>
        <v>201702</v>
      </c>
      <c r="AV51" s="482">
        <f t="shared" ref="AV51" si="167">AU51+1</f>
        <v>201703</v>
      </c>
      <c r="AW51" s="482">
        <f t="shared" ref="AW51" si="168">AV51+1</f>
        <v>201704</v>
      </c>
      <c r="AX51" s="482">
        <f t="shared" ref="AX51" si="169">AW51+1</f>
        <v>201705</v>
      </c>
      <c r="AY51" s="482">
        <f t="shared" ref="AY51" si="170">AX51+1</f>
        <v>201706</v>
      </c>
      <c r="AZ51" s="482">
        <f t="shared" ref="AZ51" si="171">AY51+1</f>
        <v>201707</v>
      </c>
      <c r="BA51" s="482">
        <f t="shared" ref="BA51" si="172">AZ51+1</f>
        <v>201708</v>
      </c>
      <c r="BB51" s="482">
        <f t="shared" ref="BB51" si="173">BA51+1</f>
        <v>201709</v>
      </c>
      <c r="BC51" s="482">
        <f t="shared" ref="BC51" si="174">BB51+1</f>
        <v>201710</v>
      </c>
      <c r="BD51" s="482">
        <f t="shared" ref="BD51" si="175">BC51+1</f>
        <v>201711</v>
      </c>
      <c r="BE51" s="482">
        <f t="shared" ref="BE51" si="176">BD51+1</f>
        <v>201712</v>
      </c>
    </row>
    <row r="52" spans="1:58">
      <c r="A52" s="481"/>
      <c r="B52" s="481"/>
      <c r="C52" s="479" t="s">
        <v>37</v>
      </c>
      <c r="D52" s="489">
        <f>SUM(V52:AG52)</f>
        <v>48316153</v>
      </c>
      <c r="E52" s="489">
        <f>SUM(T52:AE52)</f>
        <v>48012811</v>
      </c>
      <c r="F52" s="493" t="s">
        <v>269</v>
      </c>
      <c r="G52" s="489"/>
      <c r="H52" s="489">
        <v>7085932</v>
      </c>
      <c r="I52" s="489">
        <v>10497053</v>
      </c>
      <c r="J52" s="489">
        <v>8687325</v>
      </c>
      <c r="K52" s="489">
        <v>8895182</v>
      </c>
      <c r="L52" s="489">
        <v>6774285</v>
      </c>
      <c r="M52" s="489">
        <v>3867130</v>
      </c>
      <c r="N52" s="489">
        <v>1979544</v>
      </c>
      <c r="O52" s="489">
        <v>1402196</v>
      </c>
      <c r="P52" s="489">
        <v>1007077</v>
      </c>
      <c r="Q52" s="489">
        <v>989884</v>
      </c>
      <c r="R52" s="489">
        <v>1199079</v>
      </c>
      <c r="S52" s="489">
        <v>2624816</v>
      </c>
      <c r="T52" s="489">
        <v>7693608</v>
      </c>
      <c r="U52" s="489">
        <v>8470110</v>
      </c>
      <c r="V52" s="489">
        <v>8991869</v>
      </c>
      <c r="W52" s="489">
        <v>5607449</v>
      </c>
      <c r="X52" s="489">
        <v>5090227</v>
      </c>
      <c r="Y52" s="489">
        <v>3621515</v>
      </c>
      <c r="Z52" s="489">
        <v>1624041</v>
      </c>
      <c r="AA52" s="489">
        <v>985347</v>
      </c>
      <c r="AB52" s="489">
        <v>990038</v>
      </c>
      <c r="AC52" s="489">
        <v>930531</v>
      </c>
      <c r="AD52" s="489">
        <v>1531464</v>
      </c>
      <c r="AE52" s="489">
        <v>2476612</v>
      </c>
      <c r="AF52" s="489">
        <v>7248071</v>
      </c>
      <c r="AG52" s="489">
        <v>9218989</v>
      </c>
      <c r="AH52" s="489">
        <v>8841051</v>
      </c>
      <c r="AI52" s="489">
        <v>6461869</v>
      </c>
      <c r="AJ52" s="489">
        <v>5909720</v>
      </c>
      <c r="AK52" s="489">
        <v>2663108</v>
      </c>
      <c r="AL52" s="489">
        <v>1813665</v>
      </c>
      <c r="AM52" s="489">
        <v>1388507</v>
      </c>
      <c r="AN52" s="489">
        <v>1156092</v>
      </c>
      <c r="AO52" s="489">
        <v>1109728</v>
      </c>
      <c r="AP52" s="489">
        <v>1432073</v>
      </c>
      <c r="AQ52" s="489">
        <v>3729792</v>
      </c>
      <c r="AR52" s="489">
        <f>Nov!$K36</f>
        <v>5746085</v>
      </c>
      <c r="AS52" s="489">
        <f>Dec!$K36</f>
        <v>12024731</v>
      </c>
      <c r="AT52" s="621">
        <f>Jan!$K36</f>
        <v>12030330</v>
      </c>
      <c r="AU52" s="489">
        <f>Feb!$K36</f>
        <v>8205105</v>
      </c>
      <c r="AV52" s="489">
        <f>Mar!$K36</f>
        <v>7018804</v>
      </c>
      <c r="AW52" s="489">
        <f>Apr!$K36</f>
        <v>4807641</v>
      </c>
      <c r="AX52" s="489">
        <f>May!$K36</f>
        <v>2613793</v>
      </c>
      <c r="AY52" s="489">
        <f>Jun!$K36</f>
        <v>1233197</v>
      </c>
      <c r="AZ52" s="489">
        <f>Jul!$K36</f>
        <v>1087844</v>
      </c>
      <c r="BA52" s="489">
        <f>Aug!$K36</f>
        <v>986275</v>
      </c>
      <c r="BB52" s="489">
        <f>Sep!$K36</f>
        <v>1445438</v>
      </c>
      <c r="BC52" s="489">
        <f>Oct!$K36</f>
        <v>4795103</v>
      </c>
      <c r="BD52" s="489">
        <f>Nov!$K36</f>
        <v>5746085</v>
      </c>
      <c r="BE52" s="489">
        <f>Dec!$K36</f>
        <v>12024731</v>
      </c>
      <c r="BF52" s="579"/>
    </row>
    <row r="53" spans="1:58">
      <c r="A53" s="481"/>
      <c r="B53" s="481"/>
      <c r="C53" s="479" t="s">
        <v>38</v>
      </c>
      <c r="D53" s="489">
        <f t="shared" ref="D53:D60" si="177">SUM(V53:AG53)</f>
        <v>20738662</v>
      </c>
      <c r="E53" s="489">
        <f>SUM(T53:AE53)</f>
        <v>20769686</v>
      </c>
      <c r="F53" s="493" t="s">
        <v>269</v>
      </c>
      <c r="G53" s="489"/>
      <c r="H53" s="489">
        <v>2422167</v>
      </c>
      <c r="I53" s="489">
        <v>3263133</v>
      </c>
      <c r="J53" s="489">
        <v>3029182</v>
      </c>
      <c r="K53" s="489">
        <v>3036554</v>
      </c>
      <c r="L53" s="489">
        <v>2467111</v>
      </c>
      <c r="M53" s="489">
        <v>1697584</v>
      </c>
      <c r="N53" s="489">
        <v>1050330</v>
      </c>
      <c r="O53" s="489">
        <v>1107684</v>
      </c>
      <c r="P53" s="489">
        <v>856502</v>
      </c>
      <c r="Q53" s="489">
        <v>1025146</v>
      </c>
      <c r="R53" s="489">
        <v>908391</v>
      </c>
      <c r="S53" s="489">
        <v>1622635</v>
      </c>
      <c r="T53" s="489">
        <v>2516335</v>
      </c>
      <c r="U53" s="489">
        <v>2595480</v>
      </c>
      <c r="V53" s="489">
        <v>2818068</v>
      </c>
      <c r="W53" s="489">
        <v>2333245</v>
      </c>
      <c r="X53" s="489">
        <v>1927746</v>
      </c>
      <c r="Y53" s="489">
        <v>1633221</v>
      </c>
      <c r="Z53" s="489">
        <v>1075904</v>
      </c>
      <c r="AA53" s="489">
        <v>1089173</v>
      </c>
      <c r="AB53" s="489">
        <v>964252</v>
      </c>
      <c r="AC53" s="489">
        <v>1322423</v>
      </c>
      <c r="AD53" s="489">
        <v>1101192</v>
      </c>
      <c r="AE53" s="489">
        <v>1392647</v>
      </c>
      <c r="AF53" s="489">
        <v>2379775</v>
      </c>
      <c r="AG53" s="489">
        <v>2701016</v>
      </c>
      <c r="AH53" s="489">
        <v>2843963</v>
      </c>
      <c r="AI53" s="489">
        <v>2339216</v>
      </c>
      <c r="AJ53" s="489">
        <v>2149496</v>
      </c>
      <c r="AK53" s="489">
        <v>1257156</v>
      </c>
      <c r="AL53" s="489">
        <v>1182789</v>
      </c>
      <c r="AM53" s="489">
        <v>1004638</v>
      </c>
      <c r="AN53" s="489">
        <v>1000390</v>
      </c>
      <c r="AO53" s="489">
        <v>1265573</v>
      </c>
      <c r="AP53" s="489">
        <v>1029125</v>
      </c>
      <c r="AQ53" s="489">
        <v>1665487</v>
      </c>
      <c r="AR53" s="489">
        <f>Nov!$K37</f>
        <v>2022498</v>
      </c>
      <c r="AS53" s="489">
        <f>Dec!$K37</f>
        <v>3417191</v>
      </c>
      <c r="AT53" s="621">
        <f>Jan!$K37</f>
        <v>3930876</v>
      </c>
      <c r="AU53" s="489">
        <f>Feb!$K37</f>
        <v>2972280</v>
      </c>
      <c r="AV53" s="489">
        <f>Mar!$K37</f>
        <v>2558534</v>
      </c>
      <c r="AW53" s="489">
        <f>Apr!$K37</f>
        <v>1910087</v>
      </c>
      <c r="AX53" s="489">
        <f>May!$K37</f>
        <v>1315495</v>
      </c>
      <c r="AY53" s="489">
        <f>Jun!$K37</f>
        <v>1319570</v>
      </c>
      <c r="AZ53" s="489">
        <f>Jul!$K37</f>
        <v>931171</v>
      </c>
      <c r="BA53" s="489">
        <f>Aug!$K37</f>
        <v>1366641</v>
      </c>
      <c r="BB53" s="489">
        <f>Sep!$K37</f>
        <v>991953</v>
      </c>
      <c r="BC53" s="489">
        <f>Oct!$K37</f>
        <v>1966749</v>
      </c>
      <c r="BD53" s="489">
        <f>Nov!$K37</f>
        <v>2022498</v>
      </c>
      <c r="BE53" s="489">
        <f>Dec!$K37</f>
        <v>3417191</v>
      </c>
      <c r="BF53" s="579"/>
    </row>
    <row r="54" spans="1:58">
      <c r="A54" s="481"/>
      <c r="B54" s="481"/>
      <c r="C54" s="479" t="s">
        <v>39</v>
      </c>
      <c r="D54" s="489">
        <f t="shared" si="177"/>
        <v>252450</v>
      </c>
      <c r="E54" s="489">
        <f>SUM(T54:AE54)</f>
        <v>281962</v>
      </c>
      <c r="F54" s="493" t="s">
        <v>269</v>
      </c>
      <c r="G54" s="489"/>
      <c r="H54" s="489">
        <v>24496</v>
      </c>
      <c r="I54" s="489">
        <v>870</v>
      </c>
      <c r="J54" s="489">
        <v>2743</v>
      </c>
      <c r="K54" s="489">
        <v>2162</v>
      </c>
      <c r="L54" s="489">
        <v>1774</v>
      </c>
      <c r="M54" s="489">
        <v>364</v>
      </c>
      <c r="N54" s="489">
        <v>13788</v>
      </c>
      <c r="O54" s="489">
        <v>29747</v>
      </c>
      <c r="P54" s="489">
        <v>55765</v>
      </c>
      <c r="Q54" s="489">
        <v>49456</v>
      </c>
      <c r="R54" s="489">
        <v>35117</v>
      </c>
      <c r="S54" s="489">
        <v>123099</v>
      </c>
      <c r="T54" s="489">
        <v>36163</v>
      </c>
      <c r="U54" s="489">
        <v>22942</v>
      </c>
      <c r="V54" s="489">
        <v>2994</v>
      </c>
      <c r="W54" s="489">
        <v>1973</v>
      </c>
      <c r="X54" s="489">
        <v>871</v>
      </c>
      <c r="Y54" s="489">
        <v>5610</v>
      </c>
      <c r="Z54" s="489">
        <v>18173</v>
      </c>
      <c r="AA54" s="489">
        <v>21920</v>
      </c>
      <c r="AB54" s="489">
        <v>28026</v>
      </c>
      <c r="AC54" s="489">
        <v>47622</v>
      </c>
      <c r="AD54" s="489">
        <v>26734</v>
      </c>
      <c r="AE54" s="489">
        <v>68934</v>
      </c>
      <c r="AF54" s="489">
        <v>23496</v>
      </c>
      <c r="AG54" s="489">
        <v>6097</v>
      </c>
      <c r="AH54" s="489">
        <v>2754</v>
      </c>
      <c r="AI54" s="489">
        <v>2352</v>
      </c>
      <c r="AJ54" s="489">
        <v>232</v>
      </c>
      <c r="AK54" s="489">
        <v>11807</v>
      </c>
      <c r="AL54" s="489">
        <v>27568</v>
      </c>
      <c r="AM54" s="489">
        <v>27174</v>
      </c>
      <c r="AN54" s="489">
        <v>73549</v>
      </c>
      <c r="AO54" s="489">
        <v>48643</v>
      </c>
      <c r="AP54" s="489">
        <v>35666</v>
      </c>
      <c r="AQ54" s="489">
        <v>15019</v>
      </c>
      <c r="AR54" s="489">
        <f>Nov!$K38</f>
        <v>23219</v>
      </c>
      <c r="AS54" s="489">
        <f>Dec!$K38</f>
        <v>5267</v>
      </c>
      <c r="AT54" s="621">
        <f>Jan!$K38</f>
        <v>4671</v>
      </c>
      <c r="AU54" s="489">
        <f>Feb!$K38</f>
        <v>10876</v>
      </c>
      <c r="AV54" s="489">
        <f>Mar!$K38</f>
        <v>2902</v>
      </c>
      <c r="AW54" s="489">
        <f>Apr!$K38</f>
        <v>7675</v>
      </c>
      <c r="AX54" s="489">
        <f>May!$K38</f>
        <v>29168</v>
      </c>
      <c r="AY54" s="489">
        <f>Jun!$K38</f>
        <v>55493</v>
      </c>
      <c r="AZ54" s="489">
        <f>Jul!$K38</f>
        <v>70834</v>
      </c>
      <c r="BA54" s="489">
        <f>Aug!$K38</f>
        <v>82239</v>
      </c>
      <c r="BB54" s="489">
        <f>Sep!$K38</f>
        <v>71733</v>
      </c>
      <c r="BC54" s="489">
        <f>Oct!$K38</f>
        <v>47715</v>
      </c>
      <c r="BD54" s="489">
        <f>Nov!$K38</f>
        <v>23219</v>
      </c>
      <c r="BE54" s="489">
        <f>Dec!$K38</f>
        <v>5267</v>
      </c>
      <c r="BF54" s="579"/>
    </row>
    <row r="55" spans="1:58">
      <c r="A55" s="481"/>
      <c r="B55" s="481"/>
      <c r="C55" s="479" t="s">
        <v>40</v>
      </c>
      <c r="D55" s="489">
        <f t="shared" si="177"/>
        <v>0</v>
      </c>
      <c r="E55" s="489">
        <f>SUM(T55:AE55)</f>
        <v>0</v>
      </c>
      <c r="F55" s="493" t="s">
        <v>269</v>
      </c>
      <c r="G55" s="489"/>
      <c r="H55" s="489">
        <v>0</v>
      </c>
      <c r="I55" s="489">
        <v>0</v>
      </c>
      <c r="J55" s="489">
        <v>0</v>
      </c>
      <c r="K55" s="489">
        <v>0</v>
      </c>
      <c r="L55" s="489">
        <v>0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f>Dec!$K39</f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f>Nov!$K39</f>
        <v>0</v>
      </c>
      <c r="AS55" s="489">
        <f>Dec!$K39</f>
        <v>0</v>
      </c>
      <c r="AT55" s="621">
        <f>Jan!$K39</f>
        <v>0</v>
      </c>
      <c r="AU55" s="489">
        <f>Feb!$K39</f>
        <v>0</v>
      </c>
      <c r="AV55" s="489">
        <f>Mar!$K39</f>
        <v>0</v>
      </c>
      <c r="AW55" s="489">
        <f>Apr!$K39</f>
        <v>0</v>
      </c>
      <c r="AX55" s="489">
        <f>May!$K39</f>
        <v>0</v>
      </c>
      <c r="AY55" s="489">
        <f>Jun!$K39</f>
        <v>0</v>
      </c>
      <c r="AZ55" s="489">
        <f>Jul!$K39</f>
        <v>0</v>
      </c>
      <c r="BA55" s="489">
        <f>Aug!$K39</f>
        <v>0</v>
      </c>
      <c r="BB55" s="489">
        <f>Sep!$K39</f>
        <v>0</v>
      </c>
      <c r="BC55" s="489">
        <f>Oct!$K39</f>
        <v>0</v>
      </c>
      <c r="BD55" s="489">
        <f>Nov!$K39</f>
        <v>0</v>
      </c>
      <c r="BE55" s="489">
        <f>Dec!$K39</f>
        <v>0</v>
      </c>
      <c r="BF55" s="579"/>
    </row>
    <row r="56" spans="1:58" hidden="1" outlineLevel="2">
      <c r="A56" s="481"/>
      <c r="B56" s="481"/>
      <c r="C56" s="574" t="s">
        <v>41</v>
      </c>
      <c r="D56" s="489">
        <f t="shared" si="177"/>
        <v>0</v>
      </c>
      <c r="E56" s="489">
        <f>SUM(H56:S56)</f>
        <v>0</v>
      </c>
      <c r="F56" s="493" t="s">
        <v>269</v>
      </c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621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579"/>
    </row>
    <row r="57" spans="1:58" hidden="1" outlineLevel="2">
      <c r="A57" s="481"/>
      <c r="B57" s="481"/>
      <c r="C57" s="574" t="s">
        <v>42</v>
      </c>
      <c r="D57" s="489">
        <f t="shared" si="177"/>
        <v>0</v>
      </c>
      <c r="E57" s="489">
        <f>SUM(H57:S57)</f>
        <v>0</v>
      </c>
      <c r="F57" s="493" t="s">
        <v>269</v>
      </c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621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579"/>
    </row>
    <row r="58" spans="1:58" collapsed="1">
      <c r="A58" s="481"/>
      <c r="B58" s="481"/>
      <c r="C58" s="565" t="s">
        <v>43</v>
      </c>
      <c r="D58" s="489">
        <f t="shared" si="177"/>
        <v>148273</v>
      </c>
      <c r="E58" s="489">
        <f>SUM(T58:AE58)</f>
        <v>211954</v>
      </c>
      <c r="F58" s="493" t="s">
        <v>269</v>
      </c>
      <c r="G58" s="489"/>
      <c r="H58" s="489">
        <v>27816</v>
      </c>
      <c r="I58" s="489">
        <v>38707</v>
      </c>
      <c r="J58" s="489">
        <v>41552</v>
      </c>
      <c r="K58" s="489">
        <v>36266</v>
      </c>
      <c r="L58" s="489">
        <v>32078</v>
      </c>
      <c r="M58" s="489">
        <v>28993</v>
      </c>
      <c r="N58" s="489">
        <v>26189</v>
      </c>
      <c r="O58" s="489">
        <v>24317</v>
      </c>
      <c r="P58" s="489">
        <v>20569</v>
      </c>
      <c r="Q58" s="489">
        <v>17075</v>
      </c>
      <c r="R58" s="489">
        <v>19354</v>
      </c>
      <c r="S58" s="489">
        <v>20322</v>
      </c>
      <c r="T58" s="489">
        <v>25290</v>
      </c>
      <c r="U58" s="489">
        <v>38391</v>
      </c>
      <c r="V58" s="489">
        <v>40458</v>
      </c>
      <c r="W58" s="489">
        <v>33212</v>
      </c>
      <c r="X58" s="489">
        <v>33140</v>
      </c>
      <c r="Y58" s="489">
        <v>25684</v>
      </c>
      <c r="Z58" s="489">
        <v>15779</v>
      </c>
      <c r="AA58" s="489">
        <v>0</v>
      </c>
      <c r="AB58" s="489">
        <v>0</v>
      </c>
      <c r="AC58" s="489">
        <v>0</v>
      </c>
      <c r="AD58" s="489">
        <v>0</v>
      </c>
      <c r="AE58" s="489">
        <v>0</v>
      </c>
      <c r="AF58" s="489">
        <v>0</v>
      </c>
      <c r="AG58" s="489">
        <f>Dec!$K42</f>
        <v>0</v>
      </c>
      <c r="AH58" s="489">
        <v>0</v>
      </c>
      <c r="AI58" s="489">
        <v>0</v>
      </c>
      <c r="AJ58" s="489">
        <v>0</v>
      </c>
      <c r="AK58" s="489">
        <v>0</v>
      </c>
      <c r="AL58" s="489">
        <v>0</v>
      </c>
      <c r="AM58" s="489">
        <v>0</v>
      </c>
      <c r="AN58" s="489">
        <v>0</v>
      </c>
      <c r="AO58" s="489">
        <v>0</v>
      </c>
      <c r="AP58" s="489">
        <v>0</v>
      </c>
      <c r="AQ58" s="489">
        <v>0</v>
      </c>
      <c r="AR58" s="489">
        <f>Nov!$K42</f>
        <v>0</v>
      </c>
      <c r="AS58" s="489">
        <f>Dec!$K42</f>
        <v>0</v>
      </c>
      <c r="AT58" s="621">
        <f>Jan!$K42</f>
        <v>0</v>
      </c>
      <c r="AU58" s="489">
        <f>Feb!$K42</f>
        <v>0</v>
      </c>
      <c r="AV58" s="489">
        <f>Mar!$K42</f>
        <v>0</v>
      </c>
      <c r="AW58" s="489">
        <f>Apr!$K42</f>
        <v>0</v>
      </c>
      <c r="AX58" s="489">
        <f>May!$K42</f>
        <v>0</v>
      </c>
      <c r="AY58" s="489">
        <f>Jun!$K42</f>
        <v>0</v>
      </c>
      <c r="AZ58" s="489">
        <f>Jul!$K42</f>
        <v>0</v>
      </c>
      <c r="BA58" s="489">
        <f>Aug!$K42</f>
        <v>0</v>
      </c>
      <c r="BB58" s="489">
        <f>Sep!$K42</f>
        <v>0</v>
      </c>
      <c r="BC58" s="489">
        <f>Oct!$K42</f>
        <v>0</v>
      </c>
      <c r="BD58" s="489">
        <f>Nov!$K42</f>
        <v>0</v>
      </c>
      <c r="BE58" s="489">
        <f>Dec!$K42</f>
        <v>0</v>
      </c>
      <c r="BF58" s="579"/>
    </row>
    <row r="59" spans="1:58" hidden="1" outlineLevel="1">
      <c r="A59" s="481"/>
      <c r="B59" s="481"/>
      <c r="C59" s="574" t="s">
        <v>74</v>
      </c>
      <c r="D59" s="489">
        <f t="shared" ref="D59" si="178">SUM(J59:U59)</f>
        <v>0</v>
      </c>
      <c r="E59" s="489">
        <f>SUM(H59:S59)</f>
        <v>0</v>
      </c>
      <c r="F59" s="493" t="s">
        <v>269</v>
      </c>
      <c r="G59" s="489"/>
      <c r="H59" s="489"/>
      <c r="I59" s="489"/>
      <c r="J59" s="489"/>
      <c r="K59" s="489"/>
      <c r="V59" s="489"/>
      <c r="W59" s="489"/>
      <c r="AQ59" s="489"/>
      <c r="BC59" s="489"/>
    </row>
    <row r="60" spans="1:58" ht="16.5" collapsed="1" thickBot="1">
      <c r="A60" s="481"/>
      <c r="B60" s="481"/>
      <c r="C60" s="479" t="s">
        <v>21</v>
      </c>
      <c r="D60" s="540">
        <f t="shared" si="177"/>
        <v>69455538</v>
      </c>
      <c r="E60" s="540">
        <f>SUM(T60:AE60)</f>
        <v>69276413</v>
      </c>
      <c r="F60" s="540" t="s">
        <v>269</v>
      </c>
      <c r="G60" s="540">
        <f>SUM(G52:G59)</f>
        <v>0</v>
      </c>
      <c r="H60" s="540">
        <f t="shared" ref="H60:I60" si="179">SUM(H52:H59)</f>
        <v>9560411</v>
      </c>
      <c r="I60" s="540">
        <f t="shared" si="179"/>
        <v>13799763</v>
      </c>
      <c r="J60" s="540">
        <v>11760802</v>
      </c>
      <c r="K60" s="540">
        <v>11970164</v>
      </c>
      <c r="L60" s="540">
        <v>9275248</v>
      </c>
      <c r="M60" s="540">
        <v>5594071</v>
      </c>
      <c r="N60" s="540">
        <v>3069851</v>
      </c>
      <c r="O60" s="540">
        <v>2563944</v>
      </c>
      <c r="P60" s="540">
        <v>1939913</v>
      </c>
      <c r="Q60" s="540">
        <v>2081561</v>
      </c>
      <c r="R60" s="540">
        <v>2161941</v>
      </c>
      <c r="S60" s="540">
        <v>4390872</v>
      </c>
      <c r="T60" s="540">
        <v>10271396</v>
      </c>
      <c r="U60" s="540">
        <v>11126923</v>
      </c>
      <c r="V60" s="540">
        <f t="shared" ref="V60:AD60" si="180">SUM(V52:V59)</f>
        <v>11853389</v>
      </c>
      <c r="W60" s="540">
        <f t="shared" si="180"/>
        <v>7975879</v>
      </c>
      <c r="X60" s="540">
        <f t="shared" si="180"/>
        <v>7051984</v>
      </c>
      <c r="Y60" s="540">
        <f t="shared" si="180"/>
        <v>5286030</v>
      </c>
      <c r="Z60" s="540">
        <f t="shared" si="180"/>
        <v>2733897</v>
      </c>
      <c r="AA60" s="540">
        <f t="shared" si="180"/>
        <v>2096440</v>
      </c>
      <c r="AB60" s="540">
        <f t="shared" si="180"/>
        <v>1982316</v>
      </c>
      <c r="AC60" s="540">
        <f t="shared" si="180"/>
        <v>2300576</v>
      </c>
      <c r="AD60" s="540">
        <f t="shared" si="180"/>
        <v>2659390</v>
      </c>
      <c r="AE60" s="540">
        <f t="shared" ref="AE60:AS60" si="181">SUM(AE52:AE59)</f>
        <v>3938193</v>
      </c>
      <c r="AF60" s="540">
        <f t="shared" si="181"/>
        <v>9651342</v>
      </c>
      <c r="AG60" s="540">
        <f t="shared" si="181"/>
        <v>11926102</v>
      </c>
      <c r="AH60" s="540">
        <f>SUM(AH52:AH59)</f>
        <v>11687768</v>
      </c>
      <c r="AI60" s="540">
        <f t="shared" si="181"/>
        <v>8803437</v>
      </c>
      <c r="AJ60" s="540">
        <f t="shared" si="181"/>
        <v>8059448</v>
      </c>
      <c r="AK60" s="540">
        <f t="shared" si="181"/>
        <v>3932071</v>
      </c>
      <c r="AL60" s="540">
        <f t="shared" si="181"/>
        <v>3024022</v>
      </c>
      <c r="AM60" s="540">
        <f t="shared" si="181"/>
        <v>2420319</v>
      </c>
      <c r="AN60" s="540">
        <f t="shared" si="181"/>
        <v>2230031</v>
      </c>
      <c r="AO60" s="540">
        <f t="shared" si="181"/>
        <v>2423944</v>
      </c>
      <c r="AP60" s="540">
        <f>SUM(AP52:AP59)</f>
        <v>2496864</v>
      </c>
      <c r="AQ60" s="540">
        <f>SUM(AQ52:AQ59)</f>
        <v>5410298</v>
      </c>
      <c r="AR60" s="540">
        <f t="shared" si="181"/>
        <v>7791802</v>
      </c>
      <c r="AS60" s="540">
        <f t="shared" si="181"/>
        <v>15447189</v>
      </c>
      <c r="AT60" s="540">
        <f t="shared" ref="AT60:BA60" si="182">SUM(AT52:AT59)</f>
        <v>15965877</v>
      </c>
      <c r="AU60" s="540">
        <f t="shared" si="182"/>
        <v>11188261</v>
      </c>
      <c r="AV60" s="540">
        <f t="shared" si="182"/>
        <v>9580240</v>
      </c>
      <c r="AW60" s="540">
        <f t="shared" si="182"/>
        <v>6725403</v>
      </c>
      <c r="AX60" s="540">
        <f t="shared" si="182"/>
        <v>3958456</v>
      </c>
      <c r="AY60" s="540">
        <f t="shared" si="182"/>
        <v>2608260</v>
      </c>
      <c r="AZ60" s="540">
        <f t="shared" si="182"/>
        <v>2089849</v>
      </c>
      <c r="BA60" s="540">
        <f t="shared" si="182"/>
        <v>2435155</v>
      </c>
      <c r="BB60" s="540">
        <f>SUM(BB52:BB59)</f>
        <v>2509124</v>
      </c>
      <c r="BC60" s="540">
        <f>SUM(BC52:BC59)</f>
        <v>6809567</v>
      </c>
      <c r="BD60" s="540">
        <f t="shared" ref="BD60:BE60" si="183">SUM(BD52:BD59)</f>
        <v>7791802</v>
      </c>
      <c r="BE60" s="540">
        <f t="shared" si="183"/>
        <v>15447189</v>
      </c>
      <c r="BF60" s="580"/>
    </row>
    <row r="61" spans="1:58" ht="16.5" thickTop="1">
      <c r="A61" s="481"/>
      <c r="B61" s="481"/>
      <c r="C61" s="479" t="s">
        <v>266</v>
      </c>
      <c r="D61" s="489">
        <f>SUM(V61:AG61)</f>
        <v>69455538</v>
      </c>
      <c r="E61" s="489">
        <f>SUM(T61:AE61)</f>
        <v>69276413</v>
      </c>
      <c r="F61" s="493" t="s">
        <v>269</v>
      </c>
      <c r="G61" s="489">
        <v>0</v>
      </c>
      <c r="H61" s="489">
        <v>9560411</v>
      </c>
      <c r="I61" s="489">
        <v>13799763</v>
      </c>
      <c r="J61" s="489">
        <v>11760802</v>
      </c>
      <c r="K61" s="489">
        <v>11970164</v>
      </c>
      <c r="L61" s="489">
        <v>9275248</v>
      </c>
      <c r="M61" s="541">
        <v>5594071</v>
      </c>
      <c r="N61" s="541">
        <v>3069851</v>
      </c>
      <c r="O61" s="541">
        <v>2563944</v>
      </c>
      <c r="P61" s="541">
        <v>1939913</v>
      </c>
      <c r="Q61" s="541">
        <v>2081561</v>
      </c>
      <c r="R61" s="541">
        <v>2161941</v>
      </c>
      <c r="S61" s="541">
        <v>4390872</v>
      </c>
      <c r="T61" s="541">
        <v>10271396</v>
      </c>
      <c r="U61" s="480">
        <v>11126923</v>
      </c>
      <c r="V61" s="489">
        <v>11853389</v>
      </c>
      <c r="W61" s="489">
        <v>7975879</v>
      </c>
      <c r="X61" s="489">
        <v>7051984</v>
      </c>
      <c r="Y61" s="541">
        <v>5286030</v>
      </c>
      <c r="Z61" s="562">
        <v>2733897</v>
      </c>
      <c r="AA61" s="541">
        <v>2096440</v>
      </c>
      <c r="AB61" s="541">
        <v>1982316</v>
      </c>
      <c r="AC61" s="541">
        <v>2300576</v>
      </c>
      <c r="AD61" s="541">
        <v>2659390</v>
      </c>
      <c r="AE61" s="541">
        <v>3938193</v>
      </c>
      <c r="AF61" s="562">
        <v>9651342</v>
      </c>
      <c r="AG61" s="541">
        <v>11926102</v>
      </c>
      <c r="AH61" s="541">
        <v>11687768</v>
      </c>
      <c r="AI61" s="562">
        <v>8803437</v>
      </c>
      <c r="AJ61" s="562">
        <v>8059448</v>
      </c>
      <c r="AK61" s="562">
        <v>3932071</v>
      </c>
      <c r="AL61" s="562">
        <v>3024022</v>
      </c>
      <c r="AM61" s="562">
        <v>2420319</v>
      </c>
      <c r="AN61" s="562">
        <v>2230031</v>
      </c>
      <c r="AO61" s="562">
        <v>2423944</v>
      </c>
      <c r="AP61" s="562">
        <v>2496864</v>
      </c>
      <c r="AQ61" s="562">
        <v>5410298</v>
      </c>
      <c r="AR61" s="562">
        <v>7791802</v>
      </c>
      <c r="AS61" s="562">
        <v>15447189</v>
      </c>
      <c r="AT61" s="541">
        <v>15965877</v>
      </c>
      <c r="AU61" s="562">
        <v>8803437</v>
      </c>
      <c r="AV61" s="562">
        <v>8059448</v>
      </c>
      <c r="AW61" s="562">
        <v>3932071</v>
      </c>
      <c r="AX61" s="562">
        <v>3024022</v>
      </c>
      <c r="AY61" s="562">
        <v>2420319</v>
      </c>
      <c r="AZ61" s="562">
        <v>2230031</v>
      </c>
      <c r="BA61" s="562">
        <v>2423944</v>
      </c>
      <c r="BB61" s="562">
        <v>2496864</v>
      </c>
      <c r="BC61" s="562">
        <v>5410298</v>
      </c>
      <c r="BD61" s="562">
        <v>7791802</v>
      </c>
      <c r="BE61" s="562">
        <v>15447189</v>
      </c>
      <c r="BF61" s="581"/>
    </row>
    <row r="62" spans="1:58">
      <c r="A62" s="481" t="s">
        <v>22</v>
      </c>
      <c r="B62" s="481" t="s">
        <v>22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</row>
    <row r="63" spans="1:58">
      <c r="A63" s="534">
        <v>191015</v>
      </c>
      <c r="B63" s="534">
        <v>191015</v>
      </c>
      <c r="C63" s="483" t="s">
        <v>253</v>
      </c>
      <c r="F63" s="482">
        <v>201309</v>
      </c>
      <c r="G63" s="482">
        <f>F63+1</f>
        <v>201310</v>
      </c>
      <c r="H63" s="482">
        <f>G63+1</f>
        <v>201311</v>
      </c>
      <c r="I63" s="482">
        <f>H63+1</f>
        <v>201312</v>
      </c>
      <c r="J63" s="482">
        <v>201401</v>
      </c>
      <c r="K63" s="482">
        <v>201402</v>
      </c>
      <c r="L63" s="482">
        <v>201403</v>
      </c>
      <c r="M63" s="482">
        <v>201404</v>
      </c>
      <c r="N63" s="482">
        <v>201405</v>
      </c>
      <c r="O63" s="482">
        <v>201406</v>
      </c>
      <c r="P63" s="482">
        <v>201407</v>
      </c>
      <c r="Q63" s="482">
        <v>201408</v>
      </c>
      <c r="R63" s="482">
        <v>201409</v>
      </c>
      <c r="S63" s="482">
        <v>201410</v>
      </c>
      <c r="T63" s="482">
        <v>201411</v>
      </c>
      <c r="U63" s="482">
        <v>201412</v>
      </c>
      <c r="V63" s="482">
        <v>201501</v>
      </c>
      <c r="W63" s="482">
        <f t="shared" ref="W63" si="184">V63+1</f>
        <v>201502</v>
      </c>
      <c r="X63" s="482">
        <f t="shared" ref="X63" si="185">W63+1</f>
        <v>201503</v>
      </c>
      <c r="Y63" s="482">
        <f t="shared" ref="Y63" si="186">X63+1</f>
        <v>201504</v>
      </c>
      <c r="Z63" s="482">
        <f t="shared" ref="Z63" si="187">Y63+1</f>
        <v>201505</v>
      </c>
      <c r="AA63" s="482">
        <f t="shared" ref="AA63" si="188">Z63+1</f>
        <v>201506</v>
      </c>
      <c r="AB63" s="482">
        <f t="shared" ref="AB63" si="189">AA63+1</f>
        <v>201507</v>
      </c>
      <c r="AC63" s="482">
        <f t="shared" ref="AC63" si="190">AB63+1</f>
        <v>201508</v>
      </c>
      <c r="AD63" s="482">
        <f t="shared" ref="AD63" si="191">AC63+1</f>
        <v>201509</v>
      </c>
      <c r="AE63" s="482">
        <f t="shared" ref="AE63" si="192">AD63+1</f>
        <v>201510</v>
      </c>
      <c r="AF63" s="482">
        <f t="shared" ref="AF63" si="193">AE63+1</f>
        <v>201511</v>
      </c>
      <c r="AG63" s="482">
        <f t="shared" ref="AG63" si="194">AF63+1</f>
        <v>201512</v>
      </c>
      <c r="AH63" s="482">
        <v>201601</v>
      </c>
      <c r="AI63" s="482">
        <f>AH63+1</f>
        <v>201602</v>
      </c>
      <c r="AJ63" s="482">
        <f t="shared" ref="AJ63:AS63" si="195">AI63+1</f>
        <v>201603</v>
      </c>
      <c r="AK63" s="482">
        <f t="shared" si="195"/>
        <v>201604</v>
      </c>
      <c r="AL63" s="482">
        <f t="shared" si="195"/>
        <v>201605</v>
      </c>
      <c r="AM63" s="482">
        <f t="shared" si="195"/>
        <v>201606</v>
      </c>
      <c r="AN63" s="482">
        <f t="shared" si="195"/>
        <v>201607</v>
      </c>
      <c r="AO63" s="482">
        <f t="shared" si="195"/>
        <v>201608</v>
      </c>
      <c r="AP63" s="482">
        <f t="shared" si="195"/>
        <v>201609</v>
      </c>
      <c r="AQ63" s="482">
        <f t="shared" si="195"/>
        <v>201610</v>
      </c>
      <c r="AR63" s="482">
        <f t="shared" si="195"/>
        <v>201611</v>
      </c>
      <c r="AS63" s="482">
        <f t="shared" si="195"/>
        <v>201612</v>
      </c>
      <c r="AT63" s="482">
        <f>AT3</f>
        <v>201701</v>
      </c>
      <c r="AU63" s="482">
        <f>AT63+1</f>
        <v>201702</v>
      </c>
      <c r="AV63" s="482">
        <f t="shared" ref="AV63" si="196">AU63+1</f>
        <v>201703</v>
      </c>
      <c r="AW63" s="482">
        <f t="shared" ref="AW63" si="197">AV63+1</f>
        <v>201704</v>
      </c>
      <c r="AX63" s="482">
        <f t="shared" ref="AX63" si="198">AW63+1</f>
        <v>201705</v>
      </c>
      <c r="AY63" s="482">
        <f t="shared" ref="AY63" si="199">AX63+1</f>
        <v>201706</v>
      </c>
      <c r="AZ63" s="482">
        <f t="shared" ref="AZ63" si="200">AY63+1</f>
        <v>201707</v>
      </c>
      <c r="BA63" s="482">
        <f t="shared" ref="BA63" si="201">AZ63+1</f>
        <v>201708</v>
      </c>
      <c r="BB63" s="482">
        <f t="shared" ref="BB63" si="202">BA63+1</f>
        <v>201709</v>
      </c>
      <c r="BC63" s="482">
        <f t="shared" ref="BC63" si="203">BB63+1</f>
        <v>201710</v>
      </c>
      <c r="BD63" s="482">
        <f t="shared" ref="BD63" si="204">BC63+1</f>
        <v>201711</v>
      </c>
      <c r="BE63" s="482">
        <f t="shared" ref="BE63" si="205">BD63+1</f>
        <v>201712</v>
      </c>
    </row>
    <row r="64" spans="1:58">
      <c r="A64" s="481"/>
      <c r="B64" s="481"/>
      <c r="C64" s="479" t="s">
        <v>37</v>
      </c>
      <c r="F64" s="490">
        <v>0</v>
      </c>
      <c r="G64" s="494" t="s">
        <v>267</v>
      </c>
      <c r="H64" s="494" t="s">
        <v>267</v>
      </c>
      <c r="I64" s="490">
        <v>1.482E-2</v>
      </c>
      <c r="J64" s="490">
        <v>1.482E-2</v>
      </c>
      <c r="K64" s="490">
        <v>1.482E-2</v>
      </c>
      <c r="L64" s="490">
        <v>1.482E-2</v>
      </c>
      <c r="M64" s="490">
        <v>1.482E-2</v>
      </c>
      <c r="N64" s="490">
        <v>1.482E-2</v>
      </c>
      <c r="O64" s="490">
        <v>1.482E-2</v>
      </c>
      <c r="P64" s="490">
        <v>1.482E-2</v>
      </c>
      <c r="Q64" s="490">
        <v>1.482E-2</v>
      </c>
      <c r="R64" s="490">
        <v>1.482E-2</v>
      </c>
      <c r="S64" s="490">
        <v>1.482E-2</v>
      </c>
      <c r="T64" s="490">
        <v>1.482E-2</v>
      </c>
      <c r="U64" s="490">
        <v>1.482E-2</v>
      </c>
      <c r="V64" s="490">
        <v>1.482E-2</v>
      </c>
      <c r="W64" s="490">
        <v>1.482E-2</v>
      </c>
      <c r="X64" s="490">
        <v>1.482E-2</v>
      </c>
      <c r="Y64" s="490">
        <v>1.482E-2</v>
      </c>
      <c r="Z64" s="490">
        <v>1.482E-2</v>
      </c>
      <c r="AA64" s="490">
        <v>1.482E-2</v>
      </c>
      <c r="AB64" s="490">
        <v>1.482E-2</v>
      </c>
      <c r="AC64" s="490">
        <v>1.482E-2</v>
      </c>
      <c r="AD64" s="490">
        <v>1.482E-2</v>
      </c>
      <c r="AE64" s="490">
        <v>1.482E-2</v>
      </c>
      <c r="AF64" s="490">
        <v>1.482E-2</v>
      </c>
      <c r="AG64" s="490">
        <v>1.482E-2</v>
      </c>
      <c r="AH64" s="490">
        <v>0</v>
      </c>
      <c r="AI64" s="490">
        <v>0</v>
      </c>
      <c r="AJ64" s="490">
        <v>0</v>
      </c>
      <c r="AK64" s="490">
        <v>0</v>
      </c>
      <c r="AL64" s="490">
        <v>0</v>
      </c>
      <c r="AM64" s="490">
        <v>0</v>
      </c>
      <c r="AN64" s="490">
        <v>0</v>
      </c>
      <c r="AO64" s="490">
        <v>0</v>
      </c>
      <c r="AP64" s="490">
        <v>0</v>
      </c>
      <c r="AQ64" s="490">
        <v>0</v>
      </c>
      <c r="AR64" s="490">
        <v>0</v>
      </c>
      <c r="AS64" s="490">
        <v>0</v>
      </c>
      <c r="AT64" s="618">
        <v>0</v>
      </c>
      <c r="AU64" s="613">
        <v>0</v>
      </c>
      <c r="AV64" s="613">
        <v>0</v>
      </c>
      <c r="AW64" s="613">
        <v>0</v>
      </c>
      <c r="AX64" s="613">
        <v>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</row>
    <row r="65" spans="1:64">
      <c r="A65" s="481"/>
      <c r="B65" s="481"/>
      <c r="C65" s="479" t="s">
        <v>38</v>
      </c>
      <c r="F65" s="490">
        <v>0</v>
      </c>
      <c r="G65" s="494" t="s">
        <v>267</v>
      </c>
      <c r="H65" s="494" t="s">
        <v>267</v>
      </c>
      <c r="I65" s="490">
        <v>1.482E-2</v>
      </c>
      <c r="J65" s="490">
        <v>1.482E-2</v>
      </c>
      <c r="K65" s="490">
        <v>1.482E-2</v>
      </c>
      <c r="L65" s="490">
        <v>1.482E-2</v>
      </c>
      <c r="M65" s="490">
        <v>1.482E-2</v>
      </c>
      <c r="N65" s="490">
        <v>1.482E-2</v>
      </c>
      <c r="O65" s="490">
        <v>1.482E-2</v>
      </c>
      <c r="P65" s="490">
        <v>1.482E-2</v>
      </c>
      <c r="Q65" s="490">
        <v>1.482E-2</v>
      </c>
      <c r="R65" s="490">
        <v>1.482E-2</v>
      </c>
      <c r="S65" s="490">
        <v>1.482E-2</v>
      </c>
      <c r="T65" s="490">
        <v>1.482E-2</v>
      </c>
      <c r="U65" s="490">
        <v>1.482E-2</v>
      </c>
      <c r="V65" s="490">
        <v>1.482E-2</v>
      </c>
      <c r="W65" s="490">
        <v>1.482E-2</v>
      </c>
      <c r="X65" s="490">
        <v>1.482E-2</v>
      </c>
      <c r="Y65" s="490">
        <v>1.482E-2</v>
      </c>
      <c r="Z65" s="490">
        <v>1.482E-2</v>
      </c>
      <c r="AA65" s="490">
        <v>1.482E-2</v>
      </c>
      <c r="AB65" s="490">
        <v>1.482E-2</v>
      </c>
      <c r="AC65" s="490">
        <v>1.482E-2</v>
      </c>
      <c r="AD65" s="490">
        <v>1.482E-2</v>
      </c>
      <c r="AE65" s="490">
        <v>1.482E-2</v>
      </c>
      <c r="AF65" s="490">
        <v>1.482E-2</v>
      </c>
      <c r="AG65" s="490">
        <v>1.482E-2</v>
      </c>
      <c r="AH65" s="490">
        <v>0</v>
      </c>
      <c r="AI65" s="490">
        <v>0</v>
      </c>
      <c r="AJ65" s="490">
        <v>0</v>
      </c>
      <c r="AK65" s="490">
        <v>0</v>
      </c>
      <c r="AL65" s="490">
        <v>0</v>
      </c>
      <c r="AM65" s="490">
        <v>0</v>
      </c>
      <c r="AN65" s="490">
        <v>0</v>
      </c>
      <c r="AO65" s="490">
        <v>0</v>
      </c>
      <c r="AP65" s="490">
        <v>0</v>
      </c>
      <c r="AQ65" s="490">
        <v>0</v>
      </c>
      <c r="AR65" s="490">
        <v>0</v>
      </c>
      <c r="AS65" s="490">
        <v>0</v>
      </c>
      <c r="AT65" s="618">
        <v>0</v>
      </c>
      <c r="AU65" s="613">
        <v>0</v>
      </c>
      <c r="AV65" s="613">
        <v>0</v>
      </c>
      <c r="AW65" s="613">
        <v>0</v>
      </c>
      <c r="AX65" s="613">
        <v>0</v>
      </c>
      <c r="AY65" s="613">
        <v>0</v>
      </c>
      <c r="AZ65" s="613">
        <v>0</v>
      </c>
      <c r="BA65" s="613">
        <v>0</v>
      </c>
      <c r="BB65" s="613">
        <v>0</v>
      </c>
      <c r="BC65" s="613">
        <v>0</v>
      </c>
      <c r="BD65" s="613">
        <v>0</v>
      </c>
      <c r="BE65" s="613">
        <v>0</v>
      </c>
    </row>
    <row r="66" spans="1:64">
      <c r="A66" s="481"/>
      <c r="B66" s="481"/>
      <c r="C66" s="479" t="s">
        <v>39</v>
      </c>
      <c r="F66" s="490">
        <v>0</v>
      </c>
      <c r="G66" s="494" t="s">
        <v>267</v>
      </c>
      <c r="H66" s="494" t="s">
        <v>267</v>
      </c>
      <c r="I66" s="490">
        <v>1.482E-2</v>
      </c>
      <c r="J66" s="490">
        <v>1.482E-2</v>
      </c>
      <c r="K66" s="490">
        <v>1.482E-2</v>
      </c>
      <c r="L66" s="490">
        <v>1.482E-2</v>
      </c>
      <c r="M66" s="490">
        <v>1.482E-2</v>
      </c>
      <c r="N66" s="490">
        <v>1.482E-2</v>
      </c>
      <c r="O66" s="490">
        <v>1.482E-2</v>
      </c>
      <c r="P66" s="490">
        <v>1.482E-2</v>
      </c>
      <c r="Q66" s="490">
        <v>1.482E-2</v>
      </c>
      <c r="R66" s="490">
        <v>1.482E-2</v>
      </c>
      <c r="S66" s="490">
        <v>1.482E-2</v>
      </c>
      <c r="T66" s="490">
        <v>1.482E-2</v>
      </c>
      <c r="U66" s="490">
        <v>1.482E-2</v>
      </c>
      <c r="V66" s="490">
        <v>1.482E-2</v>
      </c>
      <c r="W66" s="490">
        <v>1.482E-2</v>
      </c>
      <c r="X66" s="490">
        <v>1.482E-2</v>
      </c>
      <c r="Y66" s="490">
        <v>1.482E-2</v>
      </c>
      <c r="Z66" s="490">
        <v>1.482E-2</v>
      </c>
      <c r="AA66" s="490">
        <v>1.482E-2</v>
      </c>
      <c r="AB66" s="490">
        <v>1.482E-2</v>
      </c>
      <c r="AC66" s="490">
        <v>1.482E-2</v>
      </c>
      <c r="AD66" s="490">
        <v>1.482E-2</v>
      </c>
      <c r="AE66" s="490">
        <v>1.482E-2</v>
      </c>
      <c r="AF66" s="490">
        <v>1.482E-2</v>
      </c>
      <c r="AG66" s="490">
        <v>1.482E-2</v>
      </c>
      <c r="AH66" s="490">
        <v>0</v>
      </c>
      <c r="AI66" s="490">
        <v>0</v>
      </c>
      <c r="AJ66" s="490">
        <v>0</v>
      </c>
      <c r="AK66" s="490">
        <v>0</v>
      </c>
      <c r="AL66" s="490">
        <v>0</v>
      </c>
      <c r="AM66" s="490">
        <v>0</v>
      </c>
      <c r="AN66" s="490">
        <v>0</v>
      </c>
      <c r="AO66" s="490">
        <v>0</v>
      </c>
      <c r="AP66" s="490">
        <v>0</v>
      </c>
      <c r="AQ66" s="490">
        <v>0</v>
      </c>
      <c r="AR66" s="490">
        <v>0</v>
      </c>
      <c r="AS66" s="490">
        <v>0</v>
      </c>
      <c r="AT66" s="618">
        <v>0</v>
      </c>
      <c r="AU66" s="613">
        <v>0</v>
      </c>
      <c r="AV66" s="613">
        <v>0</v>
      </c>
      <c r="AW66" s="613">
        <v>0</v>
      </c>
      <c r="AX66" s="613">
        <v>0</v>
      </c>
      <c r="AY66" s="613">
        <v>0</v>
      </c>
      <c r="AZ66" s="613">
        <v>0</v>
      </c>
      <c r="BA66" s="613">
        <v>0</v>
      </c>
      <c r="BB66" s="613">
        <v>0</v>
      </c>
      <c r="BC66" s="613">
        <v>0</v>
      </c>
      <c r="BD66" s="613">
        <v>0</v>
      </c>
      <c r="BE66" s="613">
        <v>0</v>
      </c>
    </row>
    <row r="67" spans="1:64">
      <c r="A67" s="481"/>
      <c r="B67" s="481"/>
      <c r="C67" s="479" t="s">
        <v>40</v>
      </c>
      <c r="F67" s="490">
        <v>0</v>
      </c>
      <c r="G67" s="494" t="s">
        <v>267</v>
      </c>
      <c r="H67" s="494" t="s">
        <v>267</v>
      </c>
      <c r="I67" s="490">
        <v>1.482E-2</v>
      </c>
      <c r="J67" s="490">
        <v>1.482E-2</v>
      </c>
      <c r="K67" s="490">
        <v>1.482E-2</v>
      </c>
      <c r="L67" s="490">
        <v>1.482E-2</v>
      </c>
      <c r="M67" s="490">
        <v>1.482E-2</v>
      </c>
      <c r="N67" s="490">
        <v>1.482E-2</v>
      </c>
      <c r="O67" s="490">
        <v>1.482E-2</v>
      </c>
      <c r="P67" s="490">
        <v>1.482E-2</v>
      </c>
      <c r="Q67" s="490">
        <v>1.482E-2</v>
      </c>
      <c r="R67" s="490">
        <v>1.482E-2</v>
      </c>
      <c r="S67" s="490">
        <v>1.482E-2</v>
      </c>
      <c r="T67" s="490">
        <v>1.482E-2</v>
      </c>
      <c r="U67" s="490">
        <v>1.482E-2</v>
      </c>
      <c r="V67" s="490">
        <v>1.482E-2</v>
      </c>
      <c r="W67" s="490">
        <v>1.482E-2</v>
      </c>
      <c r="X67" s="490">
        <v>1.482E-2</v>
      </c>
      <c r="Y67" s="490">
        <v>1.482E-2</v>
      </c>
      <c r="Z67" s="490">
        <v>1.482E-2</v>
      </c>
      <c r="AA67" s="490">
        <v>1.482E-2</v>
      </c>
      <c r="AB67" s="490">
        <v>1.482E-2</v>
      </c>
      <c r="AC67" s="490">
        <v>1.482E-2</v>
      </c>
      <c r="AD67" s="490">
        <v>1.482E-2</v>
      </c>
      <c r="AE67" s="490">
        <v>1.482E-2</v>
      </c>
      <c r="AF67" s="490">
        <v>1.482E-2</v>
      </c>
      <c r="AG67" s="490">
        <v>1.482E-2</v>
      </c>
      <c r="AH67" s="490">
        <v>0</v>
      </c>
      <c r="AI67" s="490">
        <v>0</v>
      </c>
      <c r="AJ67" s="490">
        <v>0</v>
      </c>
      <c r="AK67" s="490">
        <v>0</v>
      </c>
      <c r="AL67" s="490">
        <v>0</v>
      </c>
      <c r="AM67" s="490">
        <v>0</v>
      </c>
      <c r="AN67" s="490">
        <v>0</v>
      </c>
      <c r="AO67" s="490">
        <v>0</v>
      </c>
      <c r="AP67" s="490">
        <v>0</v>
      </c>
      <c r="AQ67" s="490">
        <v>0</v>
      </c>
      <c r="AR67" s="490">
        <v>0</v>
      </c>
      <c r="AS67" s="490">
        <v>0</v>
      </c>
      <c r="AT67" s="618">
        <v>0</v>
      </c>
      <c r="AU67" s="613">
        <v>0</v>
      </c>
      <c r="AV67" s="613">
        <v>0</v>
      </c>
      <c r="AW67" s="613">
        <v>0</v>
      </c>
      <c r="AX67" s="613">
        <v>0</v>
      </c>
      <c r="AY67" s="613">
        <v>0</v>
      </c>
      <c r="AZ67" s="613">
        <v>0</v>
      </c>
      <c r="BA67" s="613">
        <v>0</v>
      </c>
      <c r="BB67" s="613">
        <v>0</v>
      </c>
      <c r="BC67" s="613">
        <v>0</v>
      </c>
      <c r="BD67" s="613">
        <v>0</v>
      </c>
      <c r="BE67" s="613">
        <v>0</v>
      </c>
      <c r="BG67" s="653" t="s">
        <v>321</v>
      </c>
      <c r="BH67" s="654"/>
      <c r="BI67" s="654"/>
      <c r="BJ67" s="654"/>
      <c r="BK67" s="654"/>
      <c r="BL67" s="654"/>
    </row>
    <row r="68" spans="1:64" ht="15.75" hidden="1" customHeight="1" outlineLevel="1">
      <c r="A68" s="481"/>
      <c r="B68" s="481"/>
      <c r="C68" s="574" t="s">
        <v>41</v>
      </c>
      <c r="F68" s="490">
        <v>0</v>
      </c>
      <c r="G68" s="494" t="s">
        <v>267</v>
      </c>
      <c r="H68" s="494" t="s">
        <v>267</v>
      </c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618"/>
      <c r="AU68" s="613"/>
      <c r="AV68" s="613"/>
      <c r="AW68" s="613"/>
      <c r="AX68" s="613"/>
      <c r="AY68" s="613"/>
      <c r="AZ68" s="613"/>
      <c r="BA68" s="613"/>
      <c r="BB68" s="613"/>
      <c r="BC68" s="613"/>
      <c r="BD68" s="613"/>
      <c r="BE68" s="613"/>
      <c r="BG68" s="654"/>
      <c r="BH68" s="654"/>
      <c r="BI68" s="654"/>
      <c r="BJ68" s="654"/>
      <c r="BK68" s="654"/>
      <c r="BL68" s="654"/>
    </row>
    <row r="69" spans="1:64" ht="15.75" hidden="1" customHeight="1" outlineLevel="1">
      <c r="A69" s="481"/>
      <c r="B69" s="481"/>
      <c r="C69" s="574" t="s">
        <v>42</v>
      </c>
      <c r="F69" s="490">
        <v>0</v>
      </c>
      <c r="G69" s="494" t="s">
        <v>267</v>
      </c>
      <c r="H69" s="494" t="s">
        <v>267</v>
      </c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618"/>
      <c r="AU69" s="613"/>
      <c r="AV69" s="613"/>
      <c r="AW69" s="613"/>
      <c r="AX69" s="613"/>
      <c r="AY69" s="613"/>
      <c r="AZ69" s="613"/>
      <c r="BA69" s="613"/>
      <c r="BB69" s="613"/>
      <c r="BC69" s="613"/>
      <c r="BD69" s="613"/>
      <c r="BE69" s="613"/>
      <c r="BG69" s="654"/>
      <c r="BH69" s="654"/>
      <c r="BI69" s="654"/>
      <c r="BJ69" s="654"/>
      <c r="BK69" s="654"/>
      <c r="BL69" s="654"/>
    </row>
    <row r="70" spans="1:64" collapsed="1">
      <c r="A70" s="481"/>
      <c r="B70" s="481"/>
      <c r="C70" s="479" t="s">
        <v>43</v>
      </c>
      <c r="F70" s="490">
        <v>0</v>
      </c>
      <c r="G70" s="494" t="s">
        <v>267</v>
      </c>
      <c r="H70" s="494" t="s">
        <v>267</v>
      </c>
      <c r="I70" s="490">
        <v>1.482E-2</v>
      </c>
      <c r="J70" s="490">
        <v>1.482E-2</v>
      </c>
      <c r="K70" s="490">
        <v>1.482E-2</v>
      </c>
      <c r="L70" s="490">
        <v>1.482E-2</v>
      </c>
      <c r="M70" s="490">
        <v>1.482E-2</v>
      </c>
      <c r="N70" s="490">
        <v>1.482E-2</v>
      </c>
      <c r="O70" s="490">
        <v>1.482E-2</v>
      </c>
      <c r="P70" s="490">
        <v>1.482E-2</v>
      </c>
      <c r="Q70" s="490">
        <v>1.482E-2</v>
      </c>
      <c r="R70" s="490">
        <v>1.482E-2</v>
      </c>
      <c r="S70" s="490">
        <v>1.482E-2</v>
      </c>
      <c r="T70" s="490">
        <v>1.482E-2</v>
      </c>
      <c r="U70" s="490">
        <v>1.482E-2</v>
      </c>
      <c r="V70" s="490">
        <v>1.482E-2</v>
      </c>
      <c r="W70" s="490">
        <v>1.482E-2</v>
      </c>
      <c r="X70" s="490">
        <v>1.482E-2</v>
      </c>
      <c r="Y70" s="490">
        <v>1.482E-2</v>
      </c>
      <c r="Z70" s="490">
        <v>1.482E-2</v>
      </c>
      <c r="AA70" s="490">
        <v>1.482E-2</v>
      </c>
      <c r="AB70" s="490">
        <v>1.482E-2</v>
      </c>
      <c r="AC70" s="490">
        <v>1.482E-2</v>
      </c>
      <c r="AD70" s="490">
        <v>1.482E-2</v>
      </c>
      <c r="AE70" s="490">
        <v>1.482E-2</v>
      </c>
      <c r="AF70" s="490">
        <v>1.482E-2</v>
      </c>
      <c r="AG70" s="490">
        <v>1.482E-2</v>
      </c>
      <c r="AH70" s="490">
        <v>0</v>
      </c>
      <c r="AI70" s="490">
        <v>0</v>
      </c>
      <c r="AJ70" s="490">
        <v>0</v>
      </c>
      <c r="AK70" s="490">
        <v>0</v>
      </c>
      <c r="AL70" s="490">
        <v>0</v>
      </c>
      <c r="AM70" s="490">
        <v>0</v>
      </c>
      <c r="AN70" s="490">
        <v>0</v>
      </c>
      <c r="AO70" s="490">
        <v>0</v>
      </c>
      <c r="AP70" s="490">
        <v>0</v>
      </c>
      <c r="AQ70" s="490">
        <v>0</v>
      </c>
      <c r="AR70" s="490">
        <v>0</v>
      </c>
      <c r="AS70" s="490">
        <v>0</v>
      </c>
      <c r="AT70" s="618">
        <v>0</v>
      </c>
      <c r="AU70" s="613">
        <v>0</v>
      </c>
      <c r="AV70" s="613">
        <v>0</v>
      </c>
      <c r="AW70" s="613">
        <v>0</v>
      </c>
      <c r="AX70" s="613">
        <v>0</v>
      </c>
      <c r="AY70" s="613">
        <v>0</v>
      </c>
      <c r="AZ70" s="613">
        <v>0</v>
      </c>
      <c r="BA70" s="613">
        <v>0</v>
      </c>
      <c r="BB70" s="613">
        <v>0</v>
      </c>
      <c r="BC70" s="613">
        <v>0</v>
      </c>
      <c r="BD70" s="613">
        <v>0</v>
      </c>
      <c r="BE70" s="613">
        <v>0</v>
      </c>
      <c r="BG70" s="654"/>
      <c r="BH70" s="654"/>
      <c r="BI70" s="654"/>
      <c r="BJ70" s="654"/>
      <c r="BK70" s="654"/>
      <c r="BL70" s="654"/>
    </row>
    <row r="71" spans="1:64" ht="15.75" hidden="1" customHeight="1" outlineLevel="1">
      <c r="A71" s="481"/>
      <c r="B71" s="481"/>
      <c r="C71" s="574" t="s">
        <v>74</v>
      </c>
      <c r="F71" s="490">
        <v>0</v>
      </c>
      <c r="G71" s="490" t="s">
        <v>267</v>
      </c>
      <c r="H71" s="490" t="s">
        <v>267</v>
      </c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G71" s="654"/>
      <c r="BH71" s="654"/>
      <c r="BI71" s="654"/>
      <c r="BJ71" s="654"/>
      <c r="BK71" s="654"/>
      <c r="BL71" s="654"/>
    </row>
    <row r="72" spans="1:64" collapsed="1">
      <c r="A72" s="481" t="s">
        <v>290</v>
      </c>
      <c r="B72" s="481" t="s">
        <v>290</v>
      </c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0"/>
      <c r="AK72" s="490"/>
      <c r="AL72" s="490"/>
      <c r="AM72" s="490"/>
      <c r="AN72" s="490"/>
      <c r="AO72" s="490"/>
      <c r="AP72" s="490"/>
      <c r="AQ72" s="490"/>
      <c r="AR72" s="490"/>
      <c r="AS72" s="490"/>
      <c r="AT72" s="490"/>
      <c r="AU72" s="490"/>
      <c r="AV72" s="490"/>
      <c r="AW72" s="490"/>
      <c r="AX72" s="490"/>
      <c r="AY72" s="490"/>
      <c r="AZ72" s="490"/>
      <c r="BA72" s="490"/>
      <c r="BB72" s="490"/>
      <c r="BC72" s="490"/>
      <c r="BD72" s="490"/>
      <c r="BE72" s="490"/>
      <c r="BG72" s="654"/>
      <c r="BH72" s="654"/>
      <c r="BI72" s="654"/>
      <c r="BJ72" s="654"/>
      <c r="BK72" s="654"/>
      <c r="BL72" s="654"/>
    </row>
    <row r="73" spans="1:64" s="481" customFormat="1" ht="16.5" thickBot="1">
      <c r="A73" s="534">
        <v>191015</v>
      </c>
      <c r="B73" s="534">
        <v>191015</v>
      </c>
      <c r="C73" s="483" t="s">
        <v>253</v>
      </c>
      <c r="D73" s="484" t="s">
        <v>248</v>
      </c>
      <c r="E73" s="485" t="s">
        <v>249</v>
      </c>
      <c r="F73" s="482">
        <v>201309</v>
      </c>
      <c r="G73" s="482">
        <f>F73+1</f>
        <v>201310</v>
      </c>
      <c r="H73" s="482">
        <f>G73+1</f>
        <v>201311</v>
      </c>
      <c r="I73" s="482">
        <f>H73+1</f>
        <v>201312</v>
      </c>
      <c r="J73" s="482">
        <v>201401</v>
      </c>
      <c r="K73" s="482">
        <v>201402</v>
      </c>
      <c r="L73" s="482">
        <v>201403</v>
      </c>
      <c r="M73" s="482">
        <v>201404</v>
      </c>
      <c r="N73" s="482">
        <v>201405</v>
      </c>
      <c r="O73" s="482">
        <v>201406</v>
      </c>
      <c r="P73" s="482">
        <v>201407</v>
      </c>
      <c r="Q73" s="482">
        <v>201408</v>
      </c>
      <c r="R73" s="482">
        <v>201409</v>
      </c>
      <c r="S73" s="482">
        <v>201410</v>
      </c>
      <c r="T73" s="482">
        <v>201411</v>
      </c>
      <c r="U73" s="482">
        <v>201412</v>
      </c>
      <c r="V73" s="482">
        <v>201501</v>
      </c>
      <c r="W73" s="482">
        <f t="shared" ref="W73" si="206">V73+1</f>
        <v>201502</v>
      </c>
      <c r="X73" s="482">
        <f t="shared" ref="X73" si="207">W73+1</f>
        <v>201503</v>
      </c>
      <c r="Y73" s="482">
        <f t="shared" ref="Y73" si="208">X73+1</f>
        <v>201504</v>
      </c>
      <c r="Z73" s="482">
        <f t="shared" ref="Z73" si="209">Y73+1</f>
        <v>201505</v>
      </c>
      <c r="AA73" s="482">
        <f t="shared" ref="AA73" si="210">Z73+1</f>
        <v>201506</v>
      </c>
      <c r="AB73" s="482">
        <f t="shared" ref="AB73" si="211">AA73+1</f>
        <v>201507</v>
      </c>
      <c r="AC73" s="482">
        <f t="shared" ref="AC73" si="212">AB73+1</f>
        <v>201508</v>
      </c>
      <c r="AD73" s="482">
        <f t="shared" ref="AD73" si="213">AC73+1</f>
        <v>201509</v>
      </c>
      <c r="AE73" s="482">
        <f t="shared" ref="AE73" si="214">AD73+1</f>
        <v>201510</v>
      </c>
      <c r="AF73" s="482">
        <f t="shared" ref="AF73" si="215">AE73+1</f>
        <v>201511</v>
      </c>
      <c r="AG73" s="482">
        <f t="shared" ref="AG73" si="216">AF73+1</f>
        <v>201512</v>
      </c>
      <c r="AH73" s="482">
        <v>201601</v>
      </c>
      <c r="AI73" s="482">
        <f>AH73+1</f>
        <v>201602</v>
      </c>
      <c r="AJ73" s="482">
        <f t="shared" ref="AJ73:AS73" si="217">AI73+1</f>
        <v>201603</v>
      </c>
      <c r="AK73" s="482">
        <f t="shared" si="217"/>
        <v>201604</v>
      </c>
      <c r="AL73" s="482">
        <f t="shared" si="217"/>
        <v>201605</v>
      </c>
      <c r="AM73" s="482">
        <f t="shared" si="217"/>
        <v>201606</v>
      </c>
      <c r="AN73" s="482">
        <f t="shared" si="217"/>
        <v>201607</v>
      </c>
      <c r="AO73" s="587">
        <f t="shared" si="217"/>
        <v>201608</v>
      </c>
      <c r="AP73" s="482">
        <f t="shared" si="217"/>
        <v>201609</v>
      </c>
      <c r="AQ73" s="482">
        <f t="shared" si="217"/>
        <v>201610</v>
      </c>
      <c r="AR73" s="482">
        <f t="shared" si="217"/>
        <v>201611</v>
      </c>
      <c r="AS73" s="482">
        <f t="shared" si="217"/>
        <v>201612</v>
      </c>
      <c r="AT73" s="482">
        <f>AT3</f>
        <v>201701</v>
      </c>
      <c r="AU73" s="482">
        <f>AT73+1</f>
        <v>201702</v>
      </c>
      <c r="AV73" s="482">
        <f t="shared" ref="AV73" si="218">AU73+1</f>
        <v>201703</v>
      </c>
      <c r="AW73" s="482">
        <f t="shared" ref="AW73" si="219">AV73+1</f>
        <v>201704</v>
      </c>
      <c r="AX73" s="482">
        <f t="shared" ref="AX73" si="220">AW73+1</f>
        <v>201705</v>
      </c>
      <c r="AY73" s="482">
        <f t="shared" ref="AY73" si="221">AX73+1</f>
        <v>201706</v>
      </c>
      <c r="AZ73" s="482">
        <f t="shared" ref="AZ73" si="222">AY73+1</f>
        <v>201707</v>
      </c>
      <c r="BA73" s="587">
        <f t="shared" ref="BA73" si="223">AZ73+1</f>
        <v>201708</v>
      </c>
      <c r="BB73" s="482">
        <f t="shared" ref="BB73" si="224">BA73+1</f>
        <v>201709</v>
      </c>
      <c r="BC73" s="482">
        <f t="shared" ref="BC73" si="225">BB73+1</f>
        <v>201710</v>
      </c>
      <c r="BD73" s="482">
        <f t="shared" ref="BD73" si="226">BC73+1</f>
        <v>201711</v>
      </c>
      <c r="BE73" s="482">
        <f t="shared" ref="BE73" si="227">BD73+1</f>
        <v>201712</v>
      </c>
      <c r="BF73" s="577"/>
      <c r="BG73" s="559" t="s">
        <v>321</v>
      </c>
      <c r="BH73" s="523"/>
      <c r="BI73" s="480"/>
      <c r="BJ73" s="480"/>
      <c r="BK73" s="480"/>
      <c r="BL73" s="480"/>
    </row>
    <row r="74" spans="1:64" s="481" customFormat="1" ht="16.5" thickBot="1">
      <c r="A74" s="482"/>
      <c r="B74" s="482"/>
      <c r="C74" s="483" t="s">
        <v>254</v>
      </c>
      <c r="D74" s="484"/>
      <c r="E74" s="485"/>
      <c r="F74" s="486">
        <v>0.01</v>
      </c>
      <c r="G74" s="486">
        <v>0.01</v>
      </c>
      <c r="H74" s="486">
        <v>0.01</v>
      </c>
      <c r="I74" s="486">
        <v>0.01</v>
      </c>
      <c r="J74" s="486">
        <v>0.01</v>
      </c>
      <c r="K74" s="486">
        <v>0.01</v>
      </c>
      <c r="L74" s="486">
        <v>0.01</v>
      </c>
      <c r="M74" s="486">
        <v>0.01</v>
      </c>
      <c r="N74" s="486">
        <v>0.01</v>
      </c>
      <c r="O74" s="486">
        <v>0.01</v>
      </c>
      <c r="P74" s="486">
        <v>0.01</v>
      </c>
      <c r="Q74" s="486">
        <v>0.01</v>
      </c>
      <c r="R74" s="486">
        <v>0.01</v>
      </c>
      <c r="S74" s="486">
        <v>0.01</v>
      </c>
      <c r="T74" s="486">
        <v>0.01</v>
      </c>
      <c r="U74" s="486">
        <v>0.01</v>
      </c>
      <c r="V74" s="486">
        <v>0.01</v>
      </c>
      <c r="W74" s="486">
        <v>0.01</v>
      </c>
      <c r="X74" s="486">
        <v>0.01</v>
      </c>
      <c r="Y74" s="486">
        <v>0.01</v>
      </c>
      <c r="Z74" s="486">
        <v>0.01</v>
      </c>
      <c r="AA74" s="486">
        <v>0.01</v>
      </c>
      <c r="AB74" s="486">
        <v>0.01</v>
      </c>
      <c r="AC74" s="486">
        <v>0.01</v>
      </c>
      <c r="AD74" s="486">
        <v>0.01</v>
      </c>
      <c r="AE74" s="486">
        <v>0.01</v>
      </c>
      <c r="AF74" s="486">
        <v>0.01</v>
      </c>
      <c r="AG74" s="486">
        <v>0.01</v>
      </c>
      <c r="AH74" s="486">
        <v>0.01</v>
      </c>
      <c r="AI74" s="486">
        <v>0.01</v>
      </c>
      <c r="AJ74" s="486">
        <v>0.01</v>
      </c>
      <c r="AK74" s="486">
        <v>0.01</v>
      </c>
      <c r="AL74" s="486">
        <v>0.01</v>
      </c>
      <c r="AM74" s="486">
        <v>0.01</v>
      </c>
      <c r="AN74" s="486">
        <v>0.01</v>
      </c>
      <c r="AO74" s="586">
        <v>0.01</v>
      </c>
      <c r="AP74" s="486">
        <v>0.01</v>
      </c>
      <c r="AQ74" s="486">
        <v>0.01</v>
      </c>
      <c r="AR74" s="486">
        <v>0.01</v>
      </c>
      <c r="AS74" s="486">
        <v>0.01</v>
      </c>
      <c r="AT74" s="617">
        <v>0.01</v>
      </c>
      <c r="AU74" s="486"/>
      <c r="AV74" s="486"/>
      <c r="AW74" s="486"/>
      <c r="AX74" s="486"/>
      <c r="AY74" s="486"/>
      <c r="AZ74" s="486"/>
      <c r="BA74" s="586"/>
      <c r="BB74" s="486"/>
      <c r="BC74" s="486"/>
      <c r="BD74" s="486"/>
      <c r="BE74" s="486"/>
      <c r="BF74" s="577"/>
      <c r="BG74" s="511">
        <f>BG4</f>
        <v>201701</v>
      </c>
      <c r="BH74" s="524"/>
      <c r="BI74" s="512"/>
      <c r="BJ74" s="512"/>
      <c r="BK74" s="521"/>
      <c r="BL74" s="513"/>
    </row>
    <row r="75" spans="1:64">
      <c r="A75" s="491"/>
      <c r="B75" s="491"/>
      <c r="C75" s="479" t="s">
        <v>250</v>
      </c>
      <c r="F75" s="480">
        <v>-1564267.6899999997</v>
      </c>
      <c r="G75" s="480">
        <v>-1565571.2464083331</v>
      </c>
      <c r="H75" s="480">
        <v>-1478312.2029470066</v>
      </c>
      <c r="I75" s="480">
        <v>-1339478.8829470065</v>
      </c>
      <c r="J75" s="480">
        <v>-1135997.4141529372</v>
      </c>
      <c r="K75" s="480">
        <v>-962576.36949297041</v>
      </c>
      <c r="L75" s="480">
        <v>-785906.7696454369</v>
      </c>
      <c r="M75" s="480">
        <v>-649045.24135766376</v>
      </c>
      <c r="N75" s="480">
        <v>-566647.43620429246</v>
      </c>
      <c r="O75" s="480">
        <v>-521605.49367179343</v>
      </c>
      <c r="P75" s="480">
        <v>-484026.68190290901</v>
      </c>
      <c r="Q75" s="480">
        <v>-455668.54726897553</v>
      </c>
      <c r="R75" s="480">
        <v>-425186.68281978043</v>
      </c>
      <c r="S75" s="480">
        <v>-393487.68887037766</v>
      </c>
      <c r="T75" s="480">
        <v>-328715.75802375871</v>
      </c>
      <c r="U75" s="480">
        <v>-176704.17265240088</v>
      </c>
      <c r="V75" s="480">
        <v>-11881.717940675277</v>
      </c>
      <c r="W75" s="480">
        <v>-11881.722960675279</v>
      </c>
      <c r="X75" s="480">
        <v>-11901.532960675278</v>
      </c>
      <c r="Y75" s="480">
        <f t="shared" ref="Y75" si="228">X79</f>
        <v>-11911.450904809175</v>
      </c>
      <c r="Z75" s="480">
        <v>-11921.377113896517</v>
      </c>
      <c r="AA75" s="480">
        <v>-11931.311594824763</v>
      </c>
      <c r="AB75" s="480">
        <v>-11941.254354487117</v>
      </c>
      <c r="AC75" s="480">
        <f t="shared" ref="AC75" si="229">AB79</f>
        <v>-11951.205399782522</v>
      </c>
      <c r="AD75" s="480">
        <f t="shared" ref="AD75" si="230">AC79</f>
        <v>-11961.164737615674</v>
      </c>
      <c r="AE75" s="480">
        <f t="shared" ref="AE75" si="231">AD79</f>
        <v>-11971.132374897021</v>
      </c>
      <c r="AF75" s="480">
        <f t="shared" ref="AF75" si="232">AE79</f>
        <v>-11981.108318542769</v>
      </c>
      <c r="AG75" s="480">
        <f t="shared" ref="AG75" si="233">AF79</f>
        <v>-11991.092575474888</v>
      </c>
      <c r="AH75" s="480">
        <f t="shared" ref="AH75" si="234">AG79</f>
        <v>-12001.085152621117</v>
      </c>
      <c r="AI75" s="480">
        <f t="shared" ref="AI75" si="235">AH79</f>
        <v>-12011.086056914968</v>
      </c>
      <c r="AJ75" s="480">
        <f t="shared" ref="AJ75" si="236">AI79</f>
        <v>-12021.09529529573</v>
      </c>
      <c r="AK75" s="480">
        <f t="shared" ref="AK75" si="237">AJ79</f>
        <v>-12031.112874708477</v>
      </c>
      <c r="AL75" s="480">
        <f t="shared" ref="AL75" si="238">AK79</f>
        <v>-12041.138802104068</v>
      </c>
      <c r="AM75" s="480">
        <f t="shared" ref="AM75" si="239">AL79</f>
        <v>-12051.173084439155</v>
      </c>
      <c r="AN75" s="480">
        <f>AM79</f>
        <v>-12061.215728676189</v>
      </c>
      <c r="AO75" s="480">
        <f t="shared" ref="AO75" si="240">AN79</f>
        <v>-12071.266741783418</v>
      </c>
      <c r="AP75" s="480">
        <f t="shared" ref="AP75" si="241">AO79</f>
        <v>-12081.326130734904</v>
      </c>
      <c r="AQ75" s="480">
        <f>AP79</f>
        <v>-12091.393902510516</v>
      </c>
      <c r="AR75" s="480">
        <f t="shared" ref="AR75" si="242">AQ79</f>
        <v>-12101.470064095942</v>
      </c>
      <c r="AS75" s="480">
        <f t="shared" ref="AS75" si="243">AR79</f>
        <v>-12111.554622482689</v>
      </c>
      <c r="AT75" s="480">
        <f>AS79</f>
        <v>-12121.647584668091</v>
      </c>
      <c r="AU75" s="480">
        <f t="shared" ref="AU75" si="244">AT79</f>
        <v>-12131.748957655314</v>
      </c>
      <c r="AV75" s="480">
        <f t="shared" ref="AV75" si="245">AU79</f>
        <v>-12131.748957655314</v>
      </c>
      <c r="AW75" s="480">
        <f t="shared" ref="AW75" si="246">AV79</f>
        <v>-12131.748957655314</v>
      </c>
      <c r="AX75" s="480">
        <f t="shared" ref="AX75" si="247">AW79</f>
        <v>-12131.748957655314</v>
      </c>
      <c r="AY75" s="480">
        <f t="shared" ref="AY75" si="248">AX79</f>
        <v>-12131.748957655314</v>
      </c>
      <c r="AZ75" s="480">
        <f>AY79</f>
        <v>-12131.748957655314</v>
      </c>
      <c r="BA75" s="480">
        <f t="shared" ref="BA75" si="249">AZ79</f>
        <v>-12131.748957655314</v>
      </c>
      <c r="BB75" s="480">
        <f t="shared" ref="BB75" si="250">BA79</f>
        <v>-12131.748957655314</v>
      </c>
      <c r="BC75" s="480">
        <f>BB79</f>
        <v>-12131.748957655314</v>
      </c>
      <c r="BD75" s="480">
        <f t="shared" ref="BD75" si="251">BC79</f>
        <v>-12131.748957655314</v>
      </c>
      <c r="BE75" s="480">
        <f t="shared" ref="BE75" si="252">BD79</f>
        <v>-12131.748957655314</v>
      </c>
      <c r="BG75" s="495" t="s">
        <v>305</v>
      </c>
      <c r="BH75" s="525">
        <v>419600</v>
      </c>
      <c r="BI75" s="496" t="s">
        <v>285</v>
      </c>
      <c r="BJ75" s="496" t="s">
        <v>288</v>
      </c>
      <c r="BK75" s="468">
        <v>0</v>
      </c>
      <c r="BL75" s="518">
        <f>IF(SUMIF(AH73:BE73,BG74,AH77:BE77)&gt;0,SUMIF(AH73:BE73,BG74,AH77:BE77),0)</f>
        <v>0</v>
      </c>
    </row>
    <row r="76" spans="1:64">
      <c r="C76" s="479" t="s">
        <v>23</v>
      </c>
      <c r="D76" s="480">
        <f>SUM(V76:AG76)</f>
        <v>4.9799999978858978E-3</v>
      </c>
      <c r="E76" s="489">
        <f>SUM(T76:AE76)</f>
        <v>317123.09256000002</v>
      </c>
      <c r="F76" s="480">
        <f>SUMPRODUCT(F52:F59,F64:F71)</f>
        <v>0</v>
      </c>
      <c r="G76" s="480">
        <v>88526.8</v>
      </c>
      <c r="H76" s="480">
        <v>140835.72</v>
      </c>
      <c r="I76" s="480">
        <f t="shared" ref="I76" si="253">SUMPRODUCT(I52:I59,I64:I71)</f>
        <v>204512.48766000001</v>
      </c>
      <c r="J76" s="480">
        <v>174295.08564</v>
      </c>
      <c r="K76" s="480">
        <v>177397.83048</v>
      </c>
      <c r="L76" s="480">
        <v>137459.17535999999</v>
      </c>
      <c r="M76" s="480">
        <v>82904.13222</v>
      </c>
      <c r="N76" s="480">
        <v>45495.19182</v>
      </c>
      <c r="O76" s="480">
        <v>37997.650079999999</v>
      </c>
      <c r="P76" s="480">
        <v>28749.51066</v>
      </c>
      <c r="Q76" s="480">
        <v>30848.73402</v>
      </c>
      <c r="R76" s="480">
        <v>32039.965619999999</v>
      </c>
      <c r="S76" s="480">
        <v>65072.723039999997</v>
      </c>
      <c r="T76" s="480">
        <v>152222.08872</v>
      </c>
      <c r="U76" s="480">
        <v>164900.99885999999</v>
      </c>
      <c r="V76" s="480">
        <f>SUMPRODUCT(V52:V59,V64:V71)-175667.22</f>
        <v>4.9799999978858978E-3</v>
      </c>
      <c r="W76" s="480">
        <v>0</v>
      </c>
      <c r="X76" s="480">
        <v>0</v>
      </c>
      <c r="Y76" s="480">
        <v>0</v>
      </c>
      <c r="Z76" s="480">
        <v>0</v>
      </c>
      <c r="AA76" s="480">
        <v>0</v>
      </c>
      <c r="AB76" s="480">
        <v>0</v>
      </c>
      <c r="AC76" s="480">
        <v>0</v>
      </c>
      <c r="AD76" s="480">
        <v>0</v>
      </c>
      <c r="AE76" s="480">
        <v>0</v>
      </c>
      <c r="AF76" s="480">
        <v>0</v>
      </c>
      <c r="AG76" s="480">
        <v>0</v>
      </c>
      <c r="AH76" s="480">
        <v>0</v>
      </c>
      <c r="AI76" s="480">
        <v>0</v>
      </c>
      <c r="AJ76" s="480">
        <v>0</v>
      </c>
      <c r="AK76" s="480">
        <v>0</v>
      </c>
      <c r="AL76" s="480">
        <v>0</v>
      </c>
      <c r="AM76" s="480">
        <v>0</v>
      </c>
      <c r="AN76" s="480">
        <v>0</v>
      </c>
      <c r="AO76" s="480">
        <v>0</v>
      </c>
      <c r="AP76" s="480">
        <v>0</v>
      </c>
      <c r="AQ76" s="480">
        <v>0</v>
      </c>
      <c r="AR76" s="480">
        <v>0</v>
      </c>
      <c r="AS76" s="480">
        <v>0</v>
      </c>
      <c r="AT76" s="480">
        <v>0</v>
      </c>
      <c r="AU76" s="480">
        <v>0</v>
      </c>
      <c r="AV76" s="480">
        <v>0</v>
      </c>
      <c r="AW76" s="480">
        <v>0</v>
      </c>
      <c r="AX76" s="480">
        <v>0</v>
      </c>
      <c r="AY76" s="480">
        <v>0</v>
      </c>
      <c r="AZ76" s="480">
        <v>0</v>
      </c>
      <c r="BA76" s="480">
        <v>0</v>
      </c>
      <c r="BB76" s="480">
        <v>0</v>
      </c>
      <c r="BC76" s="480">
        <v>0</v>
      </c>
      <c r="BD76" s="480">
        <v>0</v>
      </c>
      <c r="BE76" s="480">
        <v>0</v>
      </c>
      <c r="BG76" s="497" t="s">
        <v>306</v>
      </c>
      <c r="BH76" s="526">
        <v>431600</v>
      </c>
      <c r="BI76" s="356" t="s">
        <v>285</v>
      </c>
      <c r="BJ76" s="356" t="s">
        <v>288</v>
      </c>
      <c r="BK76" s="379">
        <f>IF(SUMIF(AH73:BE73,BG74,AH77:BE77)&lt;0,-SUMIF(AH73:BE73,BG74,AH77:BE77),0)</f>
        <v>10.10137298722341</v>
      </c>
      <c r="BL76" s="498">
        <v>0</v>
      </c>
    </row>
    <row r="77" spans="1:64">
      <c r="C77" s="479" t="s">
        <v>4</v>
      </c>
      <c r="D77" s="480">
        <f t="shared" ref="D77:D78" si="254">SUM(V77:AG77)</f>
        <v>-109.46219194583813</v>
      </c>
      <c r="E77" s="489">
        <f>SUM(T77:AE77)</f>
        <v>-378.5328547840578</v>
      </c>
      <c r="F77" s="480">
        <f>(F75*(F74/12))+((F76/2)*(F74/12))</f>
        <v>-1303.5564083333331</v>
      </c>
      <c r="G77" s="480">
        <f>(G75*(G74/12))+((G76/2)*(G74/12))</f>
        <v>-1267.756538673611</v>
      </c>
      <c r="H77" s="480">
        <v>-1173.94</v>
      </c>
      <c r="I77" s="487">
        <f>(I75*(I74/12))+((I76/2)*(I74/12))</f>
        <v>-1031.0188659308387</v>
      </c>
      <c r="J77" s="487">
        <v>-874.04098003316506</v>
      </c>
      <c r="K77" s="487">
        <v>-728.23063246652612</v>
      </c>
      <c r="L77" s="487">
        <v>-597.64707222691482</v>
      </c>
      <c r="M77" s="487">
        <v>-506.32706662877047</v>
      </c>
      <c r="N77" s="487">
        <v>-453.24928750096109</v>
      </c>
      <c r="O77" s="487">
        <v>-418.8383111155452</v>
      </c>
      <c r="P77" s="487">
        <v>-391.37602606647488</v>
      </c>
      <c r="Q77" s="487">
        <v>-366.8695708048636</v>
      </c>
      <c r="R77" s="487">
        <v>-340.97167059720101</v>
      </c>
      <c r="S77" s="487">
        <v>-300.79219338103206</v>
      </c>
      <c r="T77" s="487">
        <v>-210.50334864218294</v>
      </c>
      <c r="U77" s="487">
        <v>-78.544148274384753</v>
      </c>
      <c r="V77" s="555">
        <v>0</v>
      </c>
      <c r="W77" s="487">
        <v>-9.91</v>
      </c>
      <c r="X77" s="487">
        <v>-9.9179441338960661</v>
      </c>
      <c r="Y77" s="487">
        <f t="shared" ref="Y77:AE77" si="255">((Y75*(Y74/12))+((Y76/2)*(Y74/12)))</f>
        <v>-9.926209087340979</v>
      </c>
      <c r="Z77" s="487">
        <v>-9.9344809282470976</v>
      </c>
      <c r="AA77" s="487">
        <v>-9.9427596623539696</v>
      </c>
      <c r="AB77" s="487">
        <v>-9.9510452954059314</v>
      </c>
      <c r="AC77" s="487">
        <f t="shared" si="255"/>
        <v>-9.9593378331521034</v>
      </c>
      <c r="AD77" s="487">
        <f t="shared" si="255"/>
        <v>-9.9676372813463967</v>
      </c>
      <c r="AE77" s="487">
        <f t="shared" si="255"/>
        <v>-9.9759436457475186</v>
      </c>
      <c r="AF77" s="487">
        <f>((AF75*(AF74/12))+((AF76/2)*(AF74/12)))</f>
        <v>-9.9842569321189742</v>
      </c>
      <c r="AG77" s="487">
        <f>((AG75*(AG74/12))+((AG76/2)*(AG74/12)))</f>
        <v>-9.992577146229074</v>
      </c>
      <c r="AH77" s="487">
        <f t="shared" ref="AH77:AQ77" si="256">((AH75*(AH74/12))+((AH76/2)*(AH74/12)))</f>
        <v>-10.000904293850931</v>
      </c>
      <c r="AI77" s="487">
        <f t="shared" si="256"/>
        <v>-10.009238380762474</v>
      </c>
      <c r="AJ77" s="487">
        <f t="shared" si="256"/>
        <v>-10.017579412746443</v>
      </c>
      <c r="AK77" s="487">
        <f t="shared" si="256"/>
        <v>-10.025927395590397</v>
      </c>
      <c r="AL77" s="487">
        <f t="shared" si="256"/>
        <v>-10.034282335086724</v>
      </c>
      <c r="AM77" s="487">
        <f t="shared" si="256"/>
        <v>-10.042644237032629</v>
      </c>
      <c r="AN77" s="487">
        <f t="shared" si="256"/>
        <v>-10.051013107230158</v>
      </c>
      <c r="AO77" s="487">
        <f t="shared" si="256"/>
        <v>-10.059388951486183</v>
      </c>
      <c r="AP77" s="487">
        <f>((AP75*(AP74/12))+((AP76/2)*(AP74/12)))</f>
        <v>-10.067771775612421</v>
      </c>
      <c r="AQ77" s="487">
        <f t="shared" si="256"/>
        <v>-10.07616158542543</v>
      </c>
      <c r="AR77" s="487">
        <f>((AR75*(AR74/12))+((AR76/2)*(AR74/12)))</f>
        <v>-10.084558386746618</v>
      </c>
      <c r="AS77" s="487">
        <f>((AS75*(AS74/12))+((AS76/2)*(AS74/12)))</f>
        <v>-10.092962185402241</v>
      </c>
      <c r="AT77" s="487">
        <f>((AT75*(AT74/12))+((AT76/2)*(AT74/12)))</f>
        <v>-10.10137298722341</v>
      </c>
      <c r="AU77" s="487">
        <f t="shared" ref="AU77:BC77" si="257">((AU75*(AU74/12))+((AU76/2)*(AU74/12)))</f>
        <v>0</v>
      </c>
      <c r="AV77" s="487">
        <f t="shared" si="257"/>
        <v>0</v>
      </c>
      <c r="AW77" s="487">
        <f t="shared" si="257"/>
        <v>0</v>
      </c>
      <c r="AX77" s="487">
        <f t="shared" si="257"/>
        <v>0</v>
      </c>
      <c r="AY77" s="487">
        <f t="shared" si="257"/>
        <v>0</v>
      </c>
      <c r="AZ77" s="487">
        <f t="shared" si="257"/>
        <v>0</v>
      </c>
      <c r="BA77" s="487">
        <f t="shared" si="257"/>
        <v>0</v>
      </c>
      <c r="BB77" s="487">
        <f t="shared" si="257"/>
        <v>0</v>
      </c>
      <c r="BC77" s="487">
        <f t="shared" si="257"/>
        <v>0</v>
      </c>
      <c r="BD77" s="487">
        <f>((BD75*(BD74/12))+((BD76/2)*(BD74/12)))</f>
        <v>0</v>
      </c>
      <c r="BE77" s="487">
        <f>((BE75*(BE74/12))+((BE76/2)*(BE74/12)))</f>
        <v>0</v>
      </c>
      <c r="BG77" s="497" t="s">
        <v>309</v>
      </c>
      <c r="BH77" s="526">
        <v>191015</v>
      </c>
      <c r="BI77" s="356" t="s">
        <v>285</v>
      </c>
      <c r="BJ77" s="356" t="s">
        <v>288</v>
      </c>
      <c r="BK77" s="379">
        <f>IF((SUMIF(AH73:BE73,BG74,AH76:BE76)+SUMIF(AH73:BE73,BG74,AH77:BE77))&gt;0,(SUMIF(AH73:BE73,BG74,AH76:BE76)+SUMIF(AH73:BE73,BG74,AH77:BE77)),0)</f>
        <v>0</v>
      </c>
      <c r="BL77" s="498">
        <f>IF((SUMIF(AH73:BE73,BG74,AH76:BE76)+SUMIF(AH73:BE73,BG74,AH77:BE77))&lt;0,-(SUMIF(AH73:BE73,BG74,AH76:BE76)+SUMIF(AH73:BE73,BG74,AH77:BE77)),0)</f>
        <v>10.10137298722341</v>
      </c>
    </row>
    <row r="78" spans="1:64">
      <c r="C78" s="479" t="s">
        <v>148</v>
      </c>
      <c r="D78" s="480">
        <f t="shared" si="254"/>
        <v>-9.91</v>
      </c>
      <c r="F78" s="480">
        <v>0</v>
      </c>
      <c r="G78" s="480">
        <v>0</v>
      </c>
      <c r="H78" s="480">
        <v>-828.46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80">
        <v>0</v>
      </c>
      <c r="U78" s="480">
        <v>0</v>
      </c>
      <c r="V78" s="480">
        <v>-0.01</v>
      </c>
      <c r="W78" s="480">
        <v>-9.9</v>
      </c>
      <c r="X78" s="480">
        <v>0</v>
      </c>
      <c r="Y78" s="480">
        <v>0</v>
      </c>
      <c r="Z78" s="480">
        <v>0</v>
      </c>
      <c r="AA78" s="480">
        <v>0</v>
      </c>
      <c r="AB78" s="480">
        <v>0</v>
      </c>
      <c r="AC78" s="480">
        <v>0</v>
      </c>
      <c r="AD78" s="480">
        <v>0</v>
      </c>
      <c r="AE78" s="480">
        <v>0</v>
      </c>
      <c r="AF78" s="480">
        <v>0</v>
      </c>
      <c r="AG78" s="480">
        <v>0</v>
      </c>
      <c r="AH78" s="480">
        <v>0</v>
      </c>
      <c r="AI78" s="480">
        <v>0</v>
      </c>
      <c r="AJ78" s="480">
        <v>0</v>
      </c>
      <c r="AK78" s="480">
        <v>0</v>
      </c>
      <c r="AL78" s="480">
        <v>0</v>
      </c>
      <c r="AM78" s="480">
        <v>0</v>
      </c>
      <c r="AN78" s="480">
        <v>0</v>
      </c>
      <c r="AO78" s="480">
        <v>0</v>
      </c>
      <c r="AP78" s="480">
        <v>0</v>
      </c>
      <c r="AQ78" s="480">
        <v>0</v>
      </c>
      <c r="AR78" s="480">
        <v>0</v>
      </c>
      <c r="AS78" s="480">
        <v>0</v>
      </c>
      <c r="AT78" s="480">
        <v>0</v>
      </c>
      <c r="AU78" s="480">
        <v>0</v>
      </c>
      <c r="AV78" s="480">
        <v>0</v>
      </c>
      <c r="AW78" s="480">
        <v>0</v>
      </c>
      <c r="AX78" s="480">
        <v>0</v>
      </c>
      <c r="AY78" s="480">
        <v>0</v>
      </c>
      <c r="AZ78" s="480">
        <v>0</v>
      </c>
      <c r="BA78" s="480">
        <v>0</v>
      </c>
      <c r="BB78" s="480">
        <v>0</v>
      </c>
      <c r="BC78" s="480">
        <v>0</v>
      </c>
      <c r="BD78" s="480">
        <v>0</v>
      </c>
      <c r="BE78" s="480">
        <v>0</v>
      </c>
      <c r="BG78" s="497" t="s">
        <v>310</v>
      </c>
      <c r="BH78" s="526">
        <v>805111</v>
      </c>
      <c r="BI78" s="356" t="s">
        <v>285</v>
      </c>
      <c r="BJ78" s="356" t="s">
        <v>288</v>
      </c>
      <c r="BK78" s="379">
        <f>IF((SUMIF(AH73:BE73,BG74,AH76:BE76))&lt;0,-(SUMIF(AH73:BE73,BG74,AH76:BE76)),0)</f>
        <v>0</v>
      </c>
      <c r="BL78" s="498">
        <f>IF((SUMIF(AH73:BE73,BG74,AH76:BE76))&gt;0,(SUMIF(AH73:BE73,BG74,AH76:BE76)),0)</f>
        <v>0</v>
      </c>
    </row>
    <row r="79" spans="1:64" ht="16.5" thickBot="1">
      <c r="C79" s="479" t="s">
        <v>56</v>
      </c>
      <c r="D79" s="539"/>
      <c r="E79" s="539"/>
      <c r="F79" s="539">
        <v>-1565571.2464083331</v>
      </c>
      <c r="G79" s="539">
        <v>-1478312.2029470066</v>
      </c>
      <c r="H79" s="539">
        <v>-1339478.8829470065</v>
      </c>
      <c r="I79" s="539">
        <v>-1135997.4141529372</v>
      </c>
      <c r="J79" s="539">
        <v>-962576.36949297041</v>
      </c>
      <c r="K79" s="539">
        <v>-785906.7696454369</v>
      </c>
      <c r="L79" s="539">
        <v>-649045.24135766376</v>
      </c>
      <c r="M79" s="539">
        <v>-566647.43620429246</v>
      </c>
      <c r="N79" s="539">
        <v>-521605.49367179343</v>
      </c>
      <c r="O79" s="539">
        <v>-484026.68190290901</v>
      </c>
      <c r="P79" s="539">
        <v>-455668.54726897553</v>
      </c>
      <c r="Q79" s="539">
        <v>-425186.68281978043</v>
      </c>
      <c r="R79" s="539">
        <v>-393487.68887037766</v>
      </c>
      <c r="S79" s="539">
        <v>-328715.75802375871</v>
      </c>
      <c r="T79" s="539">
        <v>-176704.17265240088</v>
      </c>
      <c r="U79" s="539">
        <v>-11881.717940675277</v>
      </c>
      <c r="V79" s="539">
        <v>-11881.722960675279</v>
      </c>
      <c r="W79" s="539">
        <f t="shared" ref="W79:AR79" si="258">SUM(W75:W78)</f>
        <v>-11901.532960675278</v>
      </c>
      <c r="X79" s="539">
        <f t="shared" si="258"/>
        <v>-11911.450904809175</v>
      </c>
      <c r="Y79" s="539">
        <f t="shared" si="258"/>
        <v>-11921.377113896517</v>
      </c>
      <c r="Z79" s="539">
        <f t="shared" si="258"/>
        <v>-11931.311594824763</v>
      </c>
      <c r="AA79" s="539">
        <f t="shared" si="258"/>
        <v>-11941.254354487117</v>
      </c>
      <c r="AB79" s="539">
        <f t="shared" si="258"/>
        <v>-11951.205399782522</v>
      </c>
      <c r="AC79" s="539">
        <f t="shared" si="258"/>
        <v>-11961.164737615674</v>
      </c>
      <c r="AD79" s="539">
        <f t="shared" si="258"/>
        <v>-11971.132374897021</v>
      </c>
      <c r="AE79" s="539">
        <f t="shared" si="258"/>
        <v>-11981.108318542769</v>
      </c>
      <c r="AF79" s="539">
        <f t="shared" si="258"/>
        <v>-11991.092575474888</v>
      </c>
      <c r="AG79" s="539">
        <f t="shared" si="258"/>
        <v>-12001.085152621117</v>
      </c>
      <c r="AH79" s="539">
        <f t="shared" si="258"/>
        <v>-12011.086056914968</v>
      </c>
      <c r="AI79" s="539">
        <f t="shared" si="258"/>
        <v>-12021.09529529573</v>
      </c>
      <c r="AJ79" s="539">
        <f t="shared" si="258"/>
        <v>-12031.112874708477</v>
      </c>
      <c r="AK79" s="539">
        <f t="shared" si="258"/>
        <v>-12041.138802104068</v>
      </c>
      <c r="AL79" s="539">
        <f t="shared" si="258"/>
        <v>-12051.173084439155</v>
      </c>
      <c r="AM79" s="539">
        <f t="shared" si="258"/>
        <v>-12061.215728676189</v>
      </c>
      <c r="AN79" s="539">
        <f t="shared" si="258"/>
        <v>-12071.266741783418</v>
      </c>
      <c r="AO79" s="539">
        <f t="shared" si="258"/>
        <v>-12081.326130734904</v>
      </c>
      <c r="AP79" s="539">
        <f t="shared" si="258"/>
        <v>-12091.393902510516</v>
      </c>
      <c r="AQ79" s="539">
        <f t="shared" si="258"/>
        <v>-12101.470064095942</v>
      </c>
      <c r="AR79" s="539">
        <f t="shared" si="258"/>
        <v>-12111.554622482689</v>
      </c>
      <c r="AS79" s="539">
        <f>SUM(AS75:AS78)</f>
        <v>-12121.647584668091</v>
      </c>
      <c r="AT79" s="539">
        <f t="shared" ref="AT79:BD79" si="259">SUM(AT75:AT78)</f>
        <v>-12131.748957655314</v>
      </c>
      <c r="AU79" s="539">
        <f t="shared" si="259"/>
        <v>-12131.748957655314</v>
      </c>
      <c r="AV79" s="539">
        <f t="shared" si="259"/>
        <v>-12131.748957655314</v>
      </c>
      <c r="AW79" s="539">
        <f t="shared" si="259"/>
        <v>-12131.748957655314</v>
      </c>
      <c r="AX79" s="539">
        <f t="shared" si="259"/>
        <v>-12131.748957655314</v>
      </c>
      <c r="AY79" s="539">
        <f t="shared" si="259"/>
        <v>-12131.748957655314</v>
      </c>
      <c r="AZ79" s="539">
        <f t="shared" si="259"/>
        <v>-12131.748957655314</v>
      </c>
      <c r="BA79" s="539">
        <f t="shared" si="259"/>
        <v>-12131.748957655314</v>
      </c>
      <c r="BB79" s="539">
        <f t="shared" si="259"/>
        <v>-12131.748957655314</v>
      </c>
      <c r="BC79" s="539">
        <f t="shared" si="259"/>
        <v>-12131.748957655314</v>
      </c>
      <c r="BD79" s="539">
        <f t="shared" si="259"/>
        <v>-12131.748957655314</v>
      </c>
      <c r="BE79" s="539">
        <f>SUM(BE75:BE78)</f>
        <v>-12131.748957655314</v>
      </c>
      <c r="BG79" s="497" t="s">
        <v>322</v>
      </c>
      <c r="BH79" s="526">
        <v>191015</v>
      </c>
      <c r="BI79" s="356" t="s">
        <v>285</v>
      </c>
      <c r="BJ79" s="356" t="s">
        <v>288</v>
      </c>
      <c r="BK79" s="379">
        <v>0</v>
      </c>
      <c r="BL79" s="498">
        <v>0</v>
      </c>
    </row>
    <row r="80" spans="1:64" ht="17.25" thickTop="1" thickBot="1">
      <c r="C80" s="479" t="s">
        <v>257</v>
      </c>
      <c r="F80" s="480">
        <v>-1565571.25</v>
      </c>
      <c r="G80" s="480">
        <v>-1478312.21</v>
      </c>
      <c r="H80" s="480">
        <v>-1339478.8899999999</v>
      </c>
      <c r="I80" s="480">
        <v>-1135997.42</v>
      </c>
      <c r="J80" s="480">
        <v>-962576.38</v>
      </c>
      <c r="K80" s="480">
        <v>-785906.78</v>
      </c>
      <c r="L80" s="480">
        <v>-649045.25</v>
      </c>
      <c r="M80" s="480">
        <v>-566647.43999999994</v>
      </c>
      <c r="N80" s="480">
        <v>-521605.5</v>
      </c>
      <c r="O80" s="480">
        <v>-484026.69</v>
      </c>
      <c r="P80" s="480">
        <v>-455668.56</v>
      </c>
      <c r="Q80" s="480">
        <v>-425186.7</v>
      </c>
      <c r="R80" s="480">
        <v>-393487.71</v>
      </c>
      <c r="S80" s="480">
        <v>-328715.78000000003</v>
      </c>
      <c r="T80" s="480">
        <v>-176704.19</v>
      </c>
      <c r="U80" s="480">
        <v>-11881.74</v>
      </c>
      <c r="V80" s="480">
        <v>-11881.74</v>
      </c>
      <c r="W80" s="480">
        <f>_xll.Get_Balance(W73,"YTD","USD","Total","A","","001",$A$73,"GD","ID","DL")</f>
        <v>-11901.55</v>
      </c>
      <c r="X80" s="480">
        <f>_xll.Get_Balance(X73,"YTD","USD","Total","A","","001",$A$73,"GD","ID","DL")</f>
        <v>-11911.47</v>
      </c>
      <c r="Y80" s="480">
        <f>_xll.Get_Balance(Y73,"YTD","USD","Total","A","","001",$A$73,"GD","ID","DL")</f>
        <v>-11921.4</v>
      </c>
      <c r="Z80" s="480">
        <f>_xll.Get_Balance(Z73,"YTD","USD","Total","A","","001",$A$73,"GD","ID","DL")</f>
        <v>-11931.33</v>
      </c>
      <c r="AA80" s="480">
        <f>_xll.Get_Balance(AA73,"YTD","USD","Total","A","","001",$A$73,"GD","ID","DL")</f>
        <v>-11941.27</v>
      </c>
      <c r="AB80" s="480">
        <f>_xll.Get_Balance(AB73,"YTD","USD","Total","A","","001",$A$73,"GD","ID","DL")</f>
        <v>-11951.22</v>
      </c>
      <c r="AC80" s="480">
        <f>_xll.Get_Balance(AC73,"YTD","USD","Total","A","","001",$A$73,"GD","ID","DL")</f>
        <v>-11961.18</v>
      </c>
      <c r="AD80" s="480">
        <f>_xll.Get_Balance(AD73,"YTD","USD","Total","A","","001",$A$73,"GD","ID","DL")</f>
        <v>-11971.15</v>
      </c>
      <c r="AE80" s="480">
        <f>_xll.Get_Balance(AE73,"YTD","USD","Total","A","","001",$A$73,"GD","ID","DL")</f>
        <v>-11981.13</v>
      </c>
      <c r="AF80" s="480">
        <f>_xll.Get_Balance(AF73,"YTD","USD","Total","A","","001",$A$73,"GD","ID","DL")</f>
        <v>-11991.11</v>
      </c>
      <c r="AG80" s="480">
        <f>_xll.Get_Balance(AG73,"YTD","USD","Total","A","","001",$A$73,"GD","ID","DL")</f>
        <v>-12001.1</v>
      </c>
      <c r="AH80" s="480">
        <f>_xll.Get_Balance(AH73,"YTD","USD","Total","A","","001",$A$73,"GD","ID","DL")</f>
        <v>-12011.1</v>
      </c>
      <c r="AI80" s="480">
        <f>_xll.Get_Balance(AI73,"YTD","USD","Total","A","","001",$A$73,"GD","ID","DL")</f>
        <v>-12021.11</v>
      </c>
      <c r="AJ80" s="480">
        <f>_xll.Get_Balance(AJ73,"YTD","USD","Total","A","","001",$A$73,"GD","ID","DL")</f>
        <v>-12031.13</v>
      </c>
      <c r="AK80" s="480">
        <f>_xll.Get_Balance(AK73,"YTD","USD","Total","A","","001",$A$73,"GD","ID","DL")</f>
        <v>-12041.16</v>
      </c>
      <c r="AL80" s="480">
        <f>_xll.Get_Balance(AL73,"YTD","USD","Total","A","","001",$A$73,"GD","ID","DL")</f>
        <v>-12051.19</v>
      </c>
      <c r="AM80" s="480">
        <f>_xll.Get_Balance(AM73,"YTD","USD","Total","A","","001",$A$73,"GD","ID","DL")</f>
        <v>-12061.23</v>
      </c>
      <c r="AN80" s="480">
        <f>_xll.Get_Balance(AN73,"YTD","USD","Total","A","","001",$A$73,"GD","ID","DL")</f>
        <v>-12071.28</v>
      </c>
      <c r="AO80" s="480">
        <f>_xll.Get_Balance(AO73,"YTD","USD","Total","A","","001",$A$73,"GD","ID","DL")</f>
        <v>-12081.34</v>
      </c>
      <c r="AP80" s="480">
        <f>_xll.Get_Balance(AP73,"YTD","USD","Total","A","","001",$A$73,"GD","ID","DL")</f>
        <v>-12091.41</v>
      </c>
      <c r="AQ80" s="480">
        <f>_xll.Get_Balance(AQ73,"YTD","USD","Total","A","","001",$A$73,"GD","ID","DL")</f>
        <v>-12101.49</v>
      </c>
      <c r="AR80" s="480">
        <f>_xll.Get_Balance(AR73,"YTD","USD","Total","A","","001",$A$73,"GD","ID","DL")</f>
        <v>-12111.57</v>
      </c>
      <c r="AS80" s="480">
        <f>_xll.Get_Balance(AS73,"YTD","USD","Total","A","","001",$A$73,"GD","ID","DL")</f>
        <v>-12121.66</v>
      </c>
      <c r="AT80" s="480">
        <f>_xll.Get_Balance(AT73,"YTD","USD","Total","A","","001",$A$73,"GD","ID","DL")</f>
        <v>-12131.76</v>
      </c>
      <c r="AU80" s="480">
        <f>_xll.Get_Balance(AU73,"YTD","USD","Total","A","","001",$A$73,"GD","ID","DL")</f>
        <v>-12141.87</v>
      </c>
      <c r="AV80" s="480">
        <f>_xll.Get_Balance(AV73,"YTD","USD","Total","A","","001",$A$73,"GD","ID","DL")</f>
        <v>-12151.99</v>
      </c>
      <c r="AW80" s="480">
        <f>_xll.Get_Balance(AW73,"YTD","USD","Total","A","","001",$A$73,"GD","ID","DL")</f>
        <v>-12162.12</v>
      </c>
      <c r="AX80" s="480">
        <f>_xll.Get_Balance(AX73,"YTD","USD","Total","A","","001",$A$73,"GD","ID","DL")</f>
        <v>-12172.26</v>
      </c>
      <c r="AY80" s="480">
        <f>_xll.Get_Balance(AY73,"YTD","USD","Total","A","","001",$A$73,"GD","ID","DL")</f>
        <v>-12182.4</v>
      </c>
      <c r="AZ80" s="480">
        <f>_xll.Get_Balance(AZ73,"YTD","USD","Total","A","","001",$A$73,"GD","ID","DL")</f>
        <v>-12192.55</v>
      </c>
      <c r="BA80" s="480">
        <f>_xll.Get_Balance(BA73,"YTD","USD","Total","A","","001",$A$73,"GD","ID","DL")</f>
        <v>-12202.71</v>
      </c>
      <c r="BB80" s="480">
        <f>_xll.Get_Balance(BB73,"YTD","USD","Total","A","","001",$A$73,"GD","ID","DL")</f>
        <v>-12212.88</v>
      </c>
      <c r="BC80" s="480">
        <f>_xll.Get_Balance(BC73,"YTD","USD","Total","A","","001",$A$73,"GD","ID","DL")</f>
        <v>-12212.88</v>
      </c>
      <c r="BD80" s="480">
        <f>_xll.Get_Balance(BD73,"YTD","USD","Total","A","","001",$A$73,"GD","ID","DL")</f>
        <v>-12212.88</v>
      </c>
      <c r="BE80" s="480">
        <f>_xll.Get_Balance(BE73,"YTD","USD","Total","A","","001",$A$73,"GD","ID","DL")</f>
        <v>0</v>
      </c>
      <c r="BG80" s="499" t="s">
        <v>322</v>
      </c>
      <c r="BH80" s="527">
        <v>431600</v>
      </c>
      <c r="BI80" s="500" t="s">
        <v>285</v>
      </c>
      <c r="BJ80" s="500" t="s">
        <v>288</v>
      </c>
      <c r="BK80" s="462">
        <v>0</v>
      </c>
      <c r="BL80" s="519">
        <v>0</v>
      </c>
    </row>
    <row r="81" spans="3:66" ht="16.5" thickBot="1">
      <c r="C81" s="479" t="s">
        <v>243</v>
      </c>
      <c r="F81" s="480">
        <v>3.5916669294238091E-3</v>
      </c>
      <c r="G81" s="480">
        <v>7.0529934018850327E-3</v>
      </c>
      <c r="H81" s="480">
        <v>7.0529934018850327E-3</v>
      </c>
      <c r="I81" s="480">
        <v>5.8470626827329397E-3</v>
      </c>
      <c r="J81" s="480">
        <v>1.0507029597647488E-2</v>
      </c>
      <c r="K81" s="480">
        <v>1.0354563128203154E-2</v>
      </c>
      <c r="L81" s="480">
        <v>8.642336237244308E-3</v>
      </c>
      <c r="M81" s="480">
        <v>3.7957074819132686E-3</v>
      </c>
      <c r="N81" s="480">
        <v>6.3282065675593913E-3</v>
      </c>
      <c r="O81" s="480">
        <v>8.0970909912139177E-3</v>
      </c>
      <c r="P81" s="480">
        <v>1.2731024471577257E-2</v>
      </c>
      <c r="Q81" s="480">
        <v>1.7180219583678991E-2</v>
      </c>
      <c r="R81" s="480">
        <v>2.1129622356966138E-2</v>
      </c>
      <c r="S81" s="480">
        <v>2.1976241318043321E-2</v>
      </c>
      <c r="T81" s="480">
        <v>1.734759911778383E-2</v>
      </c>
      <c r="U81" s="480">
        <v>2.2059324723159079E-2</v>
      </c>
      <c r="V81" s="480">
        <v>1.7039324720826698E-2</v>
      </c>
      <c r="W81" s="480">
        <f t="shared" ref="W81:AD81" si="260">W79-W80</f>
        <v>1.7039324720826698E-2</v>
      </c>
      <c r="X81" s="480">
        <f t="shared" si="260"/>
        <v>1.9095190824373276E-2</v>
      </c>
      <c r="Y81" s="480">
        <f t="shared" si="260"/>
        <v>2.2886103482960607E-2</v>
      </c>
      <c r="Z81" s="480">
        <f t="shared" si="260"/>
        <v>1.8405175236694049E-2</v>
      </c>
      <c r="AA81" s="480">
        <f t="shared" si="260"/>
        <v>1.5645512883565971E-2</v>
      </c>
      <c r="AB81" s="480">
        <f t="shared" si="260"/>
        <v>1.4600217476981925E-2</v>
      </c>
      <c r="AC81" s="480">
        <f t="shared" si="260"/>
        <v>1.5262384325978928E-2</v>
      </c>
      <c r="AD81" s="480">
        <f t="shared" si="260"/>
        <v>1.7625102978854557E-2</v>
      </c>
      <c r="AE81" s="480">
        <f t="shared" ref="AE81:AS81" si="261">AE79-AE80</f>
        <v>2.1681457230442902E-2</v>
      </c>
      <c r="AF81" s="480">
        <f t="shared" si="261"/>
        <v>1.7424525112801348E-2</v>
      </c>
      <c r="AG81" s="480">
        <f t="shared" si="261"/>
        <v>1.4847378883132478E-2</v>
      </c>
      <c r="AH81" s="480">
        <f t="shared" si="261"/>
        <v>1.3943085032224189E-2</v>
      </c>
      <c r="AI81" s="480">
        <f t="shared" si="261"/>
        <v>1.4704704270116054E-2</v>
      </c>
      <c r="AJ81" s="480">
        <f t="shared" si="261"/>
        <v>1.7125291522461339E-2</v>
      </c>
      <c r="AK81" s="480">
        <f t="shared" si="261"/>
        <v>2.1197895932346E-2</v>
      </c>
      <c r="AL81" s="480">
        <f t="shared" si="261"/>
        <v>1.6915560845518485E-2</v>
      </c>
      <c r="AM81" s="480">
        <f t="shared" si="261"/>
        <v>1.4271323811044567E-2</v>
      </c>
      <c r="AN81" s="480">
        <f t="shared" si="261"/>
        <v>1.3258216582471505E-2</v>
      </c>
      <c r="AO81" s="480">
        <f t="shared" si="261"/>
        <v>1.3869265096218442E-2</v>
      </c>
      <c r="AP81" s="480">
        <f t="shared" si="261"/>
        <v>1.6097489484309335E-2</v>
      </c>
      <c r="AQ81" s="480">
        <f t="shared" si="261"/>
        <v>1.9935904058002052E-2</v>
      </c>
      <c r="AR81" s="480">
        <f t="shared" si="261"/>
        <v>1.5377517311208067E-2</v>
      </c>
      <c r="AS81" s="480">
        <f t="shared" si="261"/>
        <v>1.2415331908414373E-2</v>
      </c>
      <c r="AT81" s="480">
        <f t="shared" ref="AT81:BE81" si="262">AT79-AT80</f>
        <v>1.1042344685847638E-2</v>
      </c>
      <c r="AU81" s="480">
        <f t="shared" si="262"/>
        <v>10.12104234468643</v>
      </c>
      <c r="AV81" s="480">
        <f t="shared" si="262"/>
        <v>20.241042344685411</v>
      </c>
      <c r="AW81" s="480">
        <f t="shared" si="262"/>
        <v>30.37104234468643</v>
      </c>
      <c r="AX81" s="480">
        <f t="shared" si="262"/>
        <v>40.511042344685848</v>
      </c>
      <c r="AY81" s="480">
        <f t="shared" si="262"/>
        <v>50.651042344685266</v>
      </c>
      <c r="AZ81" s="480">
        <f t="shared" si="262"/>
        <v>60.801042344684902</v>
      </c>
      <c r="BA81" s="480">
        <f t="shared" si="262"/>
        <v>70.961042344684756</v>
      </c>
      <c r="BB81" s="480">
        <f t="shared" si="262"/>
        <v>81.131042344684829</v>
      </c>
      <c r="BC81" s="480">
        <f t="shared" si="262"/>
        <v>81.131042344684829</v>
      </c>
      <c r="BD81" s="480">
        <f t="shared" si="262"/>
        <v>81.131042344684829</v>
      </c>
      <c r="BE81" s="480">
        <f t="shared" si="262"/>
        <v>-12131.748957655314</v>
      </c>
      <c r="BG81" s="514"/>
      <c r="BH81" s="528"/>
      <c r="BI81" s="515"/>
      <c r="BJ81" s="515"/>
      <c r="BK81" s="515" t="s">
        <v>159</v>
      </c>
      <c r="BL81" s="516">
        <f>SUM(BK75:BK80)-SUM(BL75:BL80)</f>
        <v>0</v>
      </c>
    </row>
    <row r="84" spans="3:66"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G84" s="655"/>
      <c r="BH84" s="656"/>
      <c r="BI84" s="656"/>
      <c r="BJ84" s="656"/>
      <c r="BK84" s="656"/>
      <c r="BL84" s="656"/>
      <c r="BM84" s="560"/>
      <c r="BN84" s="560"/>
    </row>
    <row r="85" spans="3:66"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G85" s="656"/>
      <c r="BH85" s="656"/>
      <c r="BI85" s="656"/>
      <c r="BJ85" s="656"/>
      <c r="BK85" s="656"/>
      <c r="BL85" s="656"/>
      <c r="BM85" s="560"/>
      <c r="BN85" s="560"/>
    </row>
    <row r="86" spans="3:66"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BA86" s="560"/>
      <c r="BB86" s="560"/>
      <c r="BC86" s="560"/>
      <c r="BD86" s="560"/>
      <c r="BE86" s="560"/>
      <c r="BG86" s="656"/>
      <c r="BH86" s="656"/>
      <c r="BI86" s="656"/>
      <c r="BJ86" s="656"/>
      <c r="BK86" s="656"/>
      <c r="BL86" s="656"/>
      <c r="BM86" s="560"/>
      <c r="BN86" s="560"/>
    </row>
    <row r="87" spans="3:66"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G87" s="656"/>
      <c r="BH87" s="656"/>
      <c r="BI87" s="656"/>
      <c r="BJ87" s="656"/>
      <c r="BK87" s="656"/>
      <c r="BL87" s="656"/>
      <c r="BM87" s="560"/>
      <c r="BN87" s="560"/>
    </row>
    <row r="88" spans="3:66"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G88" s="656"/>
      <c r="BH88" s="656"/>
      <c r="BI88" s="656"/>
      <c r="BJ88" s="656"/>
      <c r="BK88" s="656"/>
      <c r="BL88" s="656"/>
      <c r="BM88" s="560"/>
      <c r="BN88" s="560"/>
    </row>
    <row r="89" spans="3:66"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G89" s="656"/>
      <c r="BH89" s="656"/>
      <c r="BI89" s="656"/>
      <c r="BJ89" s="656"/>
      <c r="BK89" s="656"/>
      <c r="BL89" s="656"/>
      <c r="BM89" s="560"/>
      <c r="BN89" s="560"/>
    </row>
    <row r="90" spans="3:66"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G90" s="356"/>
      <c r="BH90" s="526"/>
      <c r="BI90" s="356"/>
      <c r="BJ90" s="356"/>
      <c r="BK90" s="560"/>
      <c r="BL90" s="560"/>
      <c r="BM90" s="560"/>
      <c r="BN90" s="560"/>
    </row>
    <row r="91" spans="3:66">
      <c r="N91" s="480">
        <v>13246436.58</v>
      </c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G91" s="7"/>
      <c r="BH91" s="208"/>
      <c r="BI91" s="7"/>
      <c r="BJ91" s="7"/>
      <c r="BK91" s="560"/>
      <c r="BL91" s="560"/>
      <c r="BM91" s="560"/>
      <c r="BN91" s="560"/>
    </row>
    <row r="92" spans="3:66"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G92" s="356"/>
      <c r="BH92" s="526"/>
      <c r="BI92" s="356"/>
      <c r="BJ92" s="356"/>
      <c r="BK92" s="560"/>
      <c r="BL92" s="560"/>
      <c r="BM92" s="560"/>
      <c r="BN92" s="560"/>
    </row>
    <row r="93" spans="3:66"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G93" s="560"/>
      <c r="BH93" s="561"/>
      <c r="BI93" s="560"/>
      <c r="BJ93" s="560"/>
      <c r="BK93" s="560"/>
      <c r="BL93" s="560"/>
      <c r="BM93" s="560"/>
      <c r="BN93" s="560"/>
    </row>
  </sheetData>
  <mergeCells count="3">
    <mergeCell ref="BG67:BL72"/>
    <mergeCell ref="BG84:BL89"/>
    <mergeCell ref="BG31:BK36"/>
  </mergeCells>
  <conditionalFormatting sqref="F28">
    <cfRule type="cellIs" dxfId="198" priority="33" operator="notEqual">
      <formula>F27</formula>
    </cfRule>
  </conditionalFormatting>
  <conditionalFormatting sqref="G28">
    <cfRule type="cellIs" dxfId="197" priority="32" operator="notEqual">
      <formula>G27</formula>
    </cfRule>
  </conditionalFormatting>
  <conditionalFormatting sqref="H28">
    <cfRule type="cellIs" dxfId="196" priority="31" operator="notEqual">
      <formula>H27</formula>
    </cfRule>
  </conditionalFormatting>
  <conditionalFormatting sqref="I28">
    <cfRule type="cellIs" dxfId="195" priority="30" operator="notEqual">
      <formula>I27</formula>
    </cfRule>
  </conditionalFormatting>
  <conditionalFormatting sqref="D28">
    <cfRule type="cellIs" dxfId="194" priority="29" operator="notEqual">
      <formula>D27</formula>
    </cfRule>
  </conditionalFormatting>
  <conditionalFormatting sqref="G61">
    <cfRule type="cellIs" dxfId="193" priority="26" operator="notEqual">
      <formula>G60</formula>
    </cfRule>
  </conditionalFormatting>
  <conditionalFormatting sqref="H61">
    <cfRule type="cellIs" dxfId="192" priority="25" operator="notEqual">
      <formula>H60</formula>
    </cfRule>
  </conditionalFormatting>
  <conditionalFormatting sqref="I61">
    <cfRule type="cellIs" dxfId="191" priority="24" operator="notEqual">
      <formula>I60</formula>
    </cfRule>
  </conditionalFormatting>
  <conditionalFormatting sqref="D61">
    <cfRule type="cellIs" dxfId="190" priority="23" operator="notEqual">
      <formula>D60</formula>
    </cfRule>
  </conditionalFormatting>
  <conditionalFormatting sqref="J61">
    <cfRule type="cellIs" dxfId="189" priority="21" operator="notEqual">
      <formula>J60</formula>
    </cfRule>
  </conditionalFormatting>
  <conditionalFormatting sqref="BL81 BL48 BL11">
    <cfRule type="cellIs" dxfId="188" priority="20" operator="notEqual">
      <formula>0</formula>
    </cfRule>
  </conditionalFormatting>
  <conditionalFormatting sqref="J28">
    <cfRule type="cellIs" dxfId="187" priority="16" operator="notEqual">
      <formula>J27</formula>
    </cfRule>
  </conditionalFormatting>
  <conditionalFormatting sqref="K28">
    <cfRule type="cellIs" dxfId="186" priority="15" operator="notEqual">
      <formula>K27</formula>
    </cfRule>
  </conditionalFormatting>
  <conditionalFormatting sqref="K61">
    <cfRule type="cellIs" dxfId="185" priority="14" operator="notEqual">
      <formula>K60</formula>
    </cfRule>
  </conditionalFormatting>
  <conditionalFormatting sqref="L28">
    <cfRule type="cellIs" dxfId="184" priority="13" operator="notEqual">
      <formula>L27</formula>
    </cfRule>
  </conditionalFormatting>
  <conditionalFormatting sqref="L61">
    <cfRule type="cellIs" dxfId="183" priority="12" operator="notEqual">
      <formula>L60</formula>
    </cfRule>
  </conditionalFormatting>
  <conditionalFormatting sqref="M28:N28">
    <cfRule type="cellIs" dxfId="182" priority="11" operator="notEqual">
      <formula>M27</formula>
    </cfRule>
  </conditionalFormatting>
  <conditionalFormatting sqref="O28">
    <cfRule type="cellIs" dxfId="181" priority="10" operator="notEqual">
      <formula>O27</formula>
    </cfRule>
  </conditionalFormatting>
  <conditionalFormatting sqref="V61">
    <cfRule type="cellIs" dxfId="180" priority="9" operator="notEqual">
      <formula>V60</formula>
    </cfRule>
  </conditionalFormatting>
  <conditionalFormatting sqref="V28:W28">
    <cfRule type="cellIs" dxfId="179" priority="8" operator="notEqual">
      <formula>V27</formula>
    </cfRule>
  </conditionalFormatting>
  <conditionalFormatting sqref="W28">
    <cfRule type="cellIs" dxfId="178" priority="7" operator="notEqual">
      <formula>W27</formula>
    </cfRule>
  </conditionalFormatting>
  <conditionalFormatting sqref="W61">
    <cfRule type="cellIs" dxfId="177" priority="6" operator="notEqual">
      <formula>W60</formula>
    </cfRule>
  </conditionalFormatting>
  <conditionalFormatting sqref="X28">
    <cfRule type="cellIs" dxfId="176" priority="5" operator="notEqual">
      <formula>X27</formula>
    </cfRule>
  </conditionalFormatting>
  <conditionalFormatting sqref="X61">
    <cfRule type="cellIs" dxfId="175" priority="4" operator="notEqual">
      <formula>X60</formula>
    </cfRule>
  </conditionalFormatting>
  <conditionalFormatting sqref="Y28:Z28">
    <cfRule type="cellIs" dxfId="174" priority="3" operator="notEqual">
      <formula>Y27</formula>
    </cfRule>
  </conditionalFormatting>
  <conditionalFormatting sqref="AA28">
    <cfRule type="cellIs" dxfId="173" priority="2" operator="notEqual">
      <formula>AA27</formula>
    </cfRule>
  </conditionalFormatting>
  <pageMargins left="0" right="0" top="0.75" bottom="0.75" header="0.3" footer="0.3"/>
  <pageSetup scale="48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44" t="s">
        <v>191</v>
      </c>
      <c r="D1" s="644"/>
      <c r="E1" s="644"/>
      <c r="F1" s="644"/>
      <c r="G1" s="644"/>
      <c r="H1" s="644"/>
      <c r="I1" s="644"/>
      <c r="J1" s="644"/>
      <c r="K1" s="644"/>
      <c r="P1" s="646"/>
      <c r="Q1" s="646"/>
      <c r="R1" s="646"/>
      <c r="S1" s="646"/>
      <c r="T1" s="646"/>
      <c r="U1" s="646"/>
      <c r="V1" s="646"/>
      <c r="W1" s="646"/>
      <c r="X1" s="646"/>
    </row>
    <row r="2" spans="1:34" ht="23.25">
      <c r="C2" s="645" t="s">
        <v>316</v>
      </c>
      <c r="D2" s="645"/>
      <c r="E2" s="645"/>
      <c r="F2" s="645"/>
      <c r="G2" s="645"/>
      <c r="H2" s="645"/>
      <c r="I2" s="645"/>
      <c r="J2" s="645"/>
      <c r="K2" s="645"/>
      <c r="P2" s="644"/>
      <c r="Q2" s="644"/>
      <c r="R2" s="644"/>
      <c r="S2" s="644"/>
      <c r="T2" s="644"/>
      <c r="U2" s="644"/>
      <c r="V2" s="644"/>
      <c r="W2" s="644"/>
      <c r="X2" s="644"/>
      <c r="Z2" s="644"/>
      <c r="AA2" s="644"/>
      <c r="AB2" s="644"/>
      <c r="AC2" s="644"/>
      <c r="AD2" s="644"/>
      <c r="AE2" s="644"/>
      <c r="AF2" s="644"/>
      <c r="AG2" s="644"/>
      <c r="AH2" s="644"/>
    </row>
    <row r="3" spans="1:34" ht="23.25">
      <c r="C3" s="644" t="s">
        <v>193</v>
      </c>
      <c r="D3" s="644"/>
      <c r="E3" s="644"/>
      <c r="F3" s="644"/>
      <c r="G3" s="644"/>
      <c r="H3" s="644"/>
      <c r="I3" s="644"/>
      <c r="J3" s="644"/>
      <c r="K3" s="644"/>
      <c r="P3" s="645"/>
      <c r="Q3" s="645"/>
      <c r="R3" s="645"/>
      <c r="S3" s="645"/>
      <c r="T3" s="645"/>
      <c r="U3" s="645"/>
      <c r="V3" s="645"/>
      <c r="W3" s="645"/>
      <c r="X3" s="645"/>
      <c r="Z3" s="647"/>
      <c r="AA3" s="647"/>
      <c r="AB3" s="647"/>
      <c r="AC3" s="647"/>
      <c r="AD3" s="647"/>
      <c r="AE3" s="647"/>
      <c r="AF3" s="647"/>
      <c r="AG3" s="647"/>
      <c r="AH3" s="647"/>
    </row>
    <row r="4" spans="1:34">
      <c r="A4" t="s">
        <v>192</v>
      </c>
      <c r="B4" s="266">
        <v>41548</v>
      </c>
      <c r="C4" s="266">
        <f>EOMONTH(B4,1)</f>
        <v>41608</v>
      </c>
      <c r="D4" s="266">
        <f t="shared" ref="D4:N4" si="0">EOMONTH(C4,1)</f>
        <v>41639</v>
      </c>
      <c r="E4" s="266">
        <f t="shared" si="0"/>
        <v>41670</v>
      </c>
      <c r="F4" s="266">
        <f t="shared" si="0"/>
        <v>41698</v>
      </c>
      <c r="G4" s="266">
        <f t="shared" si="0"/>
        <v>41729</v>
      </c>
      <c r="H4" s="266">
        <f t="shared" si="0"/>
        <v>41759</v>
      </c>
      <c r="I4" s="266">
        <f t="shared" si="0"/>
        <v>41790</v>
      </c>
      <c r="J4" s="266">
        <f t="shared" si="0"/>
        <v>41820</v>
      </c>
      <c r="K4" s="266">
        <f t="shared" si="0"/>
        <v>41851</v>
      </c>
      <c r="L4" s="266">
        <f t="shared" si="0"/>
        <v>41882</v>
      </c>
      <c r="M4" s="266">
        <f t="shared" si="0"/>
        <v>41912</v>
      </c>
      <c r="N4" s="266">
        <f t="shared" si="0"/>
        <v>41943</v>
      </c>
      <c r="P4" s="644"/>
      <c r="Q4" s="644"/>
      <c r="R4" s="644"/>
      <c r="S4" s="644"/>
      <c r="T4" s="644"/>
      <c r="U4" s="644"/>
      <c r="V4" s="644"/>
      <c r="W4" s="644"/>
      <c r="X4" s="644"/>
      <c r="Z4" s="644"/>
      <c r="AA4" s="644"/>
      <c r="AB4" s="644"/>
      <c r="AC4" s="644"/>
      <c r="AD4" s="644"/>
      <c r="AE4" s="644"/>
      <c r="AF4" s="644"/>
      <c r="AG4" s="644"/>
    </row>
    <row r="6" spans="1:34">
      <c r="A6" s="267" t="s">
        <v>315</v>
      </c>
    </row>
    <row r="7" spans="1:34">
      <c r="A7" s="268"/>
      <c r="B7" s="269" t="str">
        <f t="shared" ref="B7:N7" si="1">TEXT(B4,"mmmmm-YY")</f>
        <v>O-13</v>
      </c>
      <c r="C7" s="269" t="str">
        <f t="shared" si="1"/>
        <v>N-13</v>
      </c>
      <c r="D7" s="548" t="str">
        <f t="shared" si="1"/>
        <v>D-13</v>
      </c>
      <c r="E7" s="269" t="str">
        <f t="shared" si="1"/>
        <v>J-14</v>
      </c>
      <c r="F7" s="269" t="str">
        <f t="shared" si="1"/>
        <v>F-14</v>
      </c>
      <c r="G7" s="548" t="str">
        <f t="shared" si="1"/>
        <v>M-14</v>
      </c>
      <c r="H7" s="548" t="str">
        <f t="shared" si="1"/>
        <v>A-14</v>
      </c>
      <c r="I7" s="548" t="str">
        <f t="shared" si="1"/>
        <v>M-14</v>
      </c>
      <c r="J7" s="548" t="str">
        <f t="shared" si="1"/>
        <v>J-14</v>
      </c>
      <c r="K7" s="548" t="str">
        <f t="shared" si="1"/>
        <v>J-14</v>
      </c>
      <c r="L7" s="548" t="str">
        <f t="shared" si="1"/>
        <v>A-14</v>
      </c>
      <c r="M7" s="548" t="str">
        <f t="shared" si="1"/>
        <v>S-14</v>
      </c>
      <c r="N7" s="548" t="str">
        <f t="shared" si="1"/>
        <v>O-14</v>
      </c>
    </row>
    <row r="8" spans="1:34">
      <c r="A8" s="547" t="s">
        <v>318</v>
      </c>
      <c r="B8" s="543">
        <f>0.33052*10</f>
        <v>3.3051999999999997</v>
      </c>
      <c r="C8" s="543">
        <v>3.6246661221178802</v>
      </c>
      <c r="D8" s="543">
        <v>3.6234780920677898</v>
      </c>
      <c r="E8" s="543">
        <f>-Jan!$H$53/Jan!$G$46*10</f>
        <v>2.3860000000000001</v>
      </c>
      <c r="F8" s="543">
        <f>-Feb!$H$53/Feb!$G$46*10</f>
        <v>2.3860000000000001</v>
      </c>
      <c r="G8" s="543">
        <f>-Mar!$H$53/Mar!$G$46*10</f>
        <v>2.3860000000000001</v>
      </c>
      <c r="H8" s="543">
        <f>-Mar!$H$53/Mar!$G$46*10</f>
        <v>2.3860000000000001</v>
      </c>
      <c r="I8" s="543">
        <f>-Mar!$H$53/Mar!$G$46*10</f>
        <v>2.3860000000000001</v>
      </c>
      <c r="J8" s="543">
        <f>-Mar!$H$53/Mar!$G$46*10</f>
        <v>2.3860000000000001</v>
      </c>
      <c r="K8" s="543">
        <f>-Mar!$H$53/Mar!$G$46*10</f>
        <v>2.3860000000000001</v>
      </c>
      <c r="L8" s="543">
        <f>-Mar!$H$53/Mar!$G$46*10</f>
        <v>2.3860000000000001</v>
      </c>
      <c r="M8" s="543">
        <f>-Mar!$H$53/Mar!$G$46*10</f>
        <v>2.3860000000000001</v>
      </c>
      <c r="N8" s="543">
        <f>-Mar!$H$53/Mar!$G$46*10</f>
        <v>2.3860000000000001</v>
      </c>
    </row>
    <row r="9" spans="1:34" s="547" customFormat="1">
      <c r="A9" t="s">
        <v>319</v>
      </c>
      <c r="B9" s="543">
        <f>N9</f>
        <v>3.5167999999999999</v>
      </c>
      <c r="C9" s="543">
        <v>3.8812999999999995</v>
      </c>
      <c r="D9" s="543">
        <v>3.6348000000000003</v>
      </c>
      <c r="E9" s="543">
        <v>3.6143999999999998</v>
      </c>
      <c r="F9" s="543">
        <v>3.6770000000000005</v>
      </c>
      <c r="G9" s="543">
        <v>3.9145000000000003</v>
      </c>
      <c r="H9" s="543">
        <v>3.3395999999999999</v>
      </c>
      <c r="I9" s="543">
        <v>3.3895</v>
      </c>
      <c r="J9" s="543">
        <v>3.3272000000000004</v>
      </c>
      <c r="K9" s="543">
        <v>3.3701999999999996</v>
      </c>
      <c r="L9" s="543">
        <v>3.3369</v>
      </c>
      <c r="M9" s="543">
        <v>3.3742000000000001</v>
      </c>
      <c r="N9" s="543">
        <v>3.5167999999999999</v>
      </c>
    </row>
    <row r="10" spans="1:34">
      <c r="A10" t="s">
        <v>317</v>
      </c>
      <c r="B10" s="543">
        <f>0.278008560641104*10</f>
        <v>2.7800856064110402</v>
      </c>
      <c r="C10" s="543">
        <v>3.4540440792083</v>
      </c>
      <c r="D10" s="543">
        <v>3.1876161555634601</v>
      </c>
      <c r="E10" s="543">
        <f>Jan!$K$14/Jan!$G$46*10</f>
        <v>2.2515519992653972</v>
      </c>
      <c r="F10" s="543">
        <f>Feb!$K$14/Feb!$G$46*10</f>
        <v>2.311489818900661</v>
      </c>
      <c r="G10" s="543">
        <f>Mar!$K$14/Mar!$G$46*10</f>
        <v>2.0450092519691241</v>
      </c>
      <c r="H10" s="543"/>
      <c r="I10" s="543"/>
      <c r="J10" s="543"/>
      <c r="K10" s="543"/>
      <c r="L10" s="543"/>
      <c r="M10" s="543"/>
      <c r="N10" s="543"/>
    </row>
    <row r="11" spans="1:34">
      <c r="A11" s="547" t="s">
        <v>318</v>
      </c>
      <c r="B11" s="543">
        <f>0.0865086772229614*10</f>
        <v>0.86508677222961405</v>
      </c>
      <c r="C11" s="543">
        <v>0.98017103319810395</v>
      </c>
      <c r="D11" s="543">
        <v>0.99766447491792298</v>
      </c>
      <c r="E11" s="543">
        <f>(-Jan!$I$53/Jan!$G$33)*10</f>
        <v>1.1155279218288066</v>
      </c>
      <c r="F11" s="543">
        <f>-Feb!$I$53/Feb!$G$33*10</f>
        <v>1.099306696538465</v>
      </c>
      <c r="G11" s="543">
        <f>-Mar!$I$53/Mar!$G$33*10</f>
        <v>1.0652826254433267</v>
      </c>
      <c r="H11" s="543"/>
      <c r="I11" s="543"/>
      <c r="J11" s="543"/>
      <c r="K11" s="543"/>
      <c r="L11" s="543"/>
      <c r="M11" s="543"/>
      <c r="N11" s="543"/>
    </row>
    <row r="12" spans="1:34" s="547" customFormat="1">
      <c r="A12" s="547" t="s">
        <v>319</v>
      </c>
      <c r="B12" s="543">
        <f>N12</f>
        <v>1.4529330378220591</v>
      </c>
      <c r="C12" s="543">
        <v>0.79431349782690841</v>
      </c>
      <c r="D12" s="543">
        <v>0.60296290558547094</v>
      </c>
      <c r="E12" s="543">
        <v>0.60895264158951812</v>
      </c>
      <c r="F12" s="543">
        <v>0.60656225946654285</v>
      </c>
      <c r="G12" s="543">
        <v>0.87532504655494603</v>
      </c>
      <c r="H12" s="543">
        <v>1.1232232940560019</v>
      </c>
      <c r="I12" s="543">
        <v>2.0020366178222502</v>
      </c>
      <c r="J12" s="543">
        <v>2.9050208439006555</v>
      </c>
      <c r="K12" s="543">
        <v>3.9176133126746118</v>
      </c>
      <c r="L12" s="543">
        <v>3.8752231593583324</v>
      </c>
      <c r="M12" s="543">
        <v>3.4387986026867114</v>
      </c>
      <c r="N12" s="543">
        <v>1.4529330378220591</v>
      </c>
    </row>
    <row r="13" spans="1:34">
      <c r="A13" s="547" t="s">
        <v>317</v>
      </c>
      <c r="B13" s="543">
        <f>0.102504522593617*10</f>
        <v>1.02504522593617</v>
      </c>
      <c r="C13" s="543">
        <v>0.65827334268652904</v>
      </c>
      <c r="D13" s="543">
        <v>0.51365176254981604</v>
      </c>
      <c r="E13" s="543">
        <f>(Jan!$I$14/Jan!$G$33)*10</f>
        <v>0.40159287715394509</v>
      </c>
      <c r="F13" s="543">
        <f>(Feb!$I$14/Feb!$G$33)*10</f>
        <v>0.49156070472770064</v>
      </c>
      <c r="G13" s="543">
        <f>(Mar!$I$14/Mar!$G$33)*10</f>
        <v>0.68040260585030921</v>
      </c>
      <c r="H13" s="543"/>
      <c r="I13" s="543"/>
      <c r="J13" s="543"/>
      <c r="K13" s="543"/>
      <c r="L13" s="543"/>
      <c r="M13" s="543"/>
      <c r="N13" s="543"/>
    </row>
    <row r="15" spans="1:34">
      <c r="A15" s="267" t="s">
        <v>314</v>
      </c>
    </row>
    <row r="16" spans="1:34">
      <c r="A16" s="268"/>
      <c r="B16" s="545" t="str">
        <f>TEXT(B4,"mmmmm-YY")</f>
        <v>O-13</v>
      </c>
      <c r="C16" s="546" t="str">
        <f t="shared" ref="C16:N16" si="2">TEXT(C4,"mmmmm-YY")</f>
        <v>N-13</v>
      </c>
      <c r="D16" s="269" t="str">
        <f t="shared" si="2"/>
        <v>D-13</v>
      </c>
      <c r="E16" s="269" t="str">
        <f t="shared" si="2"/>
        <v>J-14</v>
      </c>
      <c r="F16" s="269" t="str">
        <f t="shared" si="2"/>
        <v>F-14</v>
      </c>
      <c r="G16" s="269" t="str">
        <f t="shared" si="2"/>
        <v>M-14</v>
      </c>
      <c r="H16" s="269" t="str">
        <f t="shared" si="2"/>
        <v>A-14</v>
      </c>
      <c r="I16" s="269" t="str">
        <f t="shared" si="2"/>
        <v>M-14</v>
      </c>
      <c r="J16" s="269" t="str">
        <f t="shared" si="2"/>
        <v>J-14</v>
      </c>
      <c r="K16" s="269" t="str">
        <f t="shared" si="2"/>
        <v>J-14</v>
      </c>
      <c r="L16" s="269" t="str">
        <f t="shared" si="2"/>
        <v>A-14</v>
      </c>
      <c r="M16" s="269" t="str">
        <f t="shared" si="2"/>
        <v>S-14</v>
      </c>
      <c r="N16" s="269" t="str">
        <f t="shared" si="2"/>
        <v>O-14</v>
      </c>
    </row>
    <row r="17" spans="1:20">
      <c r="A17" s="547" t="s">
        <v>318</v>
      </c>
      <c r="B17" s="543">
        <v>3.7138086914005299</v>
      </c>
      <c r="C17" s="543">
        <v>3.71000032320786</v>
      </c>
      <c r="D17" s="543">
        <v>3.7124000000000001</v>
      </c>
      <c r="E17" s="543">
        <f>-Jan!$J$53/Jan!$K$44*10</f>
        <v>2.3894999999999995</v>
      </c>
      <c r="F17" s="543">
        <f>-Feb!$J$53/Feb!$K$44*10</f>
        <v>2.3895</v>
      </c>
      <c r="G17" s="543">
        <f>-Mar!$J$53/Mar!$K$44*10</f>
        <v>2.3894999999999995</v>
      </c>
      <c r="H17" s="543">
        <f>-Apr!$J$53/Apr!$K$44*10</f>
        <v>2.3894999999999995</v>
      </c>
      <c r="I17" s="543">
        <f>-May!$J$53/May!$K$44*10</f>
        <v>2.3895</v>
      </c>
      <c r="J17" s="543">
        <f>-Jun!$J$53/Jun!$K$44*10</f>
        <v>2.3895</v>
      </c>
      <c r="K17" s="543">
        <f>-Jul!$J$53/Jul!$K$44*10</f>
        <v>2.3895</v>
      </c>
      <c r="L17" s="543">
        <f>-Aug!$J$53/Aug!$K$44*10</f>
        <v>2.3895000000000004</v>
      </c>
      <c r="M17" s="543">
        <f>-Sep!$J$53/Sep!$K$44*10</f>
        <v>2.3894999999999995</v>
      </c>
      <c r="N17" s="543">
        <f>-Oct!$J$53/Oct!$K$44*10</f>
        <v>2.3895</v>
      </c>
    </row>
    <row r="18" spans="1:20" s="547" customFormat="1">
      <c r="A18" s="547" t="s">
        <v>319</v>
      </c>
      <c r="B18" s="543">
        <v>2.9957000000000003</v>
      </c>
      <c r="C18" s="543">
        <v>3.9822000000000002</v>
      </c>
      <c r="D18" s="543">
        <v>3.8203999999999998</v>
      </c>
      <c r="E18" s="543">
        <v>3.7982</v>
      </c>
      <c r="F18" s="543">
        <v>3.8423000000000003</v>
      </c>
      <c r="G18" s="543">
        <v>4.0292000000000003</v>
      </c>
      <c r="H18" s="543">
        <v>3.4569000000000001</v>
      </c>
      <c r="I18" s="543">
        <v>3.5224000000000002</v>
      </c>
      <c r="J18" s="543">
        <v>3.4592000000000001</v>
      </c>
      <c r="K18" s="543">
        <v>3.4888000000000003</v>
      </c>
      <c r="L18" s="543">
        <v>3.4600999999999997</v>
      </c>
      <c r="M18" s="543">
        <v>3.4959000000000002</v>
      </c>
      <c r="N18" s="543">
        <v>3.6281000000000003</v>
      </c>
    </row>
    <row r="19" spans="1:20">
      <c r="A19" s="547" t="s">
        <v>317</v>
      </c>
      <c r="B19" s="543">
        <v>2.76346512007138</v>
      </c>
      <c r="C19" s="543">
        <v>3.4542924833702302</v>
      </c>
      <c r="D19" s="543">
        <v>3.1868860970503601</v>
      </c>
      <c r="E19" s="543">
        <f>Jan!$L$14/Jan!$K$43*10</f>
        <v>2.253129517207229</v>
      </c>
      <c r="F19" s="543">
        <f>Feb!$L$14/Feb!$K$43*10</f>
        <v>2.3140732827809436</v>
      </c>
      <c r="G19" s="543">
        <f>Mar!$L$14/Mar!$K$43*10</f>
        <v>2.0458022474092501</v>
      </c>
      <c r="H19" s="543">
        <f>Apr!$L$14/Apr!$K$43*10</f>
        <v>1.735039179986686</v>
      </c>
      <c r="I19" s="543">
        <f>May!$L$14/May!$K$43*10</f>
        <v>1.7712163855477994</v>
      </c>
      <c r="J19" s="543">
        <f>Jun!$L$14/Jun!$K$43*10</f>
        <v>1.1465765309900064</v>
      </c>
      <c r="K19" s="543">
        <f>Jul!$L$14/Jul!$K$43*10</f>
        <v>-3.2934037840054495</v>
      </c>
      <c r="L19" s="543">
        <f>Aug!$L$14/Aug!$K$43*10</f>
        <v>-3.0441734094790673</v>
      </c>
      <c r="M19" s="543">
        <f>Sep!$L$14/Sep!$K$43*10</f>
        <v>-2.4130847903889947</v>
      </c>
      <c r="N19" s="543">
        <f>Oct!$L$14/Oct!$K$43*10</f>
        <v>8.7637639244904142E-2</v>
      </c>
    </row>
    <row r="20" spans="1:20">
      <c r="A20" s="547" t="s">
        <v>318</v>
      </c>
      <c r="B20" s="543">
        <v>1.0742522128918399</v>
      </c>
      <c r="C20" s="543">
        <v>1.0741263842636799</v>
      </c>
      <c r="D20" s="543">
        <v>1.0744</v>
      </c>
      <c r="E20" s="543">
        <f>-Jan!$K$53/Jan!$K$29*10</f>
        <v>1.1331</v>
      </c>
      <c r="F20" s="543">
        <f>-Feb!$K$53/Feb!$K$29*10</f>
        <v>1.1330999999999998</v>
      </c>
      <c r="G20" s="543">
        <f>-Mar!$K$53/Mar!$K$29*10</f>
        <v>1.1331</v>
      </c>
      <c r="H20" s="543">
        <f>-Apr!$K$53/Apr!$K$29*10</f>
        <v>1.1331</v>
      </c>
      <c r="I20" s="543">
        <f>-May!$K$53/May!$K$29*10</f>
        <v>1.1331</v>
      </c>
      <c r="J20" s="543">
        <f>-Jun!$K$53/Jun!$K$29*10</f>
        <v>1.1331</v>
      </c>
      <c r="K20" s="543">
        <f>-Jul!$K$53/Jul!$K$29*10</f>
        <v>1.1330999999999998</v>
      </c>
      <c r="L20" s="543">
        <f>-Aug!$K$53/Aug!$K$29*10</f>
        <v>1.1330999999999998</v>
      </c>
      <c r="M20" s="543">
        <f>-Sep!$K$53/Sep!$K$29*10</f>
        <v>1.1331</v>
      </c>
      <c r="N20" s="543">
        <f>-Oct!$K$53/Oct!$K$29*10</f>
        <v>1.1330999999999998</v>
      </c>
    </row>
    <row r="21" spans="1:20" s="547" customFormat="1">
      <c r="A21" s="547" t="s">
        <v>319</v>
      </c>
      <c r="B21" s="543">
        <v>1.2942886206113142</v>
      </c>
      <c r="C21" s="543">
        <v>0.74518730633512642</v>
      </c>
      <c r="D21" s="543">
        <v>0.58083452630008092</v>
      </c>
      <c r="E21" s="543">
        <v>0.60843027300764696</v>
      </c>
      <c r="F21" s="543">
        <v>0.68505702536755764</v>
      </c>
      <c r="G21" s="543">
        <v>0.81792088296424315</v>
      </c>
      <c r="H21" s="543">
        <v>1.0438035301560928</v>
      </c>
      <c r="I21" s="543">
        <v>1.8765356717896455</v>
      </c>
      <c r="J21" s="543">
        <v>2.5204558648798452</v>
      </c>
      <c r="K21" s="543">
        <v>3.0722913458699082</v>
      </c>
      <c r="L21" s="543">
        <v>3.0936566161461703</v>
      </c>
      <c r="M21" s="543">
        <v>2.484887676291045</v>
      </c>
      <c r="N21" s="543">
        <v>1.1747692347018237</v>
      </c>
    </row>
    <row r="22" spans="1:20">
      <c r="A22" s="547" t="s">
        <v>317</v>
      </c>
      <c r="B22" s="543">
        <v>1.2115295970631399</v>
      </c>
      <c r="C22" s="543">
        <v>0.708429666562987</v>
      </c>
      <c r="D22" s="543">
        <v>0.54697005486642902</v>
      </c>
      <c r="E22" s="543">
        <f>Jan!$J$14/Jan!$K$29*10</f>
        <v>0.4289025834277691</v>
      </c>
      <c r="F22" s="543">
        <f>Feb!$J$14/Feb!$K$29*10</f>
        <v>0.56073878354375173</v>
      </c>
      <c r="G22" s="543">
        <f>Mar!$J$14/Mar!$K$29*10</f>
        <v>0.70672190201602447</v>
      </c>
      <c r="H22" s="543">
        <f>Apr!$J$14/Apr!$K$29*10</f>
        <v>0.94543211512380787</v>
      </c>
      <c r="I22" s="543">
        <f>May!$J$14/May!$K$29*10</f>
        <v>1.6512951599992522</v>
      </c>
      <c r="J22" s="543">
        <f>Jun!$J$14/Jun!$K$29*10</f>
        <v>2.4665077540659297</v>
      </c>
      <c r="K22" s="543">
        <f>Jul!$J$14/Jul!$K$29*10</f>
        <v>3.2134641912453965</v>
      </c>
      <c r="L22" s="543">
        <f>Aug!$J$14/Aug!$K$29*10</f>
        <v>2.6987053733376323</v>
      </c>
      <c r="M22" s="543">
        <f>Sep!$J$14/Sep!$K$29*10</f>
        <v>2.5919797704657084</v>
      </c>
      <c r="N22" s="543">
        <f>Oct!$J$14/Oct!$K$29*10</f>
        <v>0.98481662794712244</v>
      </c>
    </row>
    <row r="23" spans="1:20"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S23" s="547"/>
      <c r="T23" s="547"/>
    </row>
    <row r="24" spans="1:20">
      <c r="S24" s="547"/>
      <c r="T24" s="547"/>
    </row>
    <row r="25" spans="1:20">
      <c r="S25" s="547"/>
      <c r="T25" s="547"/>
    </row>
    <row r="26" spans="1:20">
      <c r="R26" s="547"/>
      <c r="S26" s="547"/>
      <c r="T26" s="547"/>
    </row>
    <row r="27" spans="1:20">
      <c r="R27" s="547"/>
      <c r="S27" s="547"/>
      <c r="T27" s="547"/>
    </row>
    <row r="28" spans="1:20">
      <c r="R28" s="547"/>
      <c r="S28" s="547"/>
      <c r="T28" s="547"/>
    </row>
    <row r="29" spans="1:20">
      <c r="R29" s="547"/>
      <c r="S29" s="547"/>
      <c r="T29" s="547"/>
    </row>
    <row r="30" spans="1:20">
      <c r="R30" s="547"/>
      <c r="S30" s="547"/>
      <c r="T30" s="547"/>
    </row>
    <row r="31" spans="1:20">
      <c r="R31" s="547"/>
      <c r="S31" s="547"/>
      <c r="T31" s="547"/>
    </row>
    <row r="32" spans="1:20">
      <c r="R32" s="547"/>
      <c r="S32" s="547"/>
      <c r="T32" s="547"/>
    </row>
    <row r="33" spans="18:30">
      <c r="R33" s="547"/>
      <c r="S33" s="547"/>
      <c r="T33" s="547"/>
    </row>
    <row r="34" spans="18:30">
      <c r="R34" s="547"/>
      <c r="S34" s="547"/>
      <c r="T34" s="547"/>
    </row>
    <row r="35" spans="18:30"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</row>
    <row r="36" spans="18:30"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</row>
    <row r="37" spans="18:30"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</row>
    <row r="38" spans="18:30"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</row>
    <row r="39" spans="18:30"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</row>
    <row r="40" spans="18:30"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</row>
    <row r="41" spans="18:30"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</row>
    <row r="42" spans="18:30"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</row>
    <row r="43" spans="18:30" ht="15">
      <c r="S43" s="544"/>
    </row>
    <row r="44" spans="18:30" ht="15">
      <c r="S44" s="544"/>
    </row>
    <row r="45" spans="18:30" ht="15">
      <c r="S45" s="544"/>
    </row>
    <row r="46" spans="18:30" ht="15">
      <c r="S46" s="544"/>
    </row>
    <row r="47" spans="18:30" ht="15">
      <c r="S47" s="544"/>
    </row>
    <row r="48" spans="18:30" ht="15">
      <c r="S48" s="544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4" customWidth="1"/>
    <col min="2" max="2" width="9.28515625" style="384" customWidth="1"/>
    <col min="3" max="3" width="17.85546875" style="384" customWidth="1"/>
    <col min="4" max="4" width="18.42578125" style="384" customWidth="1"/>
    <col min="5" max="5" width="20.140625" style="320" bestFit="1" customWidth="1"/>
    <col min="6" max="6" width="16.140625" style="384" customWidth="1"/>
    <col min="7" max="7" width="34.5703125" style="384" bestFit="1" customWidth="1"/>
    <col min="8" max="8" width="16.85546875" style="384" customWidth="1"/>
    <col min="9" max="9" width="18.28515625" style="384" bestFit="1" customWidth="1"/>
    <col min="10" max="10" width="18.28515625" style="384" customWidth="1"/>
    <col min="11" max="11" width="3.42578125" style="384" customWidth="1"/>
    <col min="12" max="16384" width="9.140625" style="384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5" customFormat="1" ht="16.5" thickBot="1">
      <c r="D7" s="142" t="s">
        <v>223</v>
      </c>
      <c r="E7" s="329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1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2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3" t="s">
        <v>23</v>
      </c>
      <c r="F11" s="385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2">
        <v>0</v>
      </c>
      <c r="D12" s="389" t="s">
        <v>187</v>
      </c>
      <c r="E12" s="324">
        <v>61399.94</v>
      </c>
      <c r="F12" s="385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2">
        <v>0</v>
      </c>
      <c r="D13" s="389" t="s">
        <v>187</v>
      </c>
      <c r="E13" s="324">
        <v>26738.47</v>
      </c>
      <c r="F13" s="385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2"/>
      <c r="D14" s="389" t="s">
        <v>187</v>
      </c>
      <c r="E14" s="324">
        <v>367.45</v>
      </c>
      <c r="F14" s="385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2"/>
      <c r="D15" s="220"/>
      <c r="E15" s="324">
        <v>0</v>
      </c>
      <c r="F15" s="385"/>
      <c r="G15" s="151" t="s">
        <v>28</v>
      </c>
      <c r="H15" s="152" t="s">
        <v>77</v>
      </c>
      <c r="I15" s="108"/>
      <c r="J15" s="394">
        <f>IF(E24&gt;0,-E24,0)</f>
        <v>0</v>
      </c>
    </row>
    <row r="16" spans="1:10" ht="15.75">
      <c r="A16" s="2" t="s">
        <v>24</v>
      </c>
      <c r="B16" s="17">
        <v>122</v>
      </c>
      <c r="C16" s="253"/>
      <c r="D16" s="220"/>
      <c r="E16" s="324">
        <v>0</v>
      </c>
      <c r="F16" s="385"/>
      <c r="G16" s="153" t="s">
        <v>29</v>
      </c>
      <c r="H16" s="7" t="s">
        <v>78</v>
      </c>
      <c r="I16" s="395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2">
        <v>0</v>
      </c>
      <c r="D17" s="389" t="s">
        <v>187</v>
      </c>
      <c r="E17" s="324">
        <v>0</v>
      </c>
      <c r="F17" s="385"/>
      <c r="G17" s="153" t="s">
        <v>99</v>
      </c>
      <c r="H17" s="7" t="s">
        <v>228</v>
      </c>
      <c r="I17" s="395">
        <f>IF((E7-E23)&gt;0,E7-E23,0)</f>
        <v>0</v>
      </c>
      <c r="J17" s="395">
        <f>IF((E7-E23)&lt;0,E7-E23,0)</f>
        <v>-88526.800000000047</v>
      </c>
    </row>
    <row r="18" spans="1:10" ht="15.75">
      <c r="A18" s="2" t="s">
        <v>24</v>
      </c>
      <c r="B18" s="17">
        <v>132</v>
      </c>
      <c r="C18" s="253"/>
      <c r="D18" s="389" t="s">
        <v>187</v>
      </c>
      <c r="E18" s="324">
        <v>20.94</v>
      </c>
      <c r="F18" s="385"/>
      <c r="G18" s="153" t="s">
        <v>10</v>
      </c>
      <c r="H18" s="7" t="s">
        <v>58</v>
      </c>
      <c r="I18" s="7"/>
      <c r="J18" s="460"/>
    </row>
    <row r="19" spans="1:10" ht="16.5" thickBot="1">
      <c r="A19" s="2" t="s">
        <v>24</v>
      </c>
      <c r="B19" s="17" t="s">
        <v>61</v>
      </c>
      <c r="C19" s="253"/>
      <c r="D19" s="121"/>
      <c r="E19" s="324">
        <v>0</v>
      </c>
      <c r="F19" s="385"/>
      <c r="G19" s="154" t="s">
        <v>100</v>
      </c>
      <c r="H19" s="147" t="s">
        <v>207</v>
      </c>
      <c r="I19" s="462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1"/>
      <c r="D20" s="136"/>
      <c r="E20" s="327">
        <v>0</v>
      </c>
      <c r="F20" s="385"/>
      <c r="G20" s="7"/>
      <c r="H20" s="7"/>
      <c r="I20" s="8"/>
      <c r="J20" s="260">
        <f>ROUND(SUM(I15:J19),2)</f>
        <v>0</v>
      </c>
    </row>
    <row r="21" spans="1:10" ht="16.5" thickBot="1">
      <c r="B21" s="6"/>
      <c r="C21" s="254">
        <f>SUM(C12:C20)</f>
        <v>0</v>
      </c>
      <c r="D21" s="155"/>
      <c r="E21" s="326">
        <f>SUM(E12:E20)</f>
        <v>88526.8</v>
      </c>
      <c r="F21" s="385"/>
      <c r="G21" s="7"/>
      <c r="H21" s="7"/>
      <c r="I21" s="7"/>
      <c r="J21" s="7"/>
    </row>
    <row r="22" spans="1:10" ht="16.5" thickTop="1">
      <c r="B22" s="6"/>
      <c r="C22" s="255">
        <v>0</v>
      </c>
      <c r="D22" s="66" t="s">
        <v>161</v>
      </c>
      <c r="E22" s="327">
        <v>0</v>
      </c>
      <c r="F22" s="385"/>
      <c r="G22" s="65" t="s">
        <v>158</v>
      </c>
      <c r="H22" s="7"/>
      <c r="I22" s="12"/>
      <c r="J22" s="12"/>
    </row>
    <row r="23" spans="1:10" ht="15.75">
      <c r="C23" s="317">
        <f>C21-C22</f>
        <v>0</v>
      </c>
      <c r="D23" s="66" t="s">
        <v>87</v>
      </c>
      <c r="E23" s="326">
        <f>E21+E22+E7</f>
        <v>-1477044.4499999997</v>
      </c>
      <c r="F23" s="385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8">
        <f>ROUND(((E7)+(E21-E20)/2)*(D24/12),2)</f>
        <v>-1267.76</v>
      </c>
      <c r="F24" s="385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9">
        <f>SUM(E23:E24)</f>
        <v>-1478312.2099999997</v>
      </c>
      <c r="F25" s="385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1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2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3" t="s">
        <v>23</v>
      </c>
      <c r="F29" s="385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2">
        <v>7085932</v>
      </c>
      <c r="D30" s="389" t="s">
        <v>187</v>
      </c>
      <c r="E30" s="324">
        <v>104530.84</v>
      </c>
      <c r="F30" s="385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2">
        <v>2422167</v>
      </c>
      <c r="D31" s="389" t="s">
        <v>187</v>
      </c>
      <c r="E31" s="324">
        <v>35529.620000000003</v>
      </c>
      <c r="F31" s="385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2">
        <v>24496</v>
      </c>
      <c r="D32" s="389" t="s">
        <v>187</v>
      </c>
      <c r="E32" s="324">
        <v>363.03</v>
      </c>
      <c r="F32" s="385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2"/>
      <c r="D33" s="220"/>
      <c r="E33" s="324">
        <v>0</v>
      </c>
      <c r="F33" s="385"/>
      <c r="G33" s="151" t="s">
        <v>28</v>
      </c>
      <c r="H33" s="152" t="s">
        <v>77</v>
      </c>
      <c r="I33" s="108"/>
      <c r="J33" s="394">
        <f>IF(E42&gt;0,-E42,0)</f>
        <v>0</v>
      </c>
    </row>
    <row r="34" spans="1:10" ht="15.75">
      <c r="A34" s="2" t="s">
        <v>24</v>
      </c>
      <c r="B34" s="17">
        <v>122</v>
      </c>
      <c r="C34" s="252"/>
      <c r="D34" s="220"/>
      <c r="E34" s="324">
        <v>0</v>
      </c>
      <c r="F34" s="385"/>
      <c r="G34" s="153" t="s">
        <v>29</v>
      </c>
      <c r="H34" s="7" t="s">
        <v>78</v>
      </c>
      <c r="I34" s="395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2">
        <v>0</v>
      </c>
      <c r="D35" s="389" t="s">
        <v>187</v>
      </c>
      <c r="E35" s="324">
        <v>0</v>
      </c>
      <c r="F35" s="385"/>
      <c r="G35" s="153" t="s">
        <v>99</v>
      </c>
      <c r="H35" s="7" t="s">
        <v>228</v>
      </c>
      <c r="I35" s="395">
        <f>IF((E25-E41)&gt;0,E25-E41,0)</f>
        <v>0</v>
      </c>
      <c r="J35" s="395">
        <f>IF((E25-E41)&lt;0,E25-E41,0)</f>
        <v>-140007.26</v>
      </c>
    </row>
    <row r="36" spans="1:10" ht="15.75">
      <c r="A36" s="2" t="s">
        <v>24</v>
      </c>
      <c r="B36" s="17">
        <v>132</v>
      </c>
      <c r="C36" s="252">
        <v>27816</v>
      </c>
      <c r="D36" s="389" t="s">
        <v>187</v>
      </c>
      <c r="E36" s="324">
        <v>412.23</v>
      </c>
      <c r="F36" s="385"/>
      <c r="G36" s="153" t="s">
        <v>10</v>
      </c>
      <c r="H36" s="7" t="s">
        <v>58</v>
      </c>
      <c r="I36" s="7"/>
      <c r="J36" s="460"/>
    </row>
    <row r="37" spans="1:10" ht="16.5" thickBot="1">
      <c r="A37" s="2" t="s">
        <v>24</v>
      </c>
      <c r="B37" s="17" t="s">
        <v>61</v>
      </c>
      <c r="C37" s="252"/>
      <c r="D37" s="121"/>
      <c r="E37" s="324">
        <v>0</v>
      </c>
      <c r="F37" s="385"/>
      <c r="G37" s="154" t="s">
        <v>100</v>
      </c>
      <c r="H37" s="147" t="s">
        <v>207</v>
      </c>
      <c r="I37" s="462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1"/>
      <c r="D38" s="136"/>
      <c r="E38" s="327">
        <v>0</v>
      </c>
      <c r="F38" s="385"/>
      <c r="G38" s="7"/>
      <c r="H38" s="7"/>
      <c r="I38" s="8"/>
      <c r="J38" s="260">
        <f>ROUND(SUM(I33:J37),2)</f>
        <v>0</v>
      </c>
    </row>
    <row r="39" spans="1:10" ht="16.5" thickBot="1">
      <c r="B39" s="6"/>
      <c r="C39" s="254">
        <f>SUM(C30:C38)</f>
        <v>9560411</v>
      </c>
      <c r="D39" s="155"/>
      <c r="E39" s="326">
        <f>SUM(E30:E38)</f>
        <v>140835.72</v>
      </c>
      <c r="F39" s="385"/>
      <c r="G39" s="7"/>
      <c r="H39" s="7"/>
      <c r="I39" s="7"/>
      <c r="J39" s="7"/>
    </row>
    <row r="40" spans="1:10" ht="16.5" thickTop="1">
      <c r="B40" s="6"/>
      <c r="C40" s="255">
        <v>9560411</v>
      </c>
      <c r="D40" s="66" t="s">
        <v>161</v>
      </c>
      <c r="E40" s="327">
        <f>-828.46</f>
        <v>-828.46</v>
      </c>
      <c r="F40" s="385"/>
      <c r="G40" s="65" t="s">
        <v>158</v>
      </c>
      <c r="H40" s="7"/>
      <c r="I40" s="12"/>
      <c r="J40" s="12"/>
    </row>
    <row r="41" spans="1:10" ht="15.75">
      <c r="C41" s="317">
        <f>C39-C40</f>
        <v>0</v>
      </c>
      <c r="D41" s="66" t="s">
        <v>87</v>
      </c>
      <c r="E41" s="326">
        <f>E39+E40+E25</f>
        <v>-1338304.9499999997</v>
      </c>
      <c r="F41" s="385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8">
        <f>ROUND(((E25)+(E39-E38)/2)*(D42/12),2)+(E40*0.01/12)</f>
        <v>-1173.9403833333333</v>
      </c>
      <c r="F42" s="385"/>
      <c r="G42" s="65">
        <f>E42-G41</f>
        <v>-0.69509166666671263</v>
      </c>
      <c r="H42" s="467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9">
        <f>SUM(E41:E42)</f>
        <v>-1339478.890383333</v>
      </c>
      <c r="F43" s="385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1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2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3" t="s">
        <v>23</v>
      </c>
      <c r="F47" s="385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2">
        <f>Jan!$K$36</f>
        <v>12030330</v>
      </c>
      <c r="D48" s="389">
        <v>1.482E-2</v>
      </c>
      <c r="E48" s="324">
        <f>C48*D48</f>
        <v>178289.49059999999</v>
      </c>
      <c r="F48" s="385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2">
        <f>Jan!$K$37</f>
        <v>3930876</v>
      </c>
      <c r="D49" s="389">
        <v>1.482E-2</v>
      </c>
      <c r="E49" s="324">
        <f t="shared" ref="E49:E55" si="0">C49*D49</f>
        <v>58255.582320000001</v>
      </c>
      <c r="F49" s="385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2">
        <f>Jan!$K$38</f>
        <v>4671</v>
      </c>
      <c r="D50" s="389">
        <v>1.482E-2</v>
      </c>
      <c r="E50" s="324">
        <f t="shared" si="0"/>
        <v>69.224220000000003</v>
      </c>
      <c r="F50" s="385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2">
        <f>Jan!$K$39</f>
        <v>0</v>
      </c>
      <c r="D51" s="389">
        <v>1.482E-2</v>
      </c>
      <c r="E51" s="324">
        <f t="shared" si="0"/>
        <v>0</v>
      </c>
      <c r="F51" s="385"/>
      <c r="G51" s="151" t="s">
        <v>28</v>
      </c>
      <c r="H51" s="152" t="s">
        <v>77</v>
      </c>
      <c r="I51" s="108"/>
      <c r="J51" s="394">
        <f>IF(E60&gt;0,-E60,0)</f>
        <v>0</v>
      </c>
    </row>
    <row r="52" spans="1:10" ht="15.75">
      <c r="A52" s="2" t="s">
        <v>24</v>
      </c>
      <c r="B52" s="17">
        <v>122</v>
      </c>
      <c r="C52" s="252"/>
      <c r="D52" s="220"/>
      <c r="E52" s="324">
        <f t="shared" si="0"/>
        <v>0</v>
      </c>
      <c r="F52" s="385"/>
      <c r="G52" s="153" t="s">
        <v>29</v>
      </c>
      <c r="H52" s="7" t="s">
        <v>78</v>
      </c>
      <c r="I52" s="395">
        <f>IF(E60&lt;0,-E60,0)</f>
        <v>1017.64</v>
      </c>
      <c r="J52" s="222"/>
    </row>
    <row r="53" spans="1:10" ht="15.75">
      <c r="A53" s="2" t="s">
        <v>24</v>
      </c>
      <c r="B53" s="17">
        <v>131</v>
      </c>
      <c r="C53" s="252"/>
      <c r="D53" s="389"/>
      <c r="E53" s="324">
        <f t="shared" si="0"/>
        <v>0</v>
      </c>
      <c r="F53" s="385"/>
      <c r="G53" s="153" t="s">
        <v>99</v>
      </c>
      <c r="H53" s="7" t="s">
        <v>228</v>
      </c>
      <c r="I53" s="395">
        <f>IF((E43-E59)&gt;0,E43-E59,0)</f>
        <v>0</v>
      </c>
      <c r="J53" s="395">
        <f>IF((E43-E59)&lt;0,E43-E59,0)</f>
        <v>-236614.29713999992</v>
      </c>
    </row>
    <row r="54" spans="1:10" ht="15.75">
      <c r="A54" s="2" t="s">
        <v>24</v>
      </c>
      <c r="B54" s="17">
        <v>132</v>
      </c>
      <c r="C54" s="252">
        <f>Jan!$K$42</f>
        <v>0</v>
      </c>
      <c r="D54" s="389">
        <v>1.482E-2</v>
      </c>
      <c r="E54" s="324">
        <f t="shared" si="0"/>
        <v>0</v>
      </c>
      <c r="F54" s="385"/>
      <c r="G54" s="153" t="s">
        <v>10</v>
      </c>
      <c r="H54" s="7" t="s">
        <v>58</v>
      </c>
      <c r="I54" s="7"/>
      <c r="J54" s="460"/>
    </row>
    <row r="55" spans="1:10" ht="16.5" thickBot="1">
      <c r="A55" s="2" t="s">
        <v>24</v>
      </c>
      <c r="B55" s="17" t="s">
        <v>61</v>
      </c>
      <c r="C55" s="252"/>
      <c r="D55" s="121"/>
      <c r="E55" s="324">
        <f t="shared" si="0"/>
        <v>0</v>
      </c>
      <c r="F55" s="385"/>
      <c r="G55" s="154" t="s">
        <v>100</v>
      </c>
      <c r="H55" s="147" t="s">
        <v>207</v>
      </c>
      <c r="I55" s="462">
        <f>IF((E61-E43)&gt;0,E61-E43,0)</f>
        <v>235596.65714000002</v>
      </c>
      <c r="J55" s="107">
        <f>IF((E61-E43)&lt;0,E61-E43,0)</f>
        <v>0</v>
      </c>
    </row>
    <row r="56" spans="1:10" ht="15.75">
      <c r="A56" s="2" t="s">
        <v>156</v>
      </c>
      <c r="B56" s="70"/>
      <c r="C56" s="251"/>
      <c r="D56" s="136"/>
      <c r="E56" s="327">
        <v>0</v>
      </c>
      <c r="F56" s="385"/>
      <c r="G56" s="7"/>
      <c r="H56" s="7"/>
      <c r="I56" s="8"/>
      <c r="J56" s="260">
        <f>ROUND(SUM(I51:J55),2)</f>
        <v>0</v>
      </c>
    </row>
    <row r="57" spans="1:10" ht="16.5" thickBot="1">
      <c r="B57" s="6"/>
      <c r="C57" s="254">
        <f>SUM(C48:C56)</f>
        <v>15965877</v>
      </c>
      <c r="D57" s="155"/>
      <c r="E57" s="326">
        <f>SUM(E48:E56)</f>
        <v>236614.29714000001</v>
      </c>
      <c r="F57" s="385"/>
      <c r="G57" s="7"/>
      <c r="H57" s="7"/>
      <c r="I57" s="7"/>
      <c r="J57" s="7"/>
    </row>
    <row r="58" spans="1:10" ht="16.5" thickTop="1">
      <c r="B58" s="6"/>
      <c r="C58" s="255">
        <v>13799763</v>
      </c>
      <c r="D58" s="66" t="s">
        <v>161</v>
      </c>
      <c r="E58" s="327">
        <v>0</v>
      </c>
      <c r="F58" s="385"/>
      <c r="G58" s="65" t="s">
        <v>158</v>
      </c>
      <c r="H58" s="7"/>
      <c r="I58" s="12"/>
      <c r="J58" s="12"/>
    </row>
    <row r="59" spans="1:10" ht="15.75">
      <c r="C59" s="317">
        <f>C57-C58</f>
        <v>2166114</v>
      </c>
      <c r="D59" s="66" t="s">
        <v>87</v>
      </c>
      <c r="E59" s="326">
        <f>E57+E58+E43</f>
        <v>-1102864.593243333</v>
      </c>
      <c r="F59" s="385"/>
      <c r="G59" s="8">
        <f>(E43*(D60/12))+((E57-E56)*(D60/24))</f>
        <v>-1017.6431181777776</v>
      </c>
      <c r="H59" s="7"/>
      <c r="I59" s="8"/>
      <c r="J59" s="10"/>
    </row>
    <row r="60" spans="1:10" ht="15.75">
      <c r="C60" s="50"/>
      <c r="D60" s="225">
        <v>0.01</v>
      </c>
      <c r="E60" s="328">
        <f>ROUND(((E43)+(E57-E56)/2)*(D60/12),2)</f>
        <v>-1017.64</v>
      </c>
      <c r="F60" s="385"/>
      <c r="G60" s="65"/>
      <c r="H60" s="467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9">
        <f>SUM(E59:E60)</f>
        <v>-1103882.2332433329</v>
      </c>
      <c r="F61" s="385"/>
      <c r="G61" s="475" t="s">
        <v>244</v>
      </c>
      <c r="H61" s="476" t="e">
        <f>_xll.Get_Balance(I61,"YTD","USD","Total","A","","001","191015","GD","ID","DL")-E61</f>
        <v>#VALUE!</v>
      </c>
      <c r="I61" s="477">
        <v>201312</v>
      </c>
      <c r="J61" s="7"/>
    </row>
    <row r="62" spans="1:10" ht="15.75" thickTop="1"/>
    <row r="118" spans="16:16">
      <c r="P118" s="384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0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1" customFormat="1" ht="16.5" hidden="1" thickBot="1">
      <c r="A7" s="5"/>
      <c r="B7" s="5"/>
      <c r="C7" s="50" t="s">
        <v>1</v>
      </c>
      <c r="D7" s="143">
        <v>41182</v>
      </c>
      <c r="E7" s="329">
        <v>802311.62372397084</v>
      </c>
      <c r="F7" s="333"/>
      <c r="G7" s="7"/>
      <c r="H7" s="7"/>
      <c r="I7" s="8"/>
      <c r="J7" s="7"/>
    </row>
    <row r="8" spans="1:10" s="385" customFormat="1" ht="16.5" hidden="1" thickTop="1">
      <c r="D8" s="142" t="s">
        <v>208</v>
      </c>
      <c r="E8" s="326">
        <f>'ID Def 191010'!T17</f>
        <v>-2122091.5699999998</v>
      </c>
    </row>
    <row r="9" spans="1:10" s="385" customFormat="1" ht="16.5" hidden="1" thickBot="1">
      <c r="D9" s="142" t="s">
        <v>204</v>
      </c>
      <c r="E9" s="329">
        <f>E8+E7</f>
        <v>-1319779.9462760291</v>
      </c>
    </row>
    <row r="10" spans="1:10" s="331" customFormat="1" ht="16.5" hidden="1" thickTop="1" thickBot="1">
      <c r="E10" s="320"/>
    </row>
    <row r="11" spans="1:10" ht="15.75" hidden="1">
      <c r="A11" s="73" t="s">
        <v>142</v>
      </c>
      <c r="B11" s="74"/>
      <c r="C11" s="75"/>
      <c r="D11" s="76"/>
      <c r="E11" s="321"/>
      <c r="F11" s="331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2" t="s">
        <v>21</v>
      </c>
      <c r="F12" s="331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3" t="s">
        <v>23</v>
      </c>
      <c r="F13" s="333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2">
        <v>3765205</v>
      </c>
      <c r="D14" s="233">
        <v>1.7780000000000001E-2</v>
      </c>
      <c r="E14" s="324">
        <v>66929.279999999999</v>
      </c>
      <c r="F14" s="385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2">
        <v>1887716</v>
      </c>
      <c r="D15" s="233">
        <v>1.7780000000000001E-2</v>
      </c>
      <c r="E15" s="324">
        <v>32198.03</v>
      </c>
      <c r="F15" s="385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2"/>
      <c r="D16" s="233"/>
      <c r="E16" s="324">
        <v>0</v>
      </c>
      <c r="F16" s="333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2"/>
      <c r="D17" s="220"/>
      <c r="E17" s="324">
        <v>0</v>
      </c>
      <c r="F17" s="333"/>
      <c r="G17" s="151" t="s">
        <v>28</v>
      </c>
      <c r="H17" s="152" t="s">
        <v>77</v>
      </c>
      <c r="I17" s="108"/>
      <c r="J17" s="394">
        <v>0</v>
      </c>
    </row>
    <row r="18" spans="1:10" ht="15.75" hidden="1">
      <c r="A18" s="2" t="s">
        <v>24</v>
      </c>
      <c r="B18" s="17">
        <v>122</v>
      </c>
      <c r="C18" s="253"/>
      <c r="D18" s="220"/>
      <c r="E18" s="324">
        <v>0</v>
      </c>
      <c r="F18" s="333"/>
      <c r="G18" s="153" t="s">
        <v>29</v>
      </c>
      <c r="H18" s="7" t="s">
        <v>78</v>
      </c>
      <c r="I18" s="395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2">
        <v>0</v>
      </c>
      <c r="D19" s="233">
        <v>1.6570000000000001E-2</v>
      </c>
      <c r="E19" s="324">
        <v>0</v>
      </c>
      <c r="F19" s="333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3"/>
      <c r="D20" s="121"/>
      <c r="E20" s="324">
        <v>0</v>
      </c>
      <c r="F20" s="333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3"/>
      <c r="D21" s="121"/>
      <c r="E21" s="324">
        <v>0</v>
      </c>
      <c r="F21" s="333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1"/>
      <c r="D22" s="136"/>
      <c r="E22" s="325">
        <v>48045.69</v>
      </c>
      <c r="F22" s="333"/>
      <c r="G22" s="7"/>
      <c r="H22" s="7"/>
      <c r="I22" s="8"/>
      <c r="J22" s="260">
        <f>ROUND(SUM(I17:J21),2)</f>
        <v>0</v>
      </c>
    </row>
    <row r="23" spans="1:10" ht="16.5" hidden="1" thickBot="1">
      <c r="A23" s="331"/>
      <c r="B23" s="6"/>
      <c r="C23" s="254">
        <f>SUM(C14:C22)</f>
        <v>5652921</v>
      </c>
      <c r="D23" s="155"/>
      <c r="E23" s="326">
        <f>SUM(E14:E22)</f>
        <v>147173</v>
      </c>
      <c r="F23" s="333"/>
      <c r="G23" s="7"/>
      <c r="H23" s="7"/>
      <c r="I23" s="7"/>
      <c r="J23" s="7"/>
    </row>
    <row r="24" spans="1:10" ht="16.5" hidden="1" thickTop="1">
      <c r="A24" s="331"/>
      <c r="B24" s="6"/>
      <c r="C24" s="255">
        <v>5652921</v>
      </c>
      <c r="D24" s="66" t="s">
        <v>161</v>
      </c>
      <c r="E24" s="327">
        <v>0</v>
      </c>
      <c r="F24" s="333"/>
      <c r="G24" s="65" t="s">
        <v>158</v>
      </c>
      <c r="H24" s="7"/>
      <c r="I24" s="12"/>
      <c r="J24" s="12"/>
    </row>
    <row r="25" spans="1:10" ht="15.75" hidden="1">
      <c r="A25" s="331"/>
      <c r="B25" s="331"/>
      <c r="C25" s="317">
        <f>C23-C24</f>
        <v>0</v>
      </c>
      <c r="D25" s="66" t="s">
        <v>87</v>
      </c>
      <c r="E25" s="326">
        <f>E23+E24+E9</f>
        <v>-1172606.9462760291</v>
      </c>
      <c r="F25" s="333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1"/>
      <c r="B26" s="331"/>
      <c r="C26" s="50"/>
      <c r="D26" s="225">
        <v>0.01</v>
      </c>
      <c r="E26" s="328">
        <f>ROUND(((E9)+(E23-E22)/2)*(D26/12),2)</f>
        <v>-1058.51</v>
      </c>
      <c r="F26" s="333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9">
        <f>SUM(E25:E26)</f>
        <v>-1173665.4562760291</v>
      </c>
      <c r="F27" s="333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1"/>
      <c r="F29" s="384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2" t="s">
        <v>21</v>
      </c>
      <c r="F30" s="384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3" t="s">
        <v>23</v>
      </c>
      <c r="F31" s="385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2">
        <v>6036412</v>
      </c>
      <c r="D32" s="389">
        <v>1.7780000000000001E-2</v>
      </c>
      <c r="E32" s="324">
        <v>74956.77</v>
      </c>
      <c r="F32" s="385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2">
        <v>1867362</v>
      </c>
      <c r="D33" s="389">
        <v>1.7780000000000001E-2</v>
      </c>
      <c r="E33" s="324">
        <v>15979.81</v>
      </c>
      <c r="F33" s="385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2"/>
      <c r="D34" s="389"/>
      <c r="E34" s="324">
        <v>0</v>
      </c>
      <c r="F34" s="385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2"/>
      <c r="D35" s="220"/>
      <c r="E35" s="324">
        <v>0</v>
      </c>
      <c r="F35" s="385"/>
      <c r="G35" s="151" t="s">
        <v>28</v>
      </c>
      <c r="H35" s="152" t="s">
        <v>77</v>
      </c>
      <c r="I35" s="108"/>
      <c r="J35" s="394">
        <v>0</v>
      </c>
    </row>
    <row r="36" spans="1:10" ht="15.75" hidden="1">
      <c r="A36" s="2" t="s">
        <v>24</v>
      </c>
      <c r="B36" s="17">
        <v>122</v>
      </c>
      <c r="C36" s="253"/>
      <c r="D36" s="220"/>
      <c r="E36" s="324">
        <v>0</v>
      </c>
      <c r="F36" s="385"/>
      <c r="G36" s="153" t="s">
        <v>29</v>
      </c>
      <c r="H36" s="7" t="s">
        <v>78</v>
      </c>
      <c r="I36" s="395">
        <v>940.16</v>
      </c>
      <c r="J36" s="222"/>
    </row>
    <row r="37" spans="1:10" ht="15.75" hidden="1">
      <c r="A37" s="2" t="s">
        <v>24</v>
      </c>
      <c r="B37" s="17">
        <v>131</v>
      </c>
      <c r="C37" s="252">
        <v>0</v>
      </c>
      <c r="D37" s="389">
        <v>1.6570000000000001E-2</v>
      </c>
      <c r="E37" s="324">
        <v>0</v>
      </c>
      <c r="F37" s="385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3"/>
      <c r="D38" s="121"/>
      <c r="E38" s="324">
        <v>0</v>
      </c>
      <c r="F38" s="385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3"/>
      <c r="D39" s="121"/>
      <c r="E39" s="324">
        <v>0</v>
      </c>
      <c r="F39" s="385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1"/>
      <c r="D40" s="136"/>
      <c r="E40" s="325">
        <v>0</v>
      </c>
      <c r="F40" s="385"/>
      <c r="G40" s="7"/>
      <c r="H40" s="7"/>
      <c r="I40" s="8"/>
      <c r="J40" s="260">
        <v>0</v>
      </c>
    </row>
    <row r="41" spans="1:10" ht="16.5" hidden="1" thickBot="1">
      <c r="A41" s="384"/>
      <c r="B41" s="6"/>
      <c r="C41" s="254">
        <v>7903774</v>
      </c>
      <c r="D41" s="155"/>
      <c r="E41" s="326">
        <v>90936.58</v>
      </c>
      <c r="F41" s="385"/>
      <c r="G41" s="7"/>
      <c r="H41" s="7"/>
      <c r="I41" s="7"/>
      <c r="J41" s="7"/>
    </row>
    <row r="42" spans="1:10" ht="16.5" hidden="1" thickTop="1">
      <c r="A42" s="384"/>
      <c r="B42" s="6"/>
      <c r="C42" s="255">
        <v>7903774</v>
      </c>
      <c r="D42" s="66" t="s">
        <v>161</v>
      </c>
      <c r="E42" s="327">
        <v>-177.97000000000116</v>
      </c>
      <c r="F42" s="385"/>
      <c r="G42" s="65" t="s">
        <v>158</v>
      </c>
      <c r="H42" s="7"/>
      <c r="I42" s="12"/>
      <c r="J42" s="12"/>
    </row>
    <row r="43" spans="1:10" ht="15.75" hidden="1">
      <c r="A43" s="384"/>
      <c r="B43" s="384"/>
      <c r="C43" s="317">
        <v>0</v>
      </c>
      <c r="D43" s="66" t="s">
        <v>87</v>
      </c>
      <c r="E43" s="326">
        <v>-1082906.846276029</v>
      </c>
      <c r="F43" s="385"/>
      <c r="G43" s="8">
        <v>-940.16430523002441</v>
      </c>
      <c r="H43" s="7"/>
      <c r="I43" s="8"/>
      <c r="J43" s="10"/>
    </row>
    <row r="44" spans="1:10" ht="15.75" hidden="1">
      <c r="A44" s="384"/>
      <c r="B44" s="384"/>
      <c r="C44" s="50"/>
      <c r="D44" s="225">
        <v>0.01</v>
      </c>
      <c r="E44" s="328">
        <v>-940.16</v>
      </c>
      <c r="F44" s="385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9">
        <v>-1083847.0062760289</v>
      </c>
      <c r="F45" s="385"/>
      <c r="G45" s="7"/>
      <c r="H45" s="7"/>
      <c r="I45" s="8"/>
      <c r="J45" s="7"/>
    </row>
    <row r="46" spans="1:10" s="384" customFormat="1" ht="16.5" hidden="1" thickTop="1" thickBot="1">
      <c r="E46" s="320"/>
    </row>
    <row r="47" spans="1:10" s="384" customFormat="1" ht="15.75" hidden="1">
      <c r="A47" s="73" t="s">
        <v>142</v>
      </c>
      <c r="B47" s="74"/>
      <c r="C47" s="75"/>
      <c r="D47" s="76"/>
      <c r="E47" s="321"/>
      <c r="G47" s="16"/>
      <c r="H47" s="5"/>
      <c r="I47" s="56"/>
      <c r="J47" s="56"/>
    </row>
    <row r="48" spans="1:10" s="384" customFormat="1" ht="15.75" hidden="1">
      <c r="A48" s="219" t="s">
        <v>219</v>
      </c>
      <c r="B48" s="71"/>
      <c r="C48" s="16"/>
      <c r="D48" s="72" t="s">
        <v>23</v>
      </c>
      <c r="E48" s="322" t="s">
        <v>21</v>
      </c>
      <c r="G48" s="5"/>
      <c r="H48" s="5"/>
      <c r="I48" s="8"/>
      <c r="J48" s="10"/>
    </row>
    <row r="49" spans="1:10" s="384" customFormat="1" ht="16.5" hidden="1" thickBot="1">
      <c r="A49" s="14"/>
      <c r="B49" s="18"/>
      <c r="C49" s="131" t="s">
        <v>21</v>
      </c>
      <c r="D49" s="131" t="s">
        <v>22</v>
      </c>
      <c r="E49" s="323" t="s">
        <v>23</v>
      </c>
      <c r="F49" s="385"/>
      <c r="G49" s="7"/>
      <c r="H49" s="7"/>
      <c r="I49" s="10"/>
      <c r="J49" s="10"/>
    </row>
    <row r="50" spans="1:10" s="384" customFormat="1" ht="15.75" hidden="1">
      <c r="A50" s="2" t="s">
        <v>24</v>
      </c>
      <c r="B50" s="17">
        <v>101</v>
      </c>
      <c r="C50" s="252">
        <v>6036412</v>
      </c>
      <c r="D50" s="389">
        <v>1.7780000000000001E-2</v>
      </c>
      <c r="E50" s="324">
        <v>107587.32</v>
      </c>
      <c r="F50" s="385" t="s">
        <v>187</v>
      </c>
      <c r="G50" s="7"/>
      <c r="H50" s="7"/>
      <c r="I50" s="8"/>
      <c r="J50" s="7"/>
    </row>
    <row r="51" spans="1:10" s="384" customFormat="1" ht="16.5" hidden="1" thickBot="1">
      <c r="A51" s="2" t="s">
        <v>24</v>
      </c>
      <c r="B51" s="17">
        <v>111</v>
      </c>
      <c r="C51" s="252">
        <v>1867362</v>
      </c>
      <c r="D51" s="389">
        <v>1.7780000000000001E-2</v>
      </c>
      <c r="E51" s="324">
        <v>33861.39</v>
      </c>
      <c r="F51" s="385" t="s">
        <v>187</v>
      </c>
      <c r="G51" s="399" t="str">
        <f>A48</f>
        <v>11-30-2012 - Corrected</v>
      </c>
      <c r="H51" s="400"/>
      <c r="I51" s="400"/>
      <c r="J51" s="400"/>
    </row>
    <row r="52" spans="1:10" s="384" customFormat="1" ht="16.5" hidden="1" thickBot="1">
      <c r="A52" s="2" t="s">
        <v>24</v>
      </c>
      <c r="B52" s="17">
        <v>112</v>
      </c>
      <c r="C52" s="252"/>
      <c r="D52" s="389"/>
      <c r="E52" s="324">
        <f t="shared" ref="E52:E57" si="0">C52*D52</f>
        <v>0</v>
      </c>
      <c r="F52" s="385"/>
      <c r="G52" s="401" t="s">
        <v>215</v>
      </c>
      <c r="H52" s="402"/>
      <c r="I52" s="403" t="s">
        <v>18</v>
      </c>
      <c r="J52" s="404" t="s">
        <v>19</v>
      </c>
    </row>
    <row r="53" spans="1:10" s="384" customFormat="1" ht="15.75" hidden="1">
      <c r="A53" s="2" t="s">
        <v>24</v>
      </c>
      <c r="B53" s="17">
        <v>121</v>
      </c>
      <c r="C53" s="252"/>
      <c r="D53" s="220"/>
      <c r="E53" s="324">
        <f t="shared" si="0"/>
        <v>0</v>
      </c>
      <c r="F53" s="385"/>
      <c r="G53" s="405" t="s">
        <v>28</v>
      </c>
      <c r="H53" s="406" t="s">
        <v>77</v>
      </c>
      <c r="I53" s="407"/>
      <c r="J53" s="408">
        <v>0</v>
      </c>
    </row>
    <row r="54" spans="1:10" s="384" customFormat="1" ht="15.75" hidden="1">
      <c r="A54" s="2" t="s">
        <v>24</v>
      </c>
      <c r="B54" s="17">
        <v>122</v>
      </c>
      <c r="C54" s="253"/>
      <c r="D54" s="220"/>
      <c r="E54" s="324">
        <f t="shared" si="0"/>
        <v>0</v>
      </c>
      <c r="F54" s="385"/>
      <c r="G54" s="409" t="s">
        <v>29</v>
      </c>
      <c r="H54" s="410" t="s">
        <v>78</v>
      </c>
      <c r="I54" s="411">
        <v>0</v>
      </c>
      <c r="J54" s="412">
        <f>-E62+E44</f>
        <v>-95.889999999999986</v>
      </c>
    </row>
    <row r="55" spans="1:10" s="384" customFormat="1" ht="15.75" hidden="1">
      <c r="A55" s="2" t="s">
        <v>24</v>
      </c>
      <c r="B55" s="17">
        <v>131</v>
      </c>
      <c r="C55" s="252">
        <v>0</v>
      </c>
      <c r="D55" s="389">
        <v>1.6570000000000001E-2</v>
      </c>
      <c r="E55" s="324">
        <f t="shared" si="0"/>
        <v>0</v>
      </c>
      <c r="F55" s="385"/>
      <c r="G55" s="409" t="s">
        <v>99</v>
      </c>
      <c r="H55" s="410" t="s">
        <v>60</v>
      </c>
      <c r="I55" s="330">
        <v>0</v>
      </c>
      <c r="J55" s="413">
        <f>E41-E59</f>
        <v>-50512.130000000019</v>
      </c>
    </row>
    <row r="56" spans="1:10" s="384" customFormat="1" ht="15.75" hidden="1">
      <c r="A56" s="2" t="s">
        <v>24</v>
      </c>
      <c r="B56" s="17">
        <v>132</v>
      </c>
      <c r="C56" s="253"/>
      <c r="D56" s="121"/>
      <c r="E56" s="324">
        <f t="shared" si="0"/>
        <v>0</v>
      </c>
      <c r="F56" s="385"/>
      <c r="G56" s="409" t="s">
        <v>10</v>
      </c>
      <c r="H56" s="410" t="s">
        <v>58</v>
      </c>
      <c r="I56" s="410">
        <v>0</v>
      </c>
      <c r="J56" s="414"/>
    </row>
    <row r="57" spans="1:10" s="384" customFormat="1" ht="16.5" hidden="1" thickBot="1">
      <c r="A57" s="2" t="s">
        <v>24</v>
      </c>
      <c r="B57" s="17" t="s">
        <v>61</v>
      </c>
      <c r="C57" s="253"/>
      <c r="D57" s="121"/>
      <c r="E57" s="324">
        <f t="shared" si="0"/>
        <v>0</v>
      </c>
      <c r="F57" s="385"/>
      <c r="G57" s="415" t="s">
        <v>100</v>
      </c>
      <c r="H57" s="400" t="s">
        <v>62</v>
      </c>
      <c r="I57" s="416">
        <f>-J55-J54</f>
        <v>50608.020000000019</v>
      </c>
      <c r="J57" s="417">
        <v>0</v>
      </c>
    </row>
    <row r="58" spans="1:10" s="384" customFormat="1" ht="15.75" hidden="1">
      <c r="A58" s="2" t="s">
        <v>156</v>
      </c>
      <c r="B58" s="70"/>
      <c r="C58" s="251"/>
      <c r="D58" s="136"/>
      <c r="E58" s="325">
        <v>0</v>
      </c>
      <c r="F58" s="385"/>
      <c r="G58" s="410"/>
      <c r="H58" s="410"/>
      <c r="I58" s="330"/>
      <c r="J58" s="330">
        <f>ROUND(SUM(I53:J57),2)</f>
        <v>0</v>
      </c>
    </row>
    <row r="59" spans="1:10" s="384" customFormat="1" ht="16.5" hidden="1" thickBot="1">
      <c r="B59" s="6"/>
      <c r="C59" s="254">
        <f>SUM(C50:C58)</f>
        <v>7903774</v>
      </c>
      <c r="D59" s="155"/>
      <c r="E59" s="326">
        <f>SUM(E50:E58)</f>
        <v>141448.71000000002</v>
      </c>
      <c r="F59" s="385"/>
      <c r="G59" s="7"/>
      <c r="H59" s="7"/>
      <c r="I59" s="7"/>
      <c r="J59" s="7"/>
    </row>
    <row r="60" spans="1:10" s="384" customFormat="1" ht="16.5" hidden="1" thickTop="1">
      <c r="B60" s="6"/>
      <c r="C60" s="255">
        <v>7903774</v>
      </c>
      <c r="D60" s="66" t="s">
        <v>161</v>
      </c>
      <c r="E60" s="327">
        <f>47867.72-48045.69</f>
        <v>-177.97000000000116</v>
      </c>
      <c r="F60" s="385"/>
      <c r="G60" s="65" t="s">
        <v>158</v>
      </c>
      <c r="H60" s="7"/>
      <c r="I60" s="12"/>
      <c r="J60" s="12"/>
    </row>
    <row r="61" spans="1:10" s="384" customFormat="1" ht="15.75" hidden="1">
      <c r="C61" s="317">
        <f>C59-C60</f>
        <v>0</v>
      </c>
      <c r="D61" s="66" t="s">
        <v>87</v>
      </c>
      <c r="E61" s="326">
        <f>E59+E60+E27</f>
        <v>-1032394.7162760291</v>
      </c>
      <c r="F61" s="385"/>
      <c r="G61" s="8">
        <f>(E45*(D62/12))+(E59*(D62/24))</f>
        <v>-844.26887606335742</v>
      </c>
      <c r="H61" s="7"/>
      <c r="I61" s="8"/>
      <c r="J61" s="10"/>
    </row>
    <row r="62" spans="1:10" s="384" customFormat="1" ht="15.75" hidden="1">
      <c r="C62" s="50"/>
      <c r="D62" s="225">
        <v>0.01</v>
      </c>
      <c r="E62" s="328">
        <f>ROUND(((E45)+(E59)/2)*(D62/12),2)</f>
        <v>-844.27</v>
      </c>
      <c r="F62" s="385"/>
      <c r="G62" s="65"/>
      <c r="H62" s="7"/>
      <c r="I62" s="10"/>
      <c r="J62" s="10"/>
    </row>
    <row r="63" spans="1:10" s="384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9">
        <f>SUM(E61:E62)</f>
        <v>-1033238.9862760291</v>
      </c>
      <c r="F63" s="385"/>
      <c r="G63" s="7"/>
      <c r="H63" s="7"/>
      <c r="I63" s="8"/>
      <c r="J63" s="7"/>
    </row>
    <row r="64" spans="1:10" s="384" customFormat="1" ht="16.5" hidden="1" thickTop="1" thickBot="1">
      <c r="E64" s="320"/>
    </row>
    <row r="65" spans="1:10" s="384" customFormat="1" ht="15.75" hidden="1">
      <c r="A65" s="73" t="s">
        <v>142</v>
      </c>
      <c r="B65" s="74"/>
      <c r="C65" s="75"/>
      <c r="D65" s="76"/>
      <c r="E65" s="321"/>
      <c r="G65" s="16"/>
      <c r="H65" s="5"/>
      <c r="I65" s="56"/>
      <c r="J65" s="56"/>
    </row>
    <row r="66" spans="1:10" s="384" customFormat="1" ht="15.75" hidden="1">
      <c r="A66" s="219">
        <v>41274</v>
      </c>
      <c r="B66" s="71"/>
      <c r="C66" s="16"/>
      <c r="D66" s="72" t="s">
        <v>23</v>
      </c>
      <c r="E66" s="322" t="s">
        <v>21</v>
      </c>
      <c r="G66" s="5"/>
      <c r="H66" s="5"/>
      <c r="I66" s="8"/>
      <c r="J66" s="10"/>
    </row>
    <row r="67" spans="1:10" s="384" customFormat="1" ht="16.5" hidden="1" thickBot="1">
      <c r="A67" s="14"/>
      <c r="B67" s="18"/>
      <c r="C67" s="131" t="s">
        <v>21</v>
      </c>
      <c r="D67" s="131" t="s">
        <v>22</v>
      </c>
      <c r="E67" s="323" t="s">
        <v>23</v>
      </c>
      <c r="F67" s="385"/>
      <c r="G67" s="7"/>
      <c r="H67" s="7"/>
      <c r="I67" s="10"/>
      <c r="J67" s="10"/>
    </row>
    <row r="68" spans="1:10" s="384" customFormat="1" ht="15.75" hidden="1">
      <c r="A68" s="2" t="s">
        <v>24</v>
      </c>
      <c r="B68" s="17">
        <v>101</v>
      </c>
      <c r="C68" s="252">
        <v>8220978</v>
      </c>
      <c r="D68" s="389">
        <v>1.7780000000000001E-2</v>
      </c>
      <c r="E68" s="324">
        <f>C68*D68</f>
        <v>146168.98884000001</v>
      </c>
      <c r="F68" s="385"/>
      <c r="G68" s="7"/>
      <c r="H68" s="7"/>
      <c r="I68" s="8"/>
      <c r="J68" s="7"/>
    </row>
    <row r="69" spans="1:10" s="384" customFormat="1" ht="16.5" hidden="1" thickBot="1">
      <c r="A69" s="2" t="s">
        <v>24</v>
      </c>
      <c r="B69" s="17">
        <v>111</v>
      </c>
      <c r="C69" s="252">
        <v>2679003</v>
      </c>
      <c r="D69" s="389">
        <v>1.7780000000000001E-2</v>
      </c>
      <c r="E69" s="324">
        <f t="shared" ref="E69:E76" si="1">C69*D69</f>
        <v>47632.673340000001</v>
      </c>
      <c r="F69" s="385"/>
      <c r="G69" s="146">
        <f>A66</f>
        <v>41274</v>
      </c>
      <c r="H69" s="147"/>
      <c r="I69" s="147"/>
      <c r="J69" s="147"/>
    </row>
    <row r="70" spans="1:10" s="384" customFormat="1" ht="16.5" hidden="1" thickBot="1">
      <c r="A70" s="2" t="s">
        <v>24</v>
      </c>
      <c r="B70" s="17">
        <v>112</v>
      </c>
      <c r="C70" s="252"/>
      <c r="D70" s="389"/>
      <c r="E70" s="324">
        <f t="shared" si="1"/>
        <v>0</v>
      </c>
      <c r="F70" s="385"/>
      <c r="G70" s="102" t="s">
        <v>25</v>
      </c>
      <c r="H70" s="148"/>
      <c r="I70" s="149" t="s">
        <v>18</v>
      </c>
      <c r="J70" s="150" t="s">
        <v>19</v>
      </c>
    </row>
    <row r="71" spans="1:10" s="384" customFormat="1" ht="15.75" hidden="1">
      <c r="A71" s="2" t="s">
        <v>24</v>
      </c>
      <c r="B71" s="17">
        <v>121</v>
      </c>
      <c r="C71" s="252"/>
      <c r="D71" s="220"/>
      <c r="E71" s="324">
        <f t="shared" si="1"/>
        <v>0</v>
      </c>
      <c r="F71" s="385"/>
      <c r="G71" s="151" t="s">
        <v>28</v>
      </c>
      <c r="H71" s="152" t="s">
        <v>77</v>
      </c>
      <c r="I71" s="108"/>
      <c r="J71" s="394">
        <v>0</v>
      </c>
    </row>
    <row r="72" spans="1:10" s="384" customFormat="1" ht="15.75" hidden="1">
      <c r="A72" s="2" t="s">
        <v>24</v>
      </c>
      <c r="B72" s="17">
        <v>122</v>
      </c>
      <c r="C72" s="253"/>
      <c r="D72" s="220"/>
      <c r="E72" s="324">
        <f t="shared" si="1"/>
        <v>0</v>
      </c>
      <c r="F72" s="385"/>
      <c r="G72" s="153" t="s">
        <v>29</v>
      </c>
      <c r="H72" s="7" t="s">
        <v>78</v>
      </c>
      <c r="I72" s="395">
        <f>-E80</f>
        <v>780.28</v>
      </c>
      <c r="J72" s="222"/>
    </row>
    <row r="73" spans="1:10" s="384" customFormat="1" ht="15.75" hidden="1">
      <c r="A73" s="2" t="s">
        <v>24</v>
      </c>
      <c r="B73" s="17">
        <v>131</v>
      </c>
      <c r="C73" s="252">
        <v>0</v>
      </c>
      <c r="D73" s="389">
        <v>1.6570000000000001E-2</v>
      </c>
      <c r="E73" s="324">
        <f t="shared" si="1"/>
        <v>0</v>
      </c>
      <c r="F73" s="385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4" customFormat="1" ht="15.75" hidden="1">
      <c r="A74" s="2" t="s">
        <v>24</v>
      </c>
      <c r="B74" s="17">
        <v>132</v>
      </c>
      <c r="C74" s="253"/>
      <c r="D74" s="121"/>
      <c r="E74" s="324">
        <f t="shared" si="1"/>
        <v>0</v>
      </c>
      <c r="F74" s="385"/>
      <c r="G74" s="153" t="s">
        <v>10</v>
      </c>
      <c r="H74" s="7" t="s">
        <v>58</v>
      </c>
      <c r="I74" s="7">
        <v>0</v>
      </c>
      <c r="J74" s="109"/>
    </row>
    <row r="75" spans="1:10" s="384" customFormat="1" ht="16.5" hidden="1" thickBot="1">
      <c r="A75" s="2" t="s">
        <v>24</v>
      </c>
      <c r="B75" s="17" t="s">
        <v>61</v>
      </c>
      <c r="C75" s="253"/>
      <c r="D75" s="121"/>
      <c r="E75" s="324">
        <f t="shared" si="1"/>
        <v>0</v>
      </c>
      <c r="F75" s="385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4" customFormat="1" ht="15.75" hidden="1">
      <c r="A76" s="2" t="s">
        <v>156</v>
      </c>
      <c r="B76" s="70"/>
      <c r="C76" s="251"/>
      <c r="D76" s="136"/>
      <c r="E76" s="325">
        <f t="shared" si="1"/>
        <v>0</v>
      </c>
      <c r="F76" s="385"/>
      <c r="G76" s="7"/>
      <c r="H76" s="7"/>
      <c r="I76" s="8"/>
      <c r="J76" s="260">
        <f>ROUND(SUM(I71:J75),2)</f>
        <v>0</v>
      </c>
    </row>
    <row r="77" spans="1:10" s="384" customFormat="1" ht="16.5" hidden="1" thickBot="1">
      <c r="B77" s="6"/>
      <c r="C77" s="254">
        <f>SUM(C68:C76)</f>
        <v>10899981</v>
      </c>
      <c r="D77" s="155"/>
      <c r="E77" s="326">
        <f>SUM(E68:E76)</f>
        <v>193801.66218000001</v>
      </c>
      <c r="F77" s="385"/>
      <c r="G77" s="7"/>
      <c r="H77" s="7"/>
      <c r="I77" s="7"/>
      <c r="J77" s="7"/>
    </row>
    <row r="78" spans="1:10" s="384" customFormat="1" ht="16.5" hidden="1" thickTop="1">
      <c r="B78" s="6"/>
      <c r="C78" s="255">
        <v>10899981</v>
      </c>
      <c r="D78" s="66" t="s">
        <v>161</v>
      </c>
      <c r="E78" s="327">
        <v>0</v>
      </c>
      <c r="F78" s="385"/>
      <c r="G78" s="65" t="s">
        <v>158</v>
      </c>
      <c r="H78" s="7"/>
      <c r="I78" s="12"/>
      <c r="J78" s="12"/>
    </row>
    <row r="79" spans="1:10" s="384" customFormat="1" ht="15.75" hidden="1">
      <c r="C79" s="317">
        <f>C77-C78</f>
        <v>0</v>
      </c>
      <c r="D79" s="66" t="s">
        <v>87</v>
      </c>
      <c r="E79" s="326">
        <f>E77+E78+E63</f>
        <v>-839437.32409602916</v>
      </c>
      <c r="F79" s="385"/>
      <c r="G79" s="8">
        <f>(E63*(D80/12))+(E77*(D80/24))</f>
        <v>-780.28179598835766</v>
      </c>
      <c r="H79" s="7"/>
      <c r="I79" s="8"/>
      <c r="J79" s="10"/>
    </row>
    <row r="80" spans="1:10" s="384" customFormat="1" ht="15.75" hidden="1">
      <c r="C80" s="50"/>
      <c r="D80" s="225">
        <v>0.01</v>
      </c>
      <c r="E80" s="328">
        <f>ROUND(((E63)+(E77)/2)*(D80/12),2)</f>
        <v>-780.28</v>
      </c>
      <c r="F80" s="385"/>
      <c r="G80" s="65"/>
      <c r="H80" s="7"/>
      <c r="I80" s="10"/>
      <c r="J80" s="10"/>
    </row>
    <row r="81" spans="1:10" s="384" customFormat="1" ht="16.5" hidden="1" thickBot="1">
      <c r="A81" s="5"/>
      <c r="B81" s="5"/>
      <c r="C81" s="50" t="s">
        <v>1</v>
      </c>
      <c r="D81" s="143">
        <f>A66</f>
        <v>41274</v>
      </c>
      <c r="E81" s="329">
        <f>SUM(E79:E80)</f>
        <v>-840217.60409602919</v>
      </c>
      <c r="F81" s="385"/>
      <c r="G81" s="7"/>
      <c r="H81" s="7"/>
      <c r="I81" s="8"/>
      <c r="J81" s="7"/>
    </row>
    <row r="82" spans="1:10" s="384" customFormat="1" ht="15.75" hidden="1" thickTop="1">
      <c r="E82" s="320"/>
    </row>
    <row r="83" spans="1:10" s="384" customFormat="1" ht="15.75" hidden="1">
      <c r="A83" s="73" t="s">
        <v>142</v>
      </c>
      <c r="B83" s="74"/>
      <c r="C83" s="75"/>
      <c r="D83" s="76"/>
      <c r="E83" s="321"/>
      <c r="G83" s="16"/>
      <c r="H83" s="5"/>
      <c r="I83" s="56"/>
      <c r="J83" s="56"/>
    </row>
    <row r="84" spans="1:10" s="384" customFormat="1" ht="15.75" hidden="1">
      <c r="A84" s="219">
        <v>41275</v>
      </c>
      <c r="B84" s="71"/>
      <c r="C84" s="16"/>
      <c r="D84" s="72" t="s">
        <v>23</v>
      </c>
      <c r="E84" s="322" t="s">
        <v>21</v>
      </c>
      <c r="G84" s="5"/>
      <c r="H84" s="5"/>
      <c r="I84" s="8"/>
      <c r="J84" s="10"/>
    </row>
    <row r="85" spans="1:10" s="384" customFormat="1" ht="16.5" hidden="1" thickBot="1">
      <c r="A85" s="14"/>
      <c r="B85" s="18"/>
      <c r="C85" s="131" t="s">
        <v>21</v>
      </c>
      <c r="D85" s="131" t="s">
        <v>22</v>
      </c>
      <c r="E85" s="323" t="s">
        <v>23</v>
      </c>
      <c r="F85" s="385"/>
      <c r="G85" s="7"/>
      <c r="H85" s="7"/>
      <c r="I85" s="10"/>
      <c r="J85" s="10"/>
    </row>
    <row r="86" spans="1:10" s="384" customFormat="1" ht="15.75" hidden="1">
      <c r="A86" s="2" t="s">
        <v>24</v>
      </c>
      <c r="B86" s="17">
        <v>101</v>
      </c>
      <c r="C86" s="252">
        <v>9764920</v>
      </c>
      <c r="D86" s="389">
        <v>1.7780000000000001E-2</v>
      </c>
      <c r="E86" s="324">
        <f>C86*D86</f>
        <v>173620.2776</v>
      </c>
      <c r="F86" s="385"/>
      <c r="G86" s="7"/>
      <c r="H86" s="7"/>
      <c r="I86" s="8"/>
      <c r="J86" s="7"/>
    </row>
    <row r="87" spans="1:10" s="384" customFormat="1" ht="16.5" hidden="1" thickBot="1">
      <c r="A87" s="2" t="s">
        <v>24</v>
      </c>
      <c r="B87" s="17">
        <v>111</v>
      </c>
      <c r="C87" s="252">
        <v>3069039</v>
      </c>
      <c r="D87" s="389">
        <v>1.7780000000000001E-2</v>
      </c>
      <c r="E87" s="324">
        <f>C87*D87</f>
        <v>54567.513420000003</v>
      </c>
      <c r="F87" s="385"/>
      <c r="G87" s="146">
        <f>A84</f>
        <v>41275</v>
      </c>
      <c r="H87" s="147"/>
      <c r="I87" s="147"/>
      <c r="J87" s="147"/>
    </row>
    <row r="88" spans="1:10" s="384" customFormat="1" ht="16.5" hidden="1" thickBot="1">
      <c r="A88" s="2" t="s">
        <v>24</v>
      </c>
      <c r="B88" s="17">
        <v>112</v>
      </c>
      <c r="C88" s="252"/>
      <c r="D88" s="389"/>
      <c r="E88" s="324">
        <f t="shared" ref="E88:E94" si="2">C88*D88</f>
        <v>0</v>
      </c>
      <c r="F88" s="385"/>
      <c r="G88" s="102" t="s">
        <v>25</v>
      </c>
      <c r="H88" s="148"/>
      <c r="I88" s="149" t="s">
        <v>18</v>
      </c>
      <c r="J88" s="150" t="s">
        <v>19</v>
      </c>
    </row>
    <row r="89" spans="1:10" s="384" customFormat="1" ht="15.75" hidden="1">
      <c r="A89" s="2" t="s">
        <v>24</v>
      </c>
      <c r="B89" s="17">
        <v>121</v>
      </c>
      <c r="C89" s="252"/>
      <c r="D89" s="220"/>
      <c r="E89" s="324">
        <f t="shared" si="2"/>
        <v>0</v>
      </c>
      <c r="F89" s="385"/>
      <c r="G89" s="151" t="s">
        <v>28</v>
      </c>
      <c r="H89" s="152" t="s">
        <v>77</v>
      </c>
      <c r="I89" s="108"/>
      <c r="J89" s="394">
        <v>0</v>
      </c>
    </row>
    <row r="90" spans="1:10" s="384" customFormat="1" ht="15.75" hidden="1">
      <c r="A90" s="2" t="s">
        <v>24</v>
      </c>
      <c r="B90" s="17">
        <v>122</v>
      </c>
      <c r="C90" s="253"/>
      <c r="D90" s="220"/>
      <c r="E90" s="324">
        <f t="shared" si="2"/>
        <v>0</v>
      </c>
      <c r="F90" s="385"/>
      <c r="G90" s="153" t="s">
        <v>29</v>
      </c>
      <c r="H90" s="7" t="s">
        <v>78</v>
      </c>
      <c r="I90" s="395">
        <f>-E98</f>
        <v>605.1</v>
      </c>
      <c r="J90" s="222"/>
    </row>
    <row r="91" spans="1:10" s="384" customFormat="1" ht="15.75" hidden="1">
      <c r="A91" s="2" t="s">
        <v>24</v>
      </c>
      <c r="B91" s="17">
        <v>131</v>
      </c>
      <c r="C91" s="252">
        <v>0</v>
      </c>
      <c r="D91" s="389">
        <v>1.6570000000000001E-2</v>
      </c>
      <c r="E91" s="324">
        <f>C91*D91</f>
        <v>0</v>
      </c>
      <c r="F91" s="385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4" customFormat="1" ht="15.75" hidden="1">
      <c r="A92" s="2" t="s">
        <v>24</v>
      </c>
      <c r="B92" s="17">
        <v>132</v>
      </c>
      <c r="C92" s="253"/>
      <c r="D92" s="121"/>
      <c r="E92" s="324">
        <f t="shared" si="2"/>
        <v>0</v>
      </c>
      <c r="F92" s="385"/>
      <c r="G92" s="153" t="s">
        <v>10</v>
      </c>
      <c r="H92" s="7" t="s">
        <v>58</v>
      </c>
      <c r="I92" s="7">
        <v>0</v>
      </c>
      <c r="J92" s="109"/>
    </row>
    <row r="93" spans="1:10" s="384" customFormat="1" ht="16.5" hidden="1" thickBot="1">
      <c r="A93" s="2" t="s">
        <v>24</v>
      </c>
      <c r="B93" s="17" t="s">
        <v>61</v>
      </c>
      <c r="C93" s="253"/>
      <c r="D93" s="121"/>
      <c r="E93" s="324">
        <f t="shared" si="2"/>
        <v>0</v>
      </c>
      <c r="F93" s="385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4" customFormat="1" ht="15.75" hidden="1">
      <c r="A94" s="2" t="s">
        <v>156</v>
      </c>
      <c r="B94" s="70"/>
      <c r="C94" s="251"/>
      <c r="D94" s="136"/>
      <c r="E94" s="325">
        <f t="shared" si="2"/>
        <v>0</v>
      </c>
      <c r="F94" s="385"/>
      <c r="G94" s="7"/>
      <c r="H94" s="7"/>
      <c r="I94" s="8"/>
      <c r="J94" s="260">
        <f>ROUND(SUM(I89:J93),2)</f>
        <v>0</v>
      </c>
    </row>
    <row r="95" spans="1:10" s="384" customFormat="1" ht="16.5" hidden="1" thickBot="1">
      <c r="B95" s="6"/>
      <c r="C95" s="254">
        <f>SUM(C86:C94)</f>
        <v>12833959</v>
      </c>
      <c r="D95" s="155"/>
      <c r="E95" s="326">
        <f>SUM(E86:E94)</f>
        <v>228187.79102</v>
      </c>
      <c r="F95" s="385"/>
      <c r="G95" s="7"/>
      <c r="H95" s="7"/>
      <c r="I95" s="7"/>
      <c r="J95" s="7"/>
    </row>
    <row r="96" spans="1:10" s="384" customFormat="1" ht="16.5" hidden="1" thickTop="1">
      <c r="B96" s="6"/>
      <c r="C96" s="255">
        <v>12833959</v>
      </c>
      <c r="D96" s="66" t="s">
        <v>161</v>
      </c>
      <c r="E96" s="327">
        <v>0</v>
      </c>
      <c r="F96" s="385"/>
      <c r="G96" s="65" t="s">
        <v>158</v>
      </c>
      <c r="H96" s="7"/>
      <c r="I96" s="12"/>
      <c r="J96" s="12"/>
    </row>
    <row r="97" spans="1:10" s="384" customFormat="1" ht="15.75" hidden="1">
      <c r="C97" s="317">
        <f>C95-C96</f>
        <v>0</v>
      </c>
      <c r="D97" s="66" t="s">
        <v>87</v>
      </c>
      <c r="E97" s="326">
        <f>E95+E96+E81</f>
        <v>-612029.81307602918</v>
      </c>
      <c r="F97" s="385"/>
      <c r="G97" s="8">
        <f>(E81*(D98/12))+(E95*(D98/24))</f>
        <v>-605.10309048835768</v>
      </c>
      <c r="H97" s="7"/>
      <c r="I97" s="8"/>
      <c r="J97" s="10"/>
    </row>
    <row r="98" spans="1:10" s="384" customFormat="1" ht="15.75" hidden="1">
      <c r="C98" s="50"/>
      <c r="D98" s="225">
        <v>0.01</v>
      </c>
      <c r="E98" s="328">
        <f>ROUND(((E81)+(E95)/2)*(D98/12),2)</f>
        <v>-605.1</v>
      </c>
      <c r="F98" s="385"/>
      <c r="G98" s="65"/>
      <c r="H98" s="7"/>
      <c r="I98" s="10"/>
      <c r="J98" s="10"/>
    </row>
    <row r="99" spans="1:10" s="384" customFormat="1" ht="16.5" hidden="1" thickBot="1">
      <c r="A99" s="5"/>
      <c r="B99" s="5"/>
      <c r="C99" s="50" t="s">
        <v>1</v>
      </c>
      <c r="D99" s="143">
        <f>A84</f>
        <v>41275</v>
      </c>
      <c r="E99" s="329">
        <f>SUM(E97:E98)</f>
        <v>-612634.91307602916</v>
      </c>
      <c r="F99" s="385"/>
      <c r="G99" s="7"/>
      <c r="H99" s="7"/>
      <c r="I99" s="8"/>
      <c r="J99" s="7"/>
    </row>
    <row r="100" spans="1:10" s="384" customFormat="1" ht="16.5" hidden="1" thickTop="1" thickBot="1">
      <c r="E100" s="320"/>
    </row>
    <row r="101" spans="1:10" s="384" customFormat="1" ht="15.75" hidden="1">
      <c r="A101" s="73" t="s">
        <v>142</v>
      </c>
      <c r="B101" s="74"/>
      <c r="C101" s="75"/>
      <c r="D101" s="76"/>
      <c r="E101" s="321"/>
      <c r="G101" s="16"/>
      <c r="H101" s="5"/>
      <c r="I101" s="56"/>
      <c r="J101" s="56"/>
    </row>
    <row r="102" spans="1:10" s="384" customFormat="1" ht="15.75" hidden="1">
      <c r="A102" s="219">
        <v>41333</v>
      </c>
      <c r="B102" s="71"/>
      <c r="C102" s="16"/>
      <c r="D102" s="72" t="s">
        <v>23</v>
      </c>
      <c r="E102" s="322" t="s">
        <v>21</v>
      </c>
      <c r="G102" s="5"/>
      <c r="H102" s="5"/>
      <c r="I102" s="8"/>
      <c r="J102" s="10"/>
    </row>
    <row r="103" spans="1:10" s="384" customFormat="1" ht="16.5" hidden="1" thickBot="1">
      <c r="A103" s="14"/>
      <c r="B103" s="18"/>
      <c r="C103" s="131" t="s">
        <v>21</v>
      </c>
      <c r="D103" s="131" t="s">
        <v>22</v>
      </c>
      <c r="E103" s="323" t="s">
        <v>23</v>
      </c>
      <c r="F103" s="385"/>
      <c r="G103" s="7"/>
      <c r="H103" s="7"/>
      <c r="I103" s="10"/>
      <c r="J103" s="10"/>
    </row>
    <row r="104" spans="1:10" s="384" customFormat="1" ht="15.75" hidden="1">
      <c r="A104" s="2" t="s">
        <v>24</v>
      </c>
      <c r="B104" s="17">
        <v>101</v>
      </c>
      <c r="C104" s="252">
        <v>6162035</v>
      </c>
      <c r="D104" s="389">
        <v>1.7780000000000001E-2</v>
      </c>
      <c r="E104" s="324">
        <f>C104*D104</f>
        <v>109560.9823</v>
      </c>
      <c r="F104" s="385"/>
      <c r="G104" s="7"/>
      <c r="H104" s="7"/>
      <c r="I104" s="8"/>
      <c r="J104" s="7"/>
    </row>
    <row r="105" spans="1:10" s="384" customFormat="1" ht="16.5" hidden="1" thickBot="1">
      <c r="A105" s="2" t="s">
        <v>24</v>
      </c>
      <c r="B105" s="17">
        <v>111</v>
      </c>
      <c r="C105" s="252">
        <v>2375460</v>
      </c>
      <c r="D105" s="389">
        <v>1.7780000000000001E-2</v>
      </c>
      <c r="E105" s="324">
        <f>C105*D105</f>
        <v>42235.678800000002</v>
      </c>
      <c r="F105" s="385"/>
      <c r="G105" s="146">
        <f>A102</f>
        <v>41333</v>
      </c>
      <c r="H105" s="147"/>
      <c r="I105" s="147"/>
      <c r="J105" s="147"/>
    </row>
    <row r="106" spans="1:10" s="384" customFormat="1" ht="16.5" hidden="1" thickBot="1">
      <c r="A106" s="2" t="s">
        <v>24</v>
      </c>
      <c r="B106" s="17">
        <v>112</v>
      </c>
      <c r="C106" s="252"/>
      <c r="D106" s="389"/>
      <c r="E106" s="324">
        <f t="shared" ref="E106:E108" si="3">C106*D106</f>
        <v>0</v>
      </c>
      <c r="F106" s="385"/>
      <c r="G106" s="102" t="s">
        <v>25</v>
      </c>
      <c r="H106" s="148"/>
      <c r="I106" s="149" t="s">
        <v>18</v>
      </c>
      <c r="J106" s="150" t="s">
        <v>19</v>
      </c>
    </row>
    <row r="107" spans="1:10" s="384" customFormat="1" ht="15.75" hidden="1">
      <c r="A107" s="2" t="s">
        <v>24</v>
      </c>
      <c r="B107" s="17">
        <v>121</v>
      </c>
      <c r="C107" s="252"/>
      <c r="D107" s="220"/>
      <c r="E107" s="324">
        <f t="shared" si="3"/>
        <v>0</v>
      </c>
      <c r="F107" s="385"/>
      <c r="G107" s="151" t="s">
        <v>28</v>
      </c>
      <c r="H107" s="152" t="s">
        <v>77</v>
      </c>
      <c r="I107" s="108"/>
      <c r="J107" s="394">
        <v>0</v>
      </c>
    </row>
    <row r="108" spans="1:10" s="384" customFormat="1" ht="15.75" hidden="1">
      <c r="A108" s="2" t="s">
        <v>24</v>
      </c>
      <c r="B108" s="17">
        <v>122</v>
      </c>
      <c r="C108" s="253"/>
      <c r="D108" s="220"/>
      <c r="E108" s="324">
        <f t="shared" si="3"/>
        <v>0</v>
      </c>
      <c r="F108" s="385"/>
      <c r="G108" s="153" t="s">
        <v>29</v>
      </c>
      <c r="H108" s="7" t="s">
        <v>78</v>
      </c>
      <c r="I108" s="395">
        <f>-E116</f>
        <v>447.28</v>
      </c>
      <c r="J108" s="222"/>
    </row>
    <row r="109" spans="1:10" s="384" customFormat="1" ht="15.75" hidden="1">
      <c r="A109" s="2" t="s">
        <v>24</v>
      </c>
      <c r="B109" s="17">
        <v>131</v>
      </c>
      <c r="C109" s="252">
        <v>0</v>
      </c>
      <c r="D109" s="389">
        <v>1.6570000000000001E-2</v>
      </c>
      <c r="E109" s="324">
        <f>C109*D109</f>
        <v>0</v>
      </c>
      <c r="F109" s="385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4" customFormat="1" ht="15.75" hidden="1">
      <c r="A110" s="2" t="s">
        <v>24</v>
      </c>
      <c r="B110" s="17">
        <v>132</v>
      </c>
      <c r="C110" s="253"/>
      <c r="D110" s="121"/>
      <c r="E110" s="324">
        <f t="shared" ref="E110:E112" si="4">C110*D110</f>
        <v>0</v>
      </c>
      <c r="F110" s="385"/>
      <c r="G110" s="153" t="s">
        <v>10</v>
      </c>
      <c r="H110" s="7" t="s">
        <v>58</v>
      </c>
      <c r="I110" s="7">
        <v>0</v>
      </c>
      <c r="J110" s="109"/>
    </row>
    <row r="111" spans="1:10" s="384" customFormat="1" ht="16.5" hidden="1" thickBot="1">
      <c r="A111" s="2" t="s">
        <v>24</v>
      </c>
      <c r="B111" s="17" t="s">
        <v>61</v>
      </c>
      <c r="C111" s="253"/>
      <c r="D111" s="121"/>
      <c r="E111" s="324">
        <f t="shared" si="4"/>
        <v>0</v>
      </c>
      <c r="F111" s="385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4" customFormat="1" ht="15.75" hidden="1">
      <c r="A112" s="2" t="s">
        <v>156</v>
      </c>
      <c r="B112" s="70"/>
      <c r="C112" s="251"/>
      <c r="D112" s="136"/>
      <c r="E112" s="325">
        <f t="shared" si="4"/>
        <v>0</v>
      </c>
      <c r="F112" s="385"/>
      <c r="G112" s="7"/>
      <c r="H112" s="7"/>
      <c r="I112" s="8"/>
      <c r="J112" s="260">
        <f>ROUND(SUM(I107:J111),2)</f>
        <v>0</v>
      </c>
    </row>
    <row r="113" spans="1:10" s="384" customFormat="1" ht="16.5" hidden="1" thickBot="1">
      <c r="B113" s="6"/>
      <c r="C113" s="254">
        <f>SUM(C104:C112)</f>
        <v>8537495</v>
      </c>
      <c r="D113" s="155"/>
      <c r="E113" s="326">
        <f>SUM(E104:E112)</f>
        <v>151796.6611</v>
      </c>
      <c r="F113" s="385"/>
      <c r="G113" s="7"/>
      <c r="H113" s="7"/>
      <c r="I113" s="7"/>
      <c r="J113" s="7"/>
    </row>
    <row r="114" spans="1:10" s="384" customFormat="1" ht="16.5" hidden="1" thickTop="1">
      <c r="B114" s="6"/>
      <c r="C114" s="255">
        <v>8537495</v>
      </c>
      <c r="D114" s="66" t="s">
        <v>161</v>
      </c>
      <c r="E114" s="327">
        <v>0</v>
      </c>
      <c r="F114" s="385"/>
      <c r="G114" s="65" t="s">
        <v>158</v>
      </c>
      <c r="H114" s="7"/>
      <c r="I114" s="12"/>
      <c r="J114" s="12"/>
    </row>
    <row r="115" spans="1:10" s="384" customFormat="1" ht="15.75" hidden="1">
      <c r="C115" s="317">
        <f>C113-C114</f>
        <v>0</v>
      </c>
      <c r="D115" s="66" t="s">
        <v>87</v>
      </c>
      <c r="E115" s="326">
        <f>E113+E114+E99</f>
        <v>-460838.25197602913</v>
      </c>
      <c r="F115" s="385"/>
      <c r="G115" s="8">
        <f>(E99*(D116/12))+(E113*(D116/24))</f>
        <v>-447.28048543835769</v>
      </c>
      <c r="H115" s="7"/>
      <c r="I115" s="8"/>
      <c r="J115" s="10"/>
    </row>
    <row r="116" spans="1:10" s="384" customFormat="1" ht="15.75" hidden="1">
      <c r="C116" s="50"/>
      <c r="D116" s="225">
        <v>0.01</v>
      </c>
      <c r="E116" s="328">
        <f>ROUND(((E99)+(E113)/2)*(D116/12),2)</f>
        <v>-447.28</v>
      </c>
      <c r="F116" s="385"/>
      <c r="G116" s="65"/>
      <c r="H116" s="7"/>
      <c r="I116" s="10"/>
      <c r="J116" s="10"/>
    </row>
    <row r="117" spans="1:10" s="384" customFormat="1" ht="16.5" hidden="1" thickBot="1">
      <c r="A117" s="5"/>
      <c r="B117" s="5"/>
      <c r="C117" s="50" t="s">
        <v>1</v>
      </c>
      <c r="D117" s="143">
        <f>A102</f>
        <v>41333</v>
      </c>
      <c r="E117" s="329">
        <f>SUM(E115:E116)</f>
        <v>-461285.53197602916</v>
      </c>
      <c r="F117" s="385"/>
      <c r="G117" s="7"/>
      <c r="H117" s="7"/>
      <c r="I117" s="8"/>
      <c r="J117" s="7"/>
    </row>
    <row r="118" spans="1:10" s="384" customFormat="1" ht="16.5" hidden="1" thickTop="1" thickBot="1">
      <c r="E118" s="320"/>
    </row>
    <row r="119" spans="1:10" s="384" customFormat="1" ht="15.75" hidden="1">
      <c r="A119" s="73" t="s">
        <v>142</v>
      </c>
      <c r="B119" s="74"/>
      <c r="C119" s="75"/>
      <c r="D119" s="76"/>
      <c r="E119" s="321"/>
      <c r="G119" s="16"/>
      <c r="H119" s="5"/>
      <c r="I119" s="56"/>
      <c r="J119" s="56"/>
    </row>
    <row r="120" spans="1:10" s="384" customFormat="1" ht="15.75" hidden="1">
      <c r="A120" s="219">
        <v>41364</v>
      </c>
      <c r="B120" s="71"/>
      <c r="C120" s="16"/>
      <c r="D120" s="72" t="s">
        <v>23</v>
      </c>
      <c r="E120" s="322" t="s">
        <v>21</v>
      </c>
      <c r="G120" s="5"/>
      <c r="H120" s="5"/>
      <c r="I120" s="8"/>
      <c r="J120" s="10"/>
    </row>
    <row r="121" spans="1:10" s="384" customFormat="1" ht="16.5" hidden="1" thickBot="1">
      <c r="A121" s="14"/>
      <c r="B121" s="18"/>
      <c r="C121" s="131" t="s">
        <v>21</v>
      </c>
      <c r="D121" s="131" t="s">
        <v>22</v>
      </c>
      <c r="E121" s="323" t="s">
        <v>23</v>
      </c>
      <c r="F121" s="385"/>
      <c r="G121" s="7"/>
      <c r="H121" s="7"/>
      <c r="I121" s="10"/>
      <c r="J121" s="10"/>
    </row>
    <row r="122" spans="1:10" s="384" customFormat="1" ht="15.75" hidden="1">
      <c r="A122" s="2" t="s">
        <v>24</v>
      </c>
      <c r="B122" s="17">
        <v>101</v>
      </c>
      <c r="C122" s="252">
        <v>6046642</v>
      </c>
      <c r="D122" s="389">
        <v>1.7780000000000001E-2</v>
      </c>
      <c r="E122" s="324">
        <v>107509.29476</v>
      </c>
      <c r="F122" s="385"/>
      <c r="G122" s="7"/>
      <c r="H122" s="7"/>
      <c r="I122" s="8"/>
      <c r="J122" s="7"/>
    </row>
    <row r="123" spans="1:10" s="384" customFormat="1" ht="16.5" hidden="1" thickBot="1">
      <c r="A123" s="2" t="s">
        <v>24</v>
      </c>
      <c r="B123" s="17">
        <v>111</v>
      </c>
      <c r="C123" s="252">
        <v>2214620</v>
      </c>
      <c r="D123" s="389">
        <v>1.7780000000000001E-2</v>
      </c>
      <c r="E123" s="324">
        <v>39375.943599999999</v>
      </c>
      <c r="F123" s="385"/>
      <c r="G123" s="146">
        <f>A120</f>
        <v>41364</v>
      </c>
      <c r="H123" s="147"/>
      <c r="I123" s="147"/>
      <c r="J123" s="147"/>
    </row>
    <row r="124" spans="1:10" s="384" customFormat="1" ht="16.5" hidden="1" thickBot="1">
      <c r="A124" s="2" t="s">
        <v>24</v>
      </c>
      <c r="B124" s="17">
        <v>112</v>
      </c>
      <c r="C124" s="252"/>
      <c r="D124" s="389"/>
      <c r="E124" s="324">
        <v>0</v>
      </c>
      <c r="F124" s="385"/>
      <c r="G124" s="102" t="s">
        <v>25</v>
      </c>
      <c r="H124" s="148"/>
      <c r="I124" s="149" t="s">
        <v>18</v>
      </c>
      <c r="J124" s="150" t="s">
        <v>19</v>
      </c>
    </row>
    <row r="125" spans="1:10" s="384" customFormat="1" ht="15.75" hidden="1">
      <c r="A125" s="2" t="s">
        <v>24</v>
      </c>
      <c r="B125" s="17">
        <v>121</v>
      </c>
      <c r="C125" s="252"/>
      <c r="D125" s="220"/>
      <c r="E125" s="324">
        <v>0</v>
      </c>
      <c r="F125" s="385"/>
      <c r="G125" s="151" t="s">
        <v>28</v>
      </c>
      <c r="H125" s="152" t="s">
        <v>77</v>
      </c>
      <c r="I125" s="108"/>
      <c r="J125" s="394">
        <v>0</v>
      </c>
    </row>
    <row r="126" spans="1:10" s="384" customFormat="1" ht="15.75" hidden="1">
      <c r="A126" s="2" t="s">
        <v>24</v>
      </c>
      <c r="B126" s="17">
        <v>122</v>
      </c>
      <c r="C126" s="253"/>
      <c r="D126" s="220"/>
      <c r="E126" s="324">
        <v>0</v>
      </c>
      <c r="F126" s="385"/>
      <c r="G126" s="153" t="s">
        <v>29</v>
      </c>
      <c r="H126" s="7" t="s">
        <v>78</v>
      </c>
      <c r="I126" s="395">
        <f>-E134</f>
        <v>323.2</v>
      </c>
      <c r="J126" s="222"/>
    </row>
    <row r="127" spans="1:10" s="384" customFormat="1" ht="15.75" hidden="1">
      <c r="A127" s="2" t="s">
        <v>24</v>
      </c>
      <c r="B127" s="17">
        <v>131</v>
      </c>
      <c r="C127" s="252">
        <v>0</v>
      </c>
      <c r="D127" s="389">
        <v>1.6570000000000001E-2</v>
      </c>
      <c r="E127" s="324">
        <v>0</v>
      </c>
      <c r="F127" s="385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4" customFormat="1" ht="15.75" hidden="1">
      <c r="A128" s="2" t="s">
        <v>24</v>
      </c>
      <c r="B128" s="17">
        <v>132</v>
      </c>
      <c r="C128" s="253"/>
      <c r="D128" s="121"/>
      <c r="E128" s="324">
        <v>0</v>
      </c>
      <c r="F128" s="385"/>
      <c r="G128" s="153" t="s">
        <v>10</v>
      </c>
      <c r="H128" s="7" t="s">
        <v>58</v>
      </c>
      <c r="I128" s="7">
        <v>0</v>
      </c>
      <c r="J128" s="109"/>
    </row>
    <row r="129" spans="1:10" s="384" customFormat="1" ht="16.5" hidden="1" thickBot="1">
      <c r="A129" s="2" t="s">
        <v>24</v>
      </c>
      <c r="B129" s="17" t="s">
        <v>61</v>
      </c>
      <c r="C129" s="253"/>
      <c r="D129" s="121"/>
      <c r="E129" s="324">
        <v>0</v>
      </c>
      <c r="F129" s="385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4" customFormat="1" ht="15.75" hidden="1">
      <c r="A130" s="2" t="s">
        <v>156</v>
      </c>
      <c r="B130" s="70"/>
      <c r="C130" s="251"/>
      <c r="D130" s="136"/>
      <c r="E130" s="325">
        <v>0</v>
      </c>
      <c r="F130" s="385"/>
      <c r="G130" s="7"/>
      <c r="H130" s="7"/>
      <c r="I130" s="8"/>
      <c r="J130" s="260">
        <f>ROUND(SUM(I125:J129),2)</f>
        <v>0</v>
      </c>
    </row>
    <row r="131" spans="1:10" s="384" customFormat="1" ht="16.5" hidden="1" thickBot="1">
      <c r="B131" s="6"/>
      <c r="C131" s="254">
        <f>SUM(C122:C130)</f>
        <v>8261262</v>
      </c>
      <c r="D131" s="155"/>
      <c r="E131" s="326">
        <f>SUM(E122:E130)</f>
        <v>146885.23836000002</v>
      </c>
      <c r="F131" s="385"/>
      <c r="G131" s="7"/>
      <c r="H131" s="7"/>
      <c r="I131" s="7"/>
      <c r="J131" s="7"/>
    </row>
    <row r="132" spans="1:10" s="384" customFormat="1" ht="16.5" hidden="1" thickTop="1">
      <c r="B132" s="6"/>
      <c r="C132" s="255">
        <v>8261262</v>
      </c>
      <c r="D132" s="66" t="s">
        <v>161</v>
      </c>
      <c r="E132" s="327">
        <v>0</v>
      </c>
      <c r="F132" s="385"/>
      <c r="G132" s="65" t="s">
        <v>158</v>
      </c>
      <c r="H132" s="7"/>
      <c r="I132" s="12"/>
      <c r="J132" s="12"/>
    </row>
    <row r="133" spans="1:10" s="384" customFormat="1" ht="15.75" hidden="1">
      <c r="C133" s="317">
        <f>C131-C132</f>
        <v>0</v>
      </c>
      <c r="D133" s="66" t="s">
        <v>87</v>
      </c>
      <c r="E133" s="326">
        <f>E131+E132+E117</f>
        <v>-314400.29361602914</v>
      </c>
      <c r="F133" s="385"/>
      <c r="G133" s="8">
        <f>(E117*(D134/12))+(E131*(D134/24))</f>
        <v>-323.20242733002431</v>
      </c>
      <c r="H133" s="7"/>
      <c r="I133" s="8"/>
      <c r="J133" s="10"/>
    </row>
    <row r="134" spans="1:10" s="384" customFormat="1" ht="15.75" hidden="1">
      <c r="C134" s="50"/>
      <c r="D134" s="225">
        <v>0.01</v>
      </c>
      <c r="E134" s="328">
        <f>ROUND(((E117)+(E131)/2)*(D134/12),2)</f>
        <v>-323.2</v>
      </c>
      <c r="F134" s="385"/>
      <c r="G134" s="65"/>
      <c r="H134" s="7"/>
      <c r="I134" s="10"/>
      <c r="J134" s="10"/>
    </row>
    <row r="135" spans="1:10" s="384" customFormat="1" ht="16.5" hidden="1" thickBot="1">
      <c r="A135" s="5"/>
      <c r="B135" s="5"/>
      <c r="C135" s="50" t="s">
        <v>1</v>
      </c>
      <c r="D135" s="143">
        <f>A120</f>
        <v>41364</v>
      </c>
      <c r="E135" s="329">
        <f>SUM(E133:E134)</f>
        <v>-314723.49361602915</v>
      </c>
      <c r="F135" s="385"/>
      <c r="G135" s="7"/>
      <c r="H135" s="7"/>
      <c r="I135" s="8"/>
      <c r="J135" s="7"/>
    </row>
    <row r="136" spans="1:10" ht="16.5" hidden="1" thickTop="1" thickBot="1">
      <c r="A136" s="384"/>
      <c r="B136" s="384"/>
      <c r="C136" s="384"/>
      <c r="D136" s="384"/>
      <c r="F136" s="384"/>
      <c r="G136" s="384"/>
      <c r="H136" s="384"/>
      <c r="I136" s="384"/>
      <c r="J136" s="384"/>
    </row>
    <row r="137" spans="1:10" ht="15.75" hidden="1">
      <c r="A137" s="73" t="s">
        <v>142</v>
      </c>
      <c r="B137" s="74"/>
      <c r="C137" s="75"/>
      <c r="D137" s="76"/>
      <c r="E137" s="321"/>
      <c r="F137" s="384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2" t="s">
        <v>21</v>
      </c>
      <c r="F138" s="384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3" t="s">
        <v>23</v>
      </c>
      <c r="F139" s="385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2">
        <v>4076497</v>
      </c>
      <c r="D140" s="389">
        <v>1.7780000000000001E-2</v>
      </c>
      <c r="E140" s="324">
        <v>72480.11666</v>
      </c>
      <c r="F140" s="385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2">
        <v>1757142</v>
      </c>
      <c r="D141" s="389">
        <v>1.7780000000000001E-2</v>
      </c>
      <c r="E141" s="324">
        <v>31241.984759999999</v>
      </c>
      <c r="F141" s="385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2"/>
      <c r="D142" s="389"/>
      <c r="E142" s="324">
        <v>0</v>
      </c>
      <c r="F142" s="385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2"/>
      <c r="D143" s="220"/>
      <c r="E143" s="324">
        <v>0</v>
      </c>
      <c r="F143" s="385"/>
      <c r="G143" s="151" t="s">
        <v>28</v>
      </c>
      <c r="H143" s="152" t="s">
        <v>77</v>
      </c>
      <c r="I143" s="108"/>
      <c r="J143" s="394">
        <v>0</v>
      </c>
    </row>
    <row r="144" spans="1:10" ht="15.75" hidden="1">
      <c r="A144" s="2" t="s">
        <v>24</v>
      </c>
      <c r="B144" s="17">
        <v>122</v>
      </c>
      <c r="C144" s="253"/>
      <c r="D144" s="220"/>
      <c r="E144" s="324">
        <v>0</v>
      </c>
      <c r="F144" s="385"/>
      <c r="G144" s="153" t="s">
        <v>29</v>
      </c>
      <c r="H144" s="7" t="s">
        <v>78</v>
      </c>
      <c r="I144" s="395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2">
        <v>0</v>
      </c>
      <c r="D145" s="389">
        <v>1.6570000000000001E-2</v>
      </c>
      <c r="E145" s="324">
        <v>0</v>
      </c>
      <c r="F145" s="385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3"/>
      <c r="D146" s="121"/>
      <c r="E146" s="324">
        <v>0</v>
      </c>
      <c r="F146" s="385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3"/>
      <c r="D147" s="121"/>
      <c r="E147" s="324">
        <v>0</v>
      </c>
      <c r="F147" s="385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1"/>
      <c r="D148" s="136"/>
      <c r="E148" s="325">
        <v>0</v>
      </c>
      <c r="F148" s="385"/>
      <c r="G148" s="7"/>
      <c r="H148" s="7"/>
      <c r="I148" s="8"/>
      <c r="J148" s="260">
        <f>ROUND(SUM(I143:J147),2)</f>
        <v>0</v>
      </c>
    </row>
    <row r="149" spans="1:10" ht="16.5" hidden="1" thickBot="1">
      <c r="A149" s="384"/>
      <c r="B149" s="6"/>
      <c r="C149" s="254">
        <f>SUM(C140:C148)</f>
        <v>5833639</v>
      </c>
      <c r="D149" s="155"/>
      <c r="E149" s="326">
        <f>SUM(E140:E148)</f>
        <v>103722.10141999999</v>
      </c>
      <c r="F149" s="385"/>
      <c r="G149" s="7"/>
      <c r="H149" s="7"/>
      <c r="I149" s="7"/>
      <c r="J149" s="7"/>
    </row>
    <row r="150" spans="1:10" ht="16.5" hidden="1" thickTop="1">
      <c r="A150" s="384"/>
      <c r="B150" s="6"/>
      <c r="C150" s="255">
        <v>5833639</v>
      </c>
      <c r="D150" s="66" t="s">
        <v>161</v>
      </c>
      <c r="E150" s="327">
        <v>0</v>
      </c>
      <c r="F150" s="385"/>
      <c r="G150" s="65" t="s">
        <v>158</v>
      </c>
      <c r="H150" s="7"/>
      <c r="I150" s="12"/>
      <c r="J150" s="12"/>
    </row>
    <row r="151" spans="1:10" ht="15.75" hidden="1">
      <c r="A151" s="384"/>
      <c r="B151" s="384"/>
      <c r="C151" s="317">
        <f>C149-C150</f>
        <v>0</v>
      </c>
      <c r="D151" s="66" t="s">
        <v>87</v>
      </c>
      <c r="E151" s="326">
        <f>E149+E150+E135</f>
        <v>-211001.39219602916</v>
      </c>
      <c r="F151" s="385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4"/>
      <c r="B152" s="384"/>
      <c r="C152" s="50"/>
      <c r="D152" s="225">
        <v>0.01</v>
      </c>
      <c r="E152" s="328">
        <f>ROUND(((E135)+(E149)/2)*(D152/12),2)</f>
        <v>-219.05</v>
      </c>
      <c r="F152" s="385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9">
        <f>SUM(E151:E152)</f>
        <v>-211220.44219602915</v>
      </c>
      <c r="F153" s="385"/>
      <c r="G153" s="7"/>
      <c r="H153" s="7"/>
      <c r="I153" s="8"/>
      <c r="J153" s="7"/>
    </row>
    <row r="154" spans="1:10" s="384" customFormat="1" ht="16.5" hidden="1" thickTop="1" thickBot="1">
      <c r="E154" s="320"/>
    </row>
    <row r="155" spans="1:10" s="384" customFormat="1" ht="15.75" hidden="1">
      <c r="A155" s="73" t="s">
        <v>142</v>
      </c>
      <c r="B155" s="74"/>
      <c r="C155" s="75"/>
      <c r="D155" s="76"/>
      <c r="E155" s="321"/>
      <c r="G155" s="16"/>
      <c r="H155" s="5"/>
      <c r="I155" s="56"/>
      <c r="J155" s="56"/>
    </row>
    <row r="156" spans="1:10" s="384" customFormat="1" ht="15.75" hidden="1">
      <c r="A156" s="219">
        <v>41425</v>
      </c>
      <c r="B156" s="71"/>
      <c r="C156" s="16"/>
      <c r="D156" s="72" t="s">
        <v>23</v>
      </c>
      <c r="E156" s="322" t="s">
        <v>21</v>
      </c>
      <c r="G156" s="5"/>
      <c r="H156" s="5"/>
      <c r="I156" s="8"/>
      <c r="J156" s="10"/>
    </row>
    <row r="157" spans="1:10" s="384" customFormat="1" ht="16.5" hidden="1" thickBot="1">
      <c r="A157" s="14"/>
      <c r="B157" s="18"/>
      <c r="C157" s="131" t="s">
        <v>21</v>
      </c>
      <c r="D157" s="131" t="s">
        <v>22</v>
      </c>
      <c r="E157" s="323" t="s">
        <v>23</v>
      </c>
      <c r="F157" s="385"/>
      <c r="G157" s="7"/>
      <c r="H157" s="7"/>
      <c r="I157" s="10"/>
      <c r="J157" s="10"/>
    </row>
    <row r="158" spans="1:10" s="384" customFormat="1" ht="15.75" hidden="1">
      <c r="A158" s="2" t="s">
        <v>24</v>
      </c>
      <c r="B158" s="17">
        <v>101</v>
      </c>
      <c r="C158" s="252">
        <v>1886293</v>
      </c>
      <c r="D158" s="389">
        <v>1.7780000000000001E-2</v>
      </c>
      <c r="E158" s="324">
        <v>33538.289539999998</v>
      </c>
      <c r="F158" s="385"/>
      <c r="G158" s="7"/>
      <c r="H158" s="7"/>
      <c r="I158" s="8"/>
      <c r="J158" s="7"/>
    </row>
    <row r="159" spans="1:10" s="384" customFormat="1" ht="16.5" hidden="1" thickBot="1">
      <c r="A159" s="2" t="s">
        <v>24</v>
      </c>
      <c r="B159" s="17">
        <v>111</v>
      </c>
      <c r="C159" s="252">
        <v>1075171</v>
      </c>
      <c r="D159" s="389">
        <v>1.7780000000000001E-2</v>
      </c>
      <c r="E159" s="324">
        <v>19116.540380000002</v>
      </c>
      <c r="F159" s="385"/>
      <c r="G159" s="146">
        <f>A156</f>
        <v>41425</v>
      </c>
      <c r="H159" s="147"/>
      <c r="I159" s="147"/>
      <c r="J159" s="147"/>
    </row>
    <row r="160" spans="1:10" s="384" customFormat="1" ht="16.5" hidden="1" thickBot="1">
      <c r="A160" s="2" t="s">
        <v>24</v>
      </c>
      <c r="B160" s="17">
        <v>112</v>
      </c>
      <c r="C160" s="252"/>
      <c r="D160" s="389"/>
      <c r="E160" s="324">
        <v>0</v>
      </c>
      <c r="F160" s="385"/>
      <c r="G160" s="102" t="s">
        <v>25</v>
      </c>
      <c r="H160" s="148"/>
      <c r="I160" s="149" t="s">
        <v>18</v>
      </c>
      <c r="J160" s="150" t="s">
        <v>19</v>
      </c>
    </row>
    <row r="161" spans="1:10" s="384" customFormat="1" ht="15.75" hidden="1">
      <c r="A161" s="2" t="s">
        <v>24</v>
      </c>
      <c r="B161" s="17">
        <v>121</v>
      </c>
      <c r="C161" s="252"/>
      <c r="D161" s="220"/>
      <c r="E161" s="324">
        <v>0</v>
      </c>
      <c r="F161" s="385"/>
      <c r="G161" s="151" t="s">
        <v>28</v>
      </c>
      <c r="H161" s="152" t="s">
        <v>77</v>
      </c>
      <c r="I161" s="108"/>
      <c r="J161" s="394">
        <v>0</v>
      </c>
    </row>
    <row r="162" spans="1:10" s="384" customFormat="1" ht="15.75" hidden="1">
      <c r="A162" s="2" t="s">
        <v>24</v>
      </c>
      <c r="B162" s="17">
        <v>122</v>
      </c>
      <c r="C162" s="253"/>
      <c r="D162" s="220"/>
      <c r="E162" s="324">
        <v>0</v>
      </c>
      <c r="F162" s="385"/>
      <c r="G162" s="153" t="s">
        <v>29</v>
      </c>
      <c r="H162" s="7" t="s">
        <v>78</v>
      </c>
      <c r="I162" s="395">
        <f>-E170</f>
        <v>154.08000000000001</v>
      </c>
      <c r="J162" s="222"/>
    </row>
    <row r="163" spans="1:10" s="384" customFormat="1" ht="15.75" hidden="1">
      <c r="A163" s="2" t="s">
        <v>24</v>
      </c>
      <c r="B163" s="17">
        <v>131</v>
      </c>
      <c r="C163" s="252">
        <v>0</v>
      </c>
      <c r="D163" s="389">
        <v>1.6570000000000001E-2</v>
      </c>
      <c r="E163" s="324">
        <v>0</v>
      </c>
      <c r="F163" s="385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4" customFormat="1" ht="15.75" hidden="1">
      <c r="A164" s="2" t="s">
        <v>24</v>
      </c>
      <c r="B164" s="17">
        <v>132</v>
      </c>
      <c r="C164" s="253"/>
      <c r="D164" s="121"/>
      <c r="E164" s="324">
        <v>0</v>
      </c>
      <c r="F164" s="385"/>
      <c r="G164" s="153" t="s">
        <v>10</v>
      </c>
      <c r="H164" s="7" t="s">
        <v>58</v>
      </c>
      <c r="I164" s="7">
        <v>0</v>
      </c>
      <c r="J164" s="109"/>
    </row>
    <row r="165" spans="1:10" s="384" customFormat="1" ht="16.5" hidden="1" thickBot="1">
      <c r="A165" s="2" t="s">
        <v>24</v>
      </c>
      <c r="B165" s="17" t="s">
        <v>61</v>
      </c>
      <c r="C165" s="253"/>
      <c r="D165" s="121"/>
      <c r="E165" s="324">
        <v>0</v>
      </c>
      <c r="F165" s="385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4" customFormat="1" ht="15.75" hidden="1">
      <c r="A166" s="2" t="s">
        <v>156</v>
      </c>
      <c r="B166" s="70"/>
      <c r="C166" s="251"/>
      <c r="D166" s="136"/>
      <c r="E166" s="325">
        <v>0</v>
      </c>
      <c r="F166" s="385"/>
      <c r="G166" s="7"/>
      <c r="H166" s="7"/>
      <c r="I166" s="8"/>
      <c r="J166" s="260">
        <f>ROUND(SUM(I161:J165),2)</f>
        <v>0</v>
      </c>
    </row>
    <row r="167" spans="1:10" s="384" customFormat="1" ht="16.5" hidden="1" thickBot="1">
      <c r="B167" s="6"/>
      <c r="C167" s="254">
        <f>SUM(C158:C166)</f>
        <v>2961464</v>
      </c>
      <c r="D167" s="155"/>
      <c r="E167" s="326">
        <f>SUM(E158:E166)</f>
        <v>52654.829920000004</v>
      </c>
      <c r="F167" s="385"/>
      <c r="G167" s="7"/>
      <c r="H167" s="7"/>
      <c r="I167" s="7"/>
      <c r="J167" s="7"/>
    </row>
    <row r="168" spans="1:10" s="384" customFormat="1" ht="16.5" hidden="1" thickTop="1">
      <c r="B168" s="6"/>
      <c r="C168" s="255">
        <v>2961464</v>
      </c>
      <c r="D168" s="66" t="s">
        <v>161</v>
      </c>
      <c r="E168" s="327">
        <v>0</v>
      </c>
      <c r="F168" s="385"/>
      <c r="G168" s="65" t="s">
        <v>158</v>
      </c>
      <c r="H168" s="7"/>
      <c r="I168" s="12"/>
      <c r="J168" s="12"/>
    </row>
    <row r="169" spans="1:10" s="384" customFormat="1" ht="15.75" hidden="1">
      <c r="C169" s="317">
        <f>C167-C168</f>
        <v>0</v>
      </c>
      <c r="D169" s="66" t="s">
        <v>87</v>
      </c>
      <c r="E169" s="326">
        <f>E167+E168+E153</f>
        <v>-158565.61227602913</v>
      </c>
      <c r="F169" s="385"/>
      <c r="G169" s="8">
        <f>(E153*(D170/12))+(E167*(D170/24))</f>
        <v>-154.07752269669095</v>
      </c>
      <c r="H169" s="7"/>
      <c r="I169" s="8"/>
      <c r="J169" s="10"/>
    </row>
    <row r="170" spans="1:10" s="384" customFormat="1" ht="15.75" hidden="1">
      <c r="C170" s="50"/>
      <c r="D170" s="225">
        <v>0.01</v>
      </c>
      <c r="E170" s="328">
        <f>ROUND(((E153)+(E167)/2)*(D170/12),2)</f>
        <v>-154.08000000000001</v>
      </c>
      <c r="F170" s="385"/>
      <c r="G170" s="65"/>
      <c r="H170" s="7"/>
      <c r="I170" s="10"/>
      <c r="J170" s="10"/>
    </row>
    <row r="171" spans="1:10" s="384" customFormat="1" ht="16.5" hidden="1" thickBot="1">
      <c r="A171" s="5"/>
      <c r="B171" s="5"/>
      <c r="C171" s="50" t="s">
        <v>1</v>
      </c>
      <c r="D171" s="143">
        <f>A156</f>
        <v>41425</v>
      </c>
      <c r="E171" s="329">
        <f>SUM(E169:E170)</f>
        <v>-158719.69227602912</v>
      </c>
      <c r="F171" s="385"/>
      <c r="G171" s="7"/>
      <c r="H171" s="7"/>
      <c r="I171" s="8"/>
      <c r="J171" s="7"/>
    </row>
    <row r="172" spans="1:10" s="384" customFormat="1" ht="16.5" hidden="1" thickTop="1" thickBot="1">
      <c r="E172" s="320"/>
    </row>
    <row r="173" spans="1:10" s="384" customFormat="1" ht="15.75" hidden="1">
      <c r="A173" s="73" t="s">
        <v>142</v>
      </c>
      <c r="B173" s="74"/>
      <c r="C173" s="75"/>
      <c r="D173" s="76"/>
      <c r="E173" s="321"/>
      <c r="G173" s="16"/>
      <c r="H173" s="5"/>
      <c r="I173" s="56"/>
      <c r="J173" s="56"/>
    </row>
    <row r="174" spans="1:10" s="384" customFormat="1" ht="15.75" hidden="1">
      <c r="A174" s="219">
        <v>41426</v>
      </c>
      <c r="B174" s="71"/>
      <c r="C174" s="16"/>
      <c r="D174" s="72" t="s">
        <v>23</v>
      </c>
      <c r="E174" s="322" t="s">
        <v>21</v>
      </c>
      <c r="G174" s="5"/>
      <c r="H174" s="5"/>
      <c r="I174" s="8"/>
      <c r="J174" s="10"/>
    </row>
    <row r="175" spans="1:10" s="384" customFormat="1" ht="16.5" hidden="1" thickBot="1">
      <c r="A175" s="14"/>
      <c r="B175" s="18"/>
      <c r="C175" s="131" t="s">
        <v>21</v>
      </c>
      <c r="D175" s="131" t="s">
        <v>22</v>
      </c>
      <c r="E175" s="323" t="s">
        <v>23</v>
      </c>
      <c r="F175" s="385"/>
      <c r="G175" s="7"/>
      <c r="H175" s="7"/>
      <c r="I175" s="10"/>
      <c r="J175" s="10"/>
    </row>
    <row r="176" spans="1:10" s="384" customFormat="1" ht="15.75" hidden="1">
      <c r="A176" s="2" t="s">
        <v>24</v>
      </c>
      <c r="B176" s="17">
        <v>101</v>
      </c>
      <c r="C176" s="252">
        <v>1322327</v>
      </c>
      <c r="D176" s="389">
        <v>1.7780000000000001E-2</v>
      </c>
      <c r="E176" s="324">
        <v>23510.97406</v>
      </c>
      <c r="F176" s="385"/>
      <c r="G176" s="7"/>
      <c r="H176" s="7"/>
      <c r="I176" s="8"/>
      <c r="J176" s="7"/>
    </row>
    <row r="177" spans="1:10" s="384" customFormat="1" ht="16.5" hidden="1" thickBot="1">
      <c r="A177" s="2" t="s">
        <v>24</v>
      </c>
      <c r="B177" s="17">
        <v>111</v>
      </c>
      <c r="C177" s="252">
        <v>1044472</v>
      </c>
      <c r="D177" s="389">
        <v>1.7780000000000001E-2</v>
      </c>
      <c r="E177" s="324">
        <v>18570.712159999999</v>
      </c>
      <c r="F177" s="385"/>
      <c r="G177" s="146">
        <f>A174</f>
        <v>41426</v>
      </c>
      <c r="H177" s="147"/>
      <c r="I177" s="147"/>
      <c r="J177" s="147"/>
    </row>
    <row r="178" spans="1:10" s="384" customFormat="1" ht="16.5" hidden="1" thickBot="1">
      <c r="A178" s="2" t="s">
        <v>24</v>
      </c>
      <c r="B178" s="17">
        <v>112</v>
      </c>
      <c r="C178" s="252"/>
      <c r="D178" s="389"/>
      <c r="E178" s="324">
        <v>0</v>
      </c>
      <c r="F178" s="385"/>
      <c r="G178" s="102" t="s">
        <v>25</v>
      </c>
      <c r="H178" s="148"/>
      <c r="I178" s="149" t="s">
        <v>18</v>
      </c>
      <c r="J178" s="150" t="s">
        <v>19</v>
      </c>
    </row>
    <row r="179" spans="1:10" s="384" customFormat="1" ht="15.75" hidden="1">
      <c r="A179" s="2" t="s">
        <v>24</v>
      </c>
      <c r="B179" s="17">
        <v>121</v>
      </c>
      <c r="C179" s="252"/>
      <c r="D179" s="220"/>
      <c r="E179" s="324">
        <v>0</v>
      </c>
      <c r="F179" s="385"/>
      <c r="G179" s="151" t="s">
        <v>28</v>
      </c>
      <c r="H179" s="152" t="s">
        <v>77</v>
      </c>
      <c r="I179" s="108"/>
      <c r="J179" s="394">
        <v>0</v>
      </c>
    </row>
    <row r="180" spans="1:10" s="384" customFormat="1" ht="15.75" hidden="1">
      <c r="A180" s="2" t="s">
        <v>24</v>
      </c>
      <c r="B180" s="17">
        <v>122</v>
      </c>
      <c r="C180" s="253"/>
      <c r="D180" s="220"/>
      <c r="E180" s="324">
        <v>0</v>
      </c>
      <c r="F180" s="385"/>
      <c r="G180" s="153" t="s">
        <v>29</v>
      </c>
      <c r="H180" s="7" t="s">
        <v>78</v>
      </c>
      <c r="I180" s="395">
        <f>-E188</f>
        <v>114.73</v>
      </c>
      <c r="J180" s="222"/>
    </row>
    <row r="181" spans="1:10" s="384" customFormat="1" ht="15.75" hidden="1">
      <c r="A181" s="2" t="s">
        <v>24</v>
      </c>
      <c r="B181" s="17">
        <v>131</v>
      </c>
      <c r="C181" s="252">
        <v>0</v>
      </c>
      <c r="D181" s="389">
        <v>1.6570000000000001E-2</v>
      </c>
      <c r="E181" s="324">
        <v>0</v>
      </c>
      <c r="F181" s="385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4" customFormat="1" ht="15.75" hidden="1">
      <c r="A182" s="2" t="s">
        <v>24</v>
      </c>
      <c r="B182" s="17">
        <v>132</v>
      </c>
      <c r="C182" s="253"/>
      <c r="D182" s="121"/>
      <c r="E182" s="324">
        <v>0</v>
      </c>
      <c r="F182" s="385"/>
      <c r="G182" s="153" t="s">
        <v>10</v>
      </c>
      <c r="H182" s="7" t="s">
        <v>58</v>
      </c>
      <c r="I182" s="7">
        <v>0</v>
      </c>
      <c r="J182" s="109"/>
    </row>
    <row r="183" spans="1:10" s="384" customFormat="1" ht="16.5" hidden="1" thickBot="1">
      <c r="A183" s="2" t="s">
        <v>24</v>
      </c>
      <c r="B183" s="17" t="s">
        <v>61</v>
      </c>
      <c r="C183" s="253"/>
      <c r="D183" s="121"/>
      <c r="E183" s="324">
        <v>0</v>
      </c>
      <c r="F183" s="385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4" customFormat="1" ht="15.75" hidden="1">
      <c r="A184" s="2" t="s">
        <v>156</v>
      </c>
      <c r="B184" s="70"/>
      <c r="C184" s="251"/>
      <c r="D184" s="136"/>
      <c r="E184" s="325">
        <v>0</v>
      </c>
      <c r="F184" s="385"/>
      <c r="G184" s="7"/>
      <c r="H184" s="7"/>
      <c r="I184" s="8"/>
      <c r="J184" s="260">
        <f>ROUND(SUM(I179:J183),2)</f>
        <v>0</v>
      </c>
    </row>
    <row r="185" spans="1:10" s="384" customFormat="1" ht="16.5" hidden="1" thickBot="1">
      <c r="B185" s="6"/>
      <c r="C185" s="254">
        <f>SUM(C176:C184)</f>
        <v>2366799</v>
      </c>
      <c r="D185" s="155"/>
      <c r="E185" s="326">
        <f>SUM(E176:E184)</f>
        <v>42081.686220000003</v>
      </c>
      <c r="F185" s="385"/>
      <c r="G185" s="7"/>
      <c r="H185" s="7"/>
      <c r="I185" s="7"/>
      <c r="J185" s="7"/>
    </row>
    <row r="186" spans="1:10" s="384" customFormat="1" ht="16.5" hidden="1" thickTop="1">
      <c r="B186" s="6"/>
      <c r="C186" s="255">
        <v>2366799</v>
      </c>
      <c r="D186" s="66" t="s">
        <v>161</v>
      </c>
      <c r="E186" s="327">
        <v>0</v>
      </c>
      <c r="F186" s="385"/>
      <c r="G186" s="65" t="s">
        <v>158</v>
      </c>
      <c r="H186" s="7"/>
      <c r="I186" s="12"/>
      <c r="J186" s="12"/>
    </row>
    <row r="187" spans="1:10" s="384" customFormat="1" ht="15.75" hidden="1">
      <c r="C187" s="317">
        <f>C185-C186</f>
        <v>0</v>
      </c>
      <c r="D187" s="66" t="s">
        <v>87</v>
      </c>
      <c r="E187" s="326">
        <f>E185+E186+E171</f>
        <v>-116638.00605602912</v>
      </c>
      <c r="F187" s="385"/>
      <c r="G187" s="8">
        <f>(E171*(D188/12))+(E185*(D188/24))</f>
        <v>-114.73237430502427</v>
      </c>
      <c r="H187" s="7"/>
      <c r="I187" s="8"/>
      <c r="J187" s="10"/>
    </row>
    <row r="188" spans="1:10" s="384" customFormat="1" ht="15.75" hidden="1">
      <c r="C188" s="50"/>
      <c r="D188" s="225">
        <v>0.01</v>
      </c>
      <c r="E188" s="328">
        <f>ROUND(((E171)+(E185)/2)*(D188/12),2)</f>
        <v>-114.73</v>
      </c>
      <c r="F188" s="385"/>
      <c r="G188" s="65"/>
      <c r="H188" s="7"/>
      <c r="I188" s="10"/>
      <c r="J188" s="10"/>
    </row>
    <row r="189" spans="1:10" s="384" customFormat="1" ht="16.5" thickBot="1">
      <c r="A189" s="5"/>
      <c r="B189" s="5"/>
      <c r="C189" s="50" t="s">
        <v>1</v>
      </c>
      <c r="D189" s="143">
        <f>A174</f>
        <v>41426</v>
      </c>
      <c r="E189" s="329">
        <f>SUM(E187:E188)</f>
        <v>-116752.73605602911</v>
      </c>
      <c r="F189" s="385"/>
      <c r="G189" s="7"/>
      <c r="H189" s="7"/>
      <c r="I189" s="8"/>
      <c r="J189" s="7"/>
    </row>
    <row r="190" spans="1:10" s="384" customFormat="1" ht="16.5" thickTop="1" thickBot="1">
      <c r="E190" s="320"/>
    </row>
    <row r="191" spans="1:10" s="384" customFormat="1" ht="15.75">
      <c r="A191" s="73" t="s">
        <v>142</v>
      </c>
      <c r="B191" s="74"/>
      <c r="C191" s="75"/>
      <c r="D191" s="76"/>
      <c r="E191" s="321"/>
      <c r="G191" s="16"/>
      <c r="H191" s="5"/>
      <c r="I191" s="56"/>
      <c r="J191" s="56"/>
    </row>
    <row r="192" spans="1:10" s="384" customFormat="1" ht="15.75">
      <c r="A192" s="219">
        <v>41456</v>
      </c>
      <c r="B192" s="71"/>
      <c r="C192" s="16"/>
      <c r="D192" s="72" t="s">
        <v>23</v>
      </c>
      <c r="E192" s="322" t="s">
        <v>21</v>
      </c>
      <c r="G192" s="5"/>
      <c r="H192" s="5"/>
      <c r="I192" s="8"/>
      <c r="J192" s="10"/>
    </row>
    <row r="193" spans="1:10" s="384" customFormat="1" ht="16.5" thickBot="1">
      <c r="A193" s="14"/>
      <c r="B193" s="18"/>
      <c r="C193" s="131" t="s">
        <v>21</v>
      </c>
      <c r="D193" s="131" t="s">
        <v>22</v>
      </c>
      <c r="E193" s="323" t="s">
        <v>23</v>
      </c>
      <c r="F193" s="385"/>
      <c r="G193" s="7"/>
      <c r="H193" s="7"/>
      <c r="I193" s="10"/>
      <c r="J193" s="10"/>
    </row>
    <row r="194" spans="1:10" s="384" customFormat="1" ht="15.75">
      <c r="A194" s="2" t="s">
        <v>24</v>
      </c>
      <c r="B194" s="17">
        <v>101</v>
      </c>
      <c r="C194" s="252">
        <v>970543</v>
      </c>
      <c r="D194" s="389">
        <v>1.7780000000000001E-2</v>
      </c>
      <c r="E194" s="324">
        <v>17256.254540000002</v>
      </c>
      <c r="F194" s="385"/>
      <c r="G194" s="7"/>
      <c r="H194" s="7"/>
      <c r="I194" s="8"/>
      <c r="J194" s="7"/>
    </row>
    <row r="195" spans="1:10" s="384" customFormat="1" ht="16.5" thickBot="1">
      <c r="A195" s="2" t="s">
        <v>24</v>
      </c>
      <c r="B195" s="17">
        <v>111</v>
      </c>
      <c r="C195" s="252">
        <v>805059</v>
      </c>
      <c r="D195" s="389">
        <v>1.7780000000000001E-2</v>
      </c>
      <c r="E195" s="324">
        <v>14313.94902</v>
      </c>
      <c r="F195" s="385"/>
      <c r="G195" s="146">
        <f>A192</f>
        <v>41456</v>
      </c>
      <c r="H195" s="147"/>
      <c r="I195" s="147"/>
      <c r="J195" s="147"/>
    </row>
    <row r="196" spans="1:10" s="384" customFormat="1" ht="16.5" thickBot="1">
      <c r="A196" s="2" t="s">
        <v>24</v>
      </c>
      <c r="B196" s="17">
        <v>112</v>
      </c>
      <c r="C196" s="252"/>
      <c r="D196" s="389"/>
      <c r="E196" s="324">
        <v>0</v>
      </c>
      <c r="F196" s="385"/>
      <c r="G196" s="102" t="s">
        <v>25</v>
      </c>
      <c r="H196" s="148"/>
      <c r="I196" s="149" t="s">
        <v>18</v>
      </c>
      <c r="J196" s="150" t="s">
        <v>19</v>
      </c>
    </row>
    <row r="197" spans="1:10" s="384" customFormat="1" ht="15.75">
      <c r="A197" s="2" t="s">
        <v>24</v>
      </c>
      <c r="B197" s="17">
        <v>121</v>
      </c>
      <c r="C197" s="252"/>
      <c r="D197" s="220"/>
      <c r="E197" s="324">
        <v>0</v>
      </c>
      <c r="F197" s="385"/>
      <c r="G197" s="151" t="s">
        <v>28</v>
      </c>
      <c r="H197" s="152" t="s">
        <v>77</v>
      </c>
      <c r="I197" s="108"/>
      <c r="J197" s="394">
        <v>0</v>
      </c>
    </row>
    <row r="198" spans="1:10" s="384" customFormat="1" ht="15.75">
      <c r="A198" s="2" t="s">
        <v>24</v>
      </c>
      <c r="B198" s="17">
        <v>122</v>
      </c>
      <c r="C198" s="253"/>
      <c r="D198" s="220"/>
      <c r="E198" s="324">
        <v>0</v>
      </c>
      <c r="F198" s="385"/>
      <c r="G198" s="153" t="s">
        <v>29</v>
      </c>
      <c r="H198" s="7" t="s">
        <v>78</v>
      </c>
      <c r="I198" s="395">
        <f>-E206</f>
        <v>84.14</v>
      </c>
      <c r="J198" s="222"/>
    </row>
    <row r="199" spans="1:10" s="384" customFormat="1" ht="15.75">
      <c r="A199" s="2" t="s">
        <v>24</v>
      </c>
      <c r="B199" s="17">
        <v>131</v>
      </c>
      <c r="C199" s="252">
        <v>0</v>
      </c>
      <c r="D199" s="389">
        <v>1.6570000000000001E-2</v>
      </c>
      <c r="E199" s="324">
        <v>0</v>
      </c>
      <c r="F199" s="385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4" customFormat="1" ht="15.75">
      <c r="A200" s="2" t="s">
        <v>24</v>
      </c>
      <c r="B200" s="17">
        <v>132</v>
      </c>
      <c r="C200" s="253"/>
      <c r="D200" s="121"/>
      <c r="E200" s="324">
        <v>0</v>
      </c>
      <c r="F200" s="385"/>
      <c r="G200" s="153" t="s">
        <v>10</v>
      </c>
      <c r="H200" s="7" t="s">
        <v>58</v>
      </c>
      <c r="I200" s="7">
        <v>0</v>
      </c>
      <c r="J200" s="109"/>
    </row>
    <row r="201" spans="1:10" s="384" customFormat="1" ht="16.5" thickBot="1">
      <c r="A201" s="2" t="s">
        <v>24</v>
      </c>
      <c r="B201" s="17" t="s">
        <v>61</v>
      </c>
      <c r="C201" s="253"/>
      <c r="D201" s="121"/>
      <c r="E201" s="324">
        <v>0</v>
      </c>
      <c r="F201" s="385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4" customFormat="1" ht="15.75">
      <c r="A202" s="2" t="s">
        <v>156</v>
      </c>
      <c r="B202" s="70"/>
      <c r="C202" s="251"/>
      <c r="D202" s="136"/>
      <c r="E202" s="325">
        <v>0</v>
      </c>
      <c r="F202" s="385"/>
      <c r="G202" s="7"/>
      <c r="H202" s="7"/>
      <c r="I202" s="8"/>
      <c r="J202" s="260">
        <f>ROUND(SUM(I197:J201),2)</f>
        <v>0</v>
      </c>
    </row>
    <row r="203" spans="1:10" s="384" customFormat="1" ht="16.5" thickBot="1">
      <c r="B203" s="6"/>
      <c r="C203" s="254">
        <f>SUM(C194:C202)</f>
        <v>1775602</v>
      </c>
      <c r="D203" s="155"/>
      <c r="E203" s="326">
        <f>SUM(E194:E202)</f>
        <v>31570.203560000002</v>
      </c>
      <c r="F203" s="385"/>
      <c r="G203" s="7"/>
      <c r="H203" s="7"/>
      <c r="I203" s="7"/>
      <c r="J203" s="7"/>
    </row>
    <row r="204" spans="1:10" s="384" customFormat="1" ht="16.5" thickTop="1">
      <c r="B204" s="6"/>
      <c r="C204" s="255">
        <v>1775602</v>
      </c>
      <c r="D204" s="66" t="s">
        <v>161</v>
      </c>
      <c r="E204" s="327">
        <v>0</v>
      </c>
      <c r="F204" s="385"/>
      <c r="G204" s="65" t="s">
        <v>158</v>
      </c>
      <c r="H204" s="7"/>
      <c r="I204" s="12"/>
      <c r="J204" s="12"/>
    </row>
    <row r="205" spans="1:10" s="384" customFormat="1" ht="15.75">
      <c r="C205" s="317">
        <f>C203-C204</f>
        <v>0</v>
      </c>
      <c r="D205" s="66" t="s">
        <v>87</v>
      </c>
      <c r="E205" s="326">
        <f>E203+E204+E189</f>
        <v>-85182.532496029104</v>
      </c>
      <c r="F205" s="385"/>
      <c r="G205" s="8">
        <f>(E189*(D206/12))+(E203*(D206/24))</f>
        <v>-84.139695230024259</v>
      </c>
      <c r="H205" s="7"/>
      <c r="I205" s="8"/>
      <c r="J205" s="10"/>
    </row>
    <row r="206" spans="1:10" s="384" customFormat="1" ht="15.75">
      <c r="C206" s="50"/>
      <c r="D206" s="225">
        <v>0.01</v>
      </c>
      <c r="E206" s="328">
        <f>ROUND(((E189)+(E203)/2)*(D206/12),2)</f>
        <v>-84.14</v>
      </c>
      <c r="F206" s="385"/>
      <c r="G206" s="65"/>
      <c r="H206" s="7"/>
      <c r="I206" s="10"/>
      <c r="J206" s="10"/>
    </row>
    <row r="207" spans="1:10" s="384" customFormat="1" ht="16.5" thickBot="1">
      <c r="A207" s="5"/>
      <c r="B207" s="5"/>
      <c r="C207" s="50" t="s">
        <v>1</v>
      </c>
      <c r="D207" s="143">
        <f>A192</f>
        <v>41456</v>
      </c>
      <c r="E207" s="329">
        <f>SUM(E205:E206)</f>
        <v>-85266.672496029103</v>
      </c>
      <c r="F207" s="385"/>
      <c r="G207" s="7"/>
      <c r="H207" s="7"/>
      <c r="I207" s="8"/>
      <c r="J207" s="7"/>
    </row>
    <row r="208" spans="1:10" ht="16.5" thickTop="1" thickBot="1"/>
    <row r="209" spans="1:10" s="384" customFormat="1" ht="15.75">
      <c r="A209" s="73" t="s">
        <v>142</v>
      </c>
      <c r="B209" s="74"/>
      <c r="C209" s="75"/>
      <c r="D209" s="76"/>
      <c r="E209" s="321"/>
      <c r="G209" s="16"/>
      <c r="H209" s="5"/>
      <c r="I209" s="56"/>
      <c r="J209" s="56"/>
    </row>
    <row r="210" spans="1:10" s="384" customFormat="1" ht="15.75">
      <c r="A210" s="219">
        <v>41487</v>
      </c>
      <c r="B210" s="71"/>
      <c r="C210" s="16"/>
      <c r="D210" s="72" t="s">
        <v>23</v>
      </c>
      <c r="E210" s="322" t="s">
        <v>21</v>
      </c>
      <c r="G210" s="5"/>
      <c r="H210" s="5"/>
      <c r="I210" s="8"/>
      <c r="J210" s="10"/>
    </row>
    <row r="211" spans="1:10" s="384" customFormat="1" ht="16.5" thickBot="1">
      <c r="A211" s="14"/>
      <c r="B211" s="18"/>
      <c r="C211" s="131" t="s">
        <v>21</v>
      </c>
      <c r="D211" s="131" t="s">
        <v>22</v>
      </c>
      <c r="E211" s="323" t="s">
        <v>23</v>
      </c>
      <c r="F211" s="385"/>
      <c r="G211" s="7"/>
      <c r="H211" s="7"/>
      <c r="I211" s="10"/>
      <c r="J211" s="10"/>
    </row>
    <row r="212" spans="1:10" s="384" customFormat="1" ht="15.75">
      <c r="A212" s="2" t="s">
        <v>24</v>
      </c>
      <c r="B212" s="17">
        <v>101</v>
      </c>
      <c r="C212" s="252">
        <v>985214</v>
      </c>
      <c r="D212" s="389">
        <v>1.7780000000000001E-2</v>
      </c>
      <c r="E212" s="324">
        <v>17517.104920000002</v>
      </c>
      <c r="F212" s="385"/>
      <c r="G212" s="7"/>
      <c r="H212" s="7"/>
      <c r="I212" s="8"/>
      <c r="J212" s="7"/>
    </row>
    <row r="213" spans="1:10" s="384" customFormat="1" ht="16.5" thickBot="1">
      <c r="A213" s="2" t="s">
        <v>24</v>
      </c>
      <c r="B213" s="17">
        <v>111</v>
      </c>
      <c r="C213" s="252">
        <v>994287</v>
      </c>
      <c r="D213" s="389">
        <v>1.7780000000000001E-2</v>
      </c>
      <c r="E213" s="324">
        <v>17678.422860000002</v>
      </c>
      <c r="F213" s="385"/>
      <c r="G213" s="146">
        <f>A210</f>
        <v>41487</v>
      </c>
      <c r="H213" s="147"/>
      <c r="I213" s="147"/>
      <c r="J213" s="147"/>
    </row>
    <row r="214" spans="1:10" s="384" customFormat="1" ht="16.5" thickBot="1">
      <c r="A214" s="2" t="s">
        <v>24</v>
      </c>
      <c r="B214" s="17">
        <v>112</v>
      </c>
      <c r="C214" s="252"/>
      <c r="D214" s="389"/>
      <c r="E214" s="324">
        <v>0</v>
      </c>
      <c r="F214" s="385"/>
      <c r="G214" s="102" t="s">
        <v>25</v>
      </c>
      <c r="H214" s="148"/>
      <c r="I214" s="149" t="s">
        <v>18</v>
      </c>
      <c r="J214" s="150" t="s">
        <v>19</v>
      </c>
    </row>
    <row r="215" spans="1:10" s="384" customFormat="1" ht="15.75">
      <c r="A215" s="2" t="s">
        <v>24</v>
      </c>
      <c r="B215" s="17">
        <v>121</v>
      </c>
      <c r="C215" s="252"/>
      <c r="D215" s="220"/>
      <c r="E215" s="324">
        <v>0</v>
      </c>
      <c r="F215" s="385"/>
      <c r="G215" s="151" t="s">
        <v>28</v>
      </c>
      <c r="H215" s="152" t="s">
        <v>77</v>
      </c>
      <c r="I215" s="108"/>
      <c r="J215" s="394">
        <v>0</v>
      </c>
    </row>
    <row r="216" spans="1:10" s="384" customFormat="1" ht="15.75">
      <c r="A216" s="2" t="s">
        <v>24</v>
      </c>
      <c r="B216" s="17">
        <v>122</v>
      </c>
      <c r="C216" s="253"/>
      <c r="D216" s="220"/>
      <c r="E216" s="324">
        <v>0</v>
      </c>
      <c r="F216" s="385"/>
      <c r="G216" s="153" t="s">
        <v>29</v>
      </c>
      <c r="H216" s="7" t="s">
        <v>78</v>
      </c>
      <c r="I216" s="395">
        <f>-E224</f>
        <v>56.39</v>
      </c>
      <c r="J216" s="222"/>
    </row>
    <row r="217" spans="1:10" s="384" customFormat="1" ht="15.75">
      <c r="A217" s="2" t="s">
        <v>24</v>
      </c>
      <c r="B217" s="17">
        <v>131</v>
      </c>
      <c r="C217" s="252">
        <v>0</v>
      </c>
      <c r="D217" s="389">
        <v>1.6570000000000001E-2</v>
      </c>
      <c r="E217" s="324">
        <v>0</v>
      </c>
      <c r="F217" s="385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4" customFormat="1" ht="15.75">
      <c r="A218" s="2" t="s">
        <v>24</v>
      </c>
      <c r="B218" s="17">
        <v>132</v>
      </c>
      <c r="C218" s="253"/>
      <c r="D218" s="121"/>
      <c r="E218" s="324">
        <v>0</v>
      </c>
      <c r="F218" s="385"/>
      <c r="G218" s="153" t="s">
        <v>10</v>
      </c>
      <c r="H218" s="7" t="s">
        <v>58</v>
      </c>
      <c r="I218" s="7">
        <v>0</v>
      </c>
      <c r="J218" s="109"/>
    </row>
    <row r="219" spans="1:10" s="384" customFormat="1" ht="16.5" thickBot="1">
      <c r="A219" s="2" t="s">
        <v>24</v>
      </c>
      <c r="B219" s="17" t="s">
        <v>61</v>
      </c>
      <c r="C219" s="253"/>
      <c r="D219" s="121"/>
      <c r="E219" s="324">
        <v>0</v>
      </c>
      <c r="F219" s="385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4" customFormat="1" ht="15.75">
      <c r="A220" s="2" t="s">
        <v>156</v>
      </c>
      <c r="B220" s="70"/>
      <c r="C220" s="251"/>
      <c r="D220" s="136"/>
      <c r="E220" s="325">
        <v>0</v>
      </c>
      <c r="F220" s="385"/>
      <c r="G220" s="7"/>
      <c r="H220" s="7"/>
      <c r="I220" s="8"/>
      <c r="J220" s="260">
        <f>ROUND(SUM(I215:J219),2)</f>
        <v>0</v>
      </c>
    </row>
    <row r="221" spans="1:10" s="384" customFormat="1" ht="16.5" thickBot="1">
      <c r="B221" s="6"/>
      <c r="C221" s="254">
        <f>SUM(C212:C220)</f>
        <v>1979501</v>
      </c>
      <c r="D221" s="155"/>
      <c r="E221" s="326">
        <f>SUM(E212:E220)</f>
        <v>35195.527780000004</v>
      </c>
      <c r="F221" s="385"/>
      <c r="G221" s="7"/>
      <c r="H221" s="7"/>
      <c r="I221" s="7"/>
      <c r="J221" s="7"/>
    </row>
    <row r="222" spans="1:10" s="384" customFormat="1" ht="16.5" thickTop="1">
      <c r="B222" s="6"/>
      <c r="C222" s="255">
        <v>1979501</v>
      </c>
      <c r="D222" s="66" t="s">
        <v>161</v>
      </c>
      <c r="E222" s="327">
        <v>0</v>
      </c>
      <c r="F222" s="385"/>
      <c r="G222" s="65" t="s">
        <v>158</v>
      </c>
      <c r="H222" s="7"/>
      <c r="I222" s="12"/>
      <c r="J222" s="12"/>
    </row>
    <row r="223" spans="1:10" s="384" customFormat="1" ht="15.75">
      <c r="C223" s="317">
        <f>C221-C222</f>
        <v>0</v>
      </c>
      <c r="D223" s="66" t="s">
        <v>87</v>
      </c>
      <c r="E223" s="326">
        <f>E221+E222+E207</f>
        <v>-50071.144716029099</v>
      </c>
      <c r="F223" s="385"/>
      <c r="G223" s="8">
        <f>(E207*(D224/12))+(E221*(D224/24))</f>
        <v>-56.390757171690929</v>
      </c>
      <c r="H223" s="7"/>
      <c r="I223" s="8"/>
      <c r="J223" s="10"/>
    </row>
    <row r="224" spans="1:10" s="384" customFormat="1" ht="15.75">
      <c r="C224" s="50"/>
      <c r="D224" s="225">
        <v>0.01</v>
      </c>
      <c r="E224" s="328">
        <f>ROUND(((E207)+(E221)/2)*(D224/12),2)</f>
        <v>-56.39</v>
      </c>
      <c r="F224" s="385"/>
      <c r="G224" s="65"/>
      <c r="H224" s="7"/>
      <c r="I224" s="10"/>
      <c r="J224" s="10"/>
    </row>
    <row r="225" spans="1:10" s="384" customFormat="1" ht="16.5" thickBot="1">
      <c r="A225" s="5"/>
      <c r="B225" s="5"/>
      <c r="C225" s="50" t="s">
        <v>1</v>
      </c>
      <c r="D225" s="143">
        <f>A210</f>
        <v>41487</v>
      </c>
      <c r="E225" s="329">
        <f>SUM(E223:E224)</f>
        <v>-50127.534716029098</v>
      </c>
      <c r="F225" s="385"/>
      <c r="G225" s="7"/>
      <c r="H225" s="7"/>
      <c r="I225" s="8"/>
      <c r="J225" s="7"/>
    </row>
    <row r="226" spans="1:10" ht="16.5" thickTop="1" thickBot="1"/>
    <row r="227" spans="1:10" s="384" customFormat="1" ht="15.75">
      <c r="A227" s="73" t="s">
        <v>142</v>
      </c>
      <c r="B227" s="74"/>
      <c r="C227" s="75"/>
      <c r="D227" s="76"/>
      <c r="E227" s="321"/>
      <c r="G227" s="16"/>
      <c r="H227" s="5"/>
      <c r="I227" s="56"/>
      <c r="J227" s="56"/>
    </row>
    <row r="228" spans="1:10" s="384" customFormat="1" ht="15.75">
      <c r="A228" s="219">
        <v>41518</v>
      </c>
      <c r="B228" s="71"/>
      <c r="C228" s="16"/>
      <c r="D228" s="72" t="s">
        <v>23</v>
      </c>
      <c r="E228" s="322" t="s">
        <v>21</v>
      </c>
      <c r="G228" s="5"/>
      <c r="H228" s="5"/>
      <c r="I228" s="8"/>
      <c r="J228" s="10"/>
    </row>
    <row r="229" spans="1:10" s="384" customFormat="1" ht="16.5" thickBot="1">
      <c r="A229" s="14"/>
      <c r="B229" s="18"/>
      <c r="C229" s="131" t="s">
        <v>21</v>
      </c>
      <c r="D229" s="131" t="s">
        <v>22</v>
      </c>
      <c r="E229" s="323" t="s">
        <v>23</v>
      </c>
      <c r="F229" s="385"/>
      <c r="G229" s="7"/>
      <c r="H229" s="7"/>
      <c r="I229" s="10"/>
      <c r="J229" s="10"/>
    </row>
    <row r="230" spans="1:10" s="384" customFormat="1" ht="15.75">
      <c r="A230" s="2" t="s">
        <v>24</v>
      </c>
      <c r="B230" s="17">
        <v>101</v>
      </c>
      <c r="C230" s="252">
        <v>1338764</v>
      </c>
      <c r="D230" s="389">
        <v>1.7780000000000001E-2</v>
      </c>
      <c r="E230" s="324">
        <v>23803.22392</v>
      </c>
      <c r="F230" s="385"/>
      <c r="G230" s="7"/>
      <c r="H230" s="7"/>
      <c r="I230" s="8"/>
      <c r="J230" s="7"/>
    </row>
    <row r="231" spans="1:10" s="384" customFormat="1" ht="16.5" thickBot="1">
      <c r="A231" s="2" t="s">
        <v>24</v>
      </c>
      <c r="B231" s="17">
        <v>111</v>
      </c>
      <c r="C231" s="252">
        <v>1168974</v>
      </c>
      <c r="D231" s="389">
        <v>1.7780000000000001E-2</v>
      </c>
      <c r="E231" s="324">
        <v>20784.35772</v>
      </c>
      <c r="F231" s="385"/>
      <c r="G231" s="146">
        <f>A228</f>
        <v>41518</v>
      </c>
      <c r="H231" s="147"/>
      <c r="I231" s="147"/>
      <c r="J231" s="147"/>
    </row>
    <row r="232" spans="1:10" s="384" customFormat="1" ht="16.5" thickBot="1">
      <c r="A232" s="2" t="s">
        <v>24</v>
      </c>
      <c r="B232" s="17">
        <v>112</v>
      </c>
      <c r="C232" s="252"/>
      <c r="D232" s="389"/>
      <c r="E232" s="324">
        <v>0</v>
      </c>
      <c r="F232" s="385"/>
      <c r="G232" s="102" t="s">
        <v>25</v>
      </c>
      <c r="H232" s="148"/>
      <c r="I232" s="149" t="s">
        <v>18</v>
      </c>
      <c r="J232" s="150" t="s">
        <v>19</v>
      </c>
    </row>
    <row r="233" spans="1:10" s="384" customFormat="1" ht="15.75">
      <c r="A233" s="2" t="s">
        <v>24</v>
      </c>
      <c r="B233" s="17">
        <v>121</v>
      </c>
      <c r="C233" s="252"/>
      <c r="D233" s="220"/>
      <c r="E233" s="324">
        <v>0</v>
      </c>
      <c r="F233" s="385"/>
      <c r="G233" s="151" t="s">
        <v>28</v>
      </c>
      <c r="H233" s="152" t="s">
        <v>77</v>
      </c>
      <c r="I233" s="108"/>
      <c r="J233" s="394">
        <v>0</v>
      </c>
    </row>
    <row r="234" spans="1:10" s="384" customFormat="1" ht="15.75">
      <c r="A234" s="2" t="s">
        <v>24</v>
      </c>
      <c r="B234" s="17">
        <v>122</v>
      </c>
      <c r="C234" s="253"/>
      <c r="D234" s="220"/>
      <c r="E234" s="324">
        <v>0</v>
      </c>
      <c r="F234" s="385"/>
      <c r="G234" s="153" t="s">
        <v>29</v>
      </c>
      <c r="H234" s="7" t="s">
        <v>78</v>
      </c>
      <c r="I234" s="395">
        <f>-E242</f>
        <v>23.19</v>
      </c>
      <c r="J234" s="222"/>
    </row>
    <row r="235" spans="1:10" s="384" customFormat="1" ht="15.75">
      <c r="A235" s="2" t="s">
        <v>24</v>
      </c>
      <c r="B235" s="17">
        <v>131</v>
      </c>
      <c r="C235" s="252">
        <v>0</v>
      </c>
      <c r="D235" s="389">
        <v>1.6570000000000001E-2</v>
      </c>
      <c r="E235" s="324">
        <v>0</v>
      </c>
      <c r="F235" s="385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4" customFormat="1" ht="15.75">
      <c r="A236" s="2" t="s">
        <v>24</v>
      </c>
      <c r="B236" s="17">
        <v>132</v>
      </c>
      <c r="C236" s="253"/>
      <c r="D236" s="121"/>
      <c r="E236" s="324">
        <v>0</v>
      </c>
      <c r="F236" s="385"/>
      <c r="G236" s="153" t="s">
        <v>10</v>
      </c>
      <c r="H236" s="7" t="s">
        <v>58</v>
      </c>
      <c r="I236" s="7">
        <v>0</v>
      </c>
      <c r="J236" s="109"/>
    </row>
    <row r="237" spans="1:10" s="384" customFormat="1" ht="16.5" thickBot="1">
      <c r="A237" s="2" t="s">
        <v>24</v>
      </c>
      <c r="B237" s="17" t="s">
        <v>61</v>
      </c>
      <c r="C237" s="253"/>
      <c r="D237" s="121"/>
      <c r="E237" s="324">
        <v>0</v>
      </c>
      <c r="F237" s="385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4" customFormat="1" ht="15.75">
      <c r="A238" s="2" t="s">
        <v>156</v>
      </c>
      <c r="B238" s="70"/>
      <c r="C238" s="251"/>
      <c r="D238" s="136"/>
      <c r="E238" s="325">
        <v>0</v>
      </c>
      <c r="F238" s="385"/>
      <c r="G238" s="7"/>
      <c r="H238" s="7"/>
      <c r="I238" s="8"/>
      <c r="J238" s="260">
        <f>ROUND(SUM(I233:J237),2)</f>
        <v>0</v>
      </c>
    </row>
    <row r="239" spans="1:10" s="384" customFormat="1" ht="16.5" thickBot="1">
      <c r="B239" s="6"/>
      <c r="C239" s="254">
        <f>SUM(C230:C238)</f>
        <v>2507738</v>
      </c>
      <c r="D239" s="155"/>
      <c r="E239" s="326">
        <f>SUM(E230:E238)</f>
        <v>44587.581640000004</v>
      </c>
      <c r="F239" s="385"/>
      <c r="G239" s="7"/>
      <c r="H239" s="7"/>
      <c r="I239" s="7"/>
      <c r="J239" s="7"/>
    </row>
    <row r="240" spans="1:10" s="384" customFormat="1" ht="16.5" thickTop="1">
      <c r="B240" s="6"/>
      <c r="C240" s="255">
        <v>2507738</v>
      </c>
      <c r="D240" s="66" t="s">
        <v>161</v>
      </c>
      <c r="E240" s="327">
        <v>0</v>
      </c>
      <c r="F240" s="385"/>
      <c r="G240" s="65" t="s">
        <v>158</v>
      </c>
      <c r="H240" s="7"/>
      <c r="I240" s="12"/>
      <c r="J240" s="12"/>
    </row>
    <row r="241" spans="1:10" s="384" customFormat="1" ht="15.75">
      <c r="C241" s="317">
        <f>C239-C240</f>
        <v>0</v>
      </c>
      <c r="D241" s="66" t="s">
        <v>87</v>
      </c>
      <c r="E241" s="326">
        <f>E239+E240+E225</f>
        <v>-5539.9530760290945</v>
      </c>
      <c r="F241" s="385"/>
      <c r="G241" s="8">
        <f>(E225*(D242/12))+(E239*(D242/24))</f>
        <v>-23.194786580024246</v>
      </c>
      <c r="H241" s="7"/>
      <c r="I241" s="8"/>
      <c r="J241" s="10"/>
    </row>
    <row r="242" spans="1:10" s="384" customFormat="1" ht="15.75">
      <c r="C242" s="50"/>
      <c r="D242" s="225">
        <v>0.01</v>
      </c>
      <c r="E242" s="328">
        <f>ROUND(((E225)+(E239)/2)*(D242/12),2)</f>
        <v>-23.19</v>
      </c>
      <c r="F242" s="385"/>
      <c r="G242" s="65"/>
      <c r="H242" s="7"/>
      <c r="I242" s="10"/>
      <c r="J242" s="10"/>
    </row>
    <row r="243" spans="1:10" s="384" customFormat="1" ht="15.75">
      <c r="A243" s="5"/>
      <c r="B243" s="5"/>
      <c r="C243" s="50" t="s">
        <v>1</v>
      </c>
      <c r="D243" s="143">
        <f>A228</f>
        <v>41518</v>
      </c>
      <c r="E243" s="328">
        <f>SUM(E241:E242)</f>
        <v>-5563.1430760290941</v>
      </c>
      <c r="F243" s="385"/>
      <c r="G243" s="7"/>
      <c r="H243" s="7"/>
      <c r="I243" s="8"/>
      <c r="J243" s="7"/>
    </row>
    <row r="244" spans="1:10" s="384" customFormat="1" ht="15.75">
      <c r="A244" s="5"/>
      <c r="B244" s="5"/>
      <c r="C244" s="50"/>
      <c r="D244" s="461" t="s">
        <v>225</v>
      </c>
      <c r="E244" s="463">
        <f>'ID Def 191010'!C131*-1</f>
        <v>108659.43754694135</v>
      </c>
      <c r="F244" s="385"/>
      <c r="G244" s="7"/>
      <c r="H244" s="7"/>
      <c r="I244" s="8"/>
      <c r="J244" s="7"/>
    </row>
    <row r="245" spans="1:10" s="384" customFormat="1" ht="16.5" thickBot="1">
      <c r="A245" s="5"/>
      <c r="B245" s="5"/>
      <c r="C245" s="50"/>
      <c r="D245" s="461" t="s">
        <v>226</v>
      </c>
      <c r="E245" s="464">
        <f>SUM(E243:E244)</f>
        <v>103096.29447091225</v>
      </c>
      <c r="F245" s="385"/>
      <c r="G245" s="7"/>
      <c r="H245" s="7"/>
      <c r="I245" s="8"/>
      <c r="J245" s="7"/>
    </row>
    <row r="246" spans="1:10" ht="16.5" thickTop="1" thickBot="1"/>
    <row r="247" spans="1:10" s="384" customFormat="1" ht="15.75">
      <c r="A247" s="73" t="s">
        <v>142</v>
      </c>
      <c r="B247" s="74"/>
      <c r="C247" s="75"/>
      <c r="D247" s="76"/>
      <c r="E247" s="321"/>
      <c r="G247" s="16"/>
      <c r="H247" s="5"/>
      <c r="I247" s="56"/>
      <c r="J247" s="56"/>
    </row>
    <row r="248" spans="1:10" s="384" customFormat="1" ht="15.75">
      <c r="A248" s="219">
        <v>41578</v>
      </c>
      <c r="B248" s="71"/>
      <c r="C248" s="16"/>
      <c r="D248" s="72" t="s">
        <v>23</v>
      </c>
      <c r="E248" s="322" t="s">
        <v>21</v>
      </c>
      <c r="G248" s="5"/>
      <c r="H248" s="5"/>
      <c r="I248" s="8"/>
      <c r="J248" s="10"/>
    </row>
    <row r="249" spans="1:10" s="384" customFormat="1" ht="16.5" thickBot="1">
      <c r="A249" s="14"/>
      <c r="B249" s="18"/>
      <c r="C249" s="131" t="s">
        <v>21</v>
      </c>
      <c r="D249" s="131" t="s">
        <v>22</v>
      </c>
      <c r="E249" s="323" t="s">
        <v>23</v>
      </c>
      <c r="F249" s="385"/>
      <c r="G249" s="7"/>
      <c r="H249" s="7"/>
      <c r="I249" s="10"/>
      <c r="J249" s="10"/>
    </row>
    <row r="250" spans="1:10" s="384" customFormat="1" ht="15.75">
      <c r="A250" s="2" t="s">
        <v>24</v>
      </c>
      <c r="B250" s="17">
        <v>101</v>
      </c>
      <c r="C250" s="252">
        <v>4291264</v>
      </c>
      <c r="D250" s="389" t="s">
        <v>187</v>
      </c>
      <c r="E250" s="324">
        <v>2709.04</v>
      </c>
      <c r="F250" s="385"/>
      <c r="G250" s="7"/>
      <c r="H250" s="7"/>
      <c r="I250" s="8"/>
      <c r="J250" s="7"/>
    </row>
    <row r="251" spans="1:10" s="384" customFormat="1" ht="16.5" thickBot="1">
      <c r="A251" s="2" t="s">
        <v>24</v>
      </c>
      <c r="B251" s="17">
        <v>111</v>
      </c>
      <c r="C251" s="252">
        <v>1602282</v>
      </c>
      <c r="D251" s="389" t="s">
        <v>187</v>
      </c>
      <c r="E251" s="324">
        <v>-3558.27</v>
      </c>
      <c r="F251" s="385"/>
      <c r="G251" s="146">
        <f>A248</f>
        <v>41578</v>
      </c>
      <c r="H251" s="147"/>
      <c r="I251" s="147"/>
      <c r="J251" s="147"/>
    </row>
    <row r="252" spans="1:10" s="384" customFormat="1" ht="16.5" thickBot="1">
      <c r="A252" s="2" t="s">
        <v>24</v>
      </c>
      <c r="B252" s="17">
        <v>112</v>
      </c>
      <c r="C252" s="252"/>
      <c r="D252" s="389"/>
      <c r="E252" s="324">
        <v>0</v>
      </c>
      <c r="F252" s="385"/>
      <c r="G252" s="102" t="s">
        <v>25</v>
      </c>
      <c r="H252" s="148"/>
      <c r="I252" s="149" t="s">
        <v>18</v>
      </c>
      <c r="J252" s="150" t="s">
        <v>19</v>
      </c>
    </row>
    <row r="253" spans="1:10" s="384" customFormat="1" ht="15.75">
      <c r="A253" s="2" t="s">
        <v>24</v>
      </c>
      <c r="B253" s="17">
        <v>121</v>
      </c>
      <c r="C253" s="252"/>
      <c r="D253" s="220"/>
      <c r="E253" s="324">
        <v>0</v>
      </c>
      <c r="F253" s="385"/>
      <c r="G253" s="151" t="s">
        <v>28</v>
      </c>
      <c r="H253" s="152" t="s">
        <v>77</v>
      </c>
      <c r="I253" s="108"/>
      <c r="J253" s="394">
        <f>IF(E262&gt;0,-E262,0)</f>
        <v>-93.84</v>
      </c>
    </row>
    <row r="254" spans="1:10" s="384" customFormat="1" ht="15.75">
      <c r="A254" s="2" t="s">
        <v>24</v>
      </c>
      <c r="B254" s="17">
        <v>122</v>
      </c>
      <c r="C254" s="253"/>
      <c r="D254" s="220"/>
      <c r="E254" s="324">
        <v>0</v>
      </c>
      <c r="F254" s="385"/>
      <c r="G254" s="153" t="s">
        <v>29</v>
      </c>
      <c r="H254" s="7" t="s">
        <v>78</v>
      </c>
      <c r="I254" s="395">
        <f>IF(E262&lt;0,-E262,0)</f>
        <v>0</v>
      </c>
      <c r="J254" s="222"/>
    </row>
    <row r="255" spans="1:10" s="384" customFormat="1" ht="15.75">
      <c r="A255" s="2" t="s">
        <v>24</v>
      </c>
      <c r="B255" s="17">
        <v>131</v>
      </c>
      <c r="C255" s="252">
        <v>0</v>
      </c>
      <c r="D255" s="389" t="s">
        <v>187</v>
      </c>
      <c r="E255" s="324">
        <v>0</v>
      </c>
      <c r="F255" s="385"/>
      <c r="G255" s="153" t="s">
        <v>99</v>
      </c>
      <c r="H255" s="7" t="s">
        <v>60</v>
      </c>
      <c r="I255" s="395">
        <f>IF((E245-E261)&gt;0,E245-E261,0)</f>
        <v>0</v>
      </c>
      <c r="J255" s="395">
        <f>IF((E245-E261)&lt;0,E245-E261,0)</f>
        <v>-19013.619999999995</v>
      </c>
    </row>
    <row r="256" spans="1:10" s="384" customFormat="1" ht="15.75">
      <c r="A256" s="2" t="s">
        <v>24</v>
      </c>
      <c r="B256" s="17">
        <v>132</v>
      </c>
      <c r="C256" s="253"/>
      <c r="D256" s="121"/>
      <c r="E256" s="324">
        <v>0</v>
      </c>
      <c r="F256" s="385"/>
      <c r="G256" s="153" t="s">
        <v>10</v>
      </c>
      <c r="H256" s="7" t="s">
        <v>58</v>
      </c>
      <c r="I256" s="7"/>
      <c r="J256" s="460"/>
    </row>
    <row r="257" spans="1:10" s="384" customFormat="1" ht="16.5" thickBot="1">
      <c r="A257" s="2" t="s">
        <v>24</v>
      </c>
      <c r="B257" s="17" t="s">
        <v>61</v>
      </c>
      <c r="C257" s="253"/>
      <c r="D257" s="121"/>
      <c r="E257" s="324">
        <v>0</v>
      </c>
      <c r="F257" s="385"/>
      <c r="G257" s="154" t="s">
        <v>100</v>
      </c>
      <c r="H257" s="147" t="s">
        <v>62</v>
      </c>
      <c r="I257" s="462">
        <f>IF((E263-E245)&gt;0,E263-E245,0)</f>
        <v>19107.459999999992</v>
      </c>
      <c r="J257" s="107">
        <f>IF((E263-E245)&lt;0,E263-E245,0)</f>
        <v>0</v>
      </c>
    </row>
    <row r="258" spans="1:10" s="384" customFormat="1" ht="15.75">
      <c r="A258" s="2" t="s">
        <v>156</v>
      </c>
      <c r="B258" s="70"/>
      <c r="C258" s="251"/>
      <c r="D258" s="136"/>
      <c r="E258" s="325">
        <v>19862.850000000002</v>
      </c>
      <c r="F258" s="385"/>
      <c r="G258" s="7"/>
      <c r="H258" s="7"/>
      <c r="I258" s="8"/>
      <c r="J258" s="260">
        <f>ROUND(SUM(I253:J257),2)</f>
        <v>0</v>
      </c>
    </row>
    <row r="259" spans="1:10" s="384" customFormat="1" ht="16.5" thickBot="1">
      <c r="B259" s="6"/>
      <c r="C259" s="254">
        <f>SUM(C250:C258)</f>
        <v>5893546</v>
      </c>
      <c r="D259" s="155"/>
      <c r="E259" s="326">
        <f>SUM(E250:E258)</f>
        <v>19013.620000000003</v>
      </c>
      <c r="F259" s="385"/>
      <c r="G259" s="7"/>
      <c r="H259" s="7"/>
      <c r="I259" s="7"/>
      <c r="J259" s="7"/>
    </row>
    <row r="260" spans="1:10" s="384" customFormat="1" ht="16.5" thickTop="1">
      <c r="B260" s="6"/>
      <c r="C260" s="255"/>
      <c r="D260" s="66" t="s">
        <v>161</v>
      </c>
      <c r="E260" s="327">
        <v>0</v>
      </c>
      <c r="F260" s="385">
        <f>E251+E250</f>
        <v>-849.23</v>
      </c>
      <c r="G260" s="65" t="s">
        <v>158</v>
      </c>
      <c r="H260" s="7"/>
      <c r="I260" s="12"/>
      <c r="J260" s="12"/>
    </row>
    <row r="261" spans="1:10" s="384" customFormat="1" ht="15.75">
      <c r="C261" s="317">
        <f>C259-C260</f>
        <v>5893546</v>
      </c>
      <c r="D261" s="66" t="s">
        <v>87</v>
      </c>
      <c r="E261" s="326">
        <f>E259+E260+E245</f>
        <v>122109.91447091225</v>
      </c>
      <c r="F261" s="385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4" customFormat="1" ht="15.75">
      <c r="C262" s="50"/>
      <c r="D262" s="225">
        <v>0.01</v>
      </c>
      <c r="E262" s="328">
        <f>ROUND(((E245)+(E259)/2)*(D262/12),2)</f>
        <v>93.84</v>
      </c>
      <c r="F262" s="385"/>
      <c r="G262" s="65"/>
      <c r="H262" s="7"/>
      <c r="I262" s="10"/>
      <c r="J262" s="10"/>
    </row>
    <row r="263" spans="1:10" s="384" customFormat="1" ht="16.5" thickBot="1">
      <c r="A263" s="5"/>
      <c r="B263" s="5"/>
      <c r="C263" s="50" t="s">
        <v>1</v>
      </c>
      <c r="D263" s="143">
        <f>A248</f>
        <v>41578</v>
      </c>
      <c r="E263" s="329">
        <f>SUM(E261:E262)</f>
        <v>122203.75447091224</v>
      </c>
      <c r="F263" s="385"/>
      <c r="G263" s="7"/>
      <c r="H263" s="7"/>
      <c r="I263" s="8"/>
      <c r="J263" s="7"/>
    </row>
    <row r="264" spans="1:10" s="384" customFormat="1" ht="16.5" thickTop="1" thickBot="1">
      <c r="E264" s="320"/>
    </row>
    <row r="265" spans="1:10" s="384" customFormat="1" ht="15.75">
      <c r="A265" s="73" t="s">
        <v>142</v>
      </c>
      <c r="B265" s="74"/>
      <c r="C265" s="75"/>
      <c r="D265" s="76"/>
      <c r="E265" s="321"/>
      <c r="G265" s="16"/>
      <c r="H265" s="5"/>
      <c r="I265" s="56"/>
      <c r="J265" s="56"/>
    </row>
    <row r="266" spans="1:10" s="384" customFormat="1" ht="15.75">
      <c r="A266" s="219">
        <f>EOMONTH(A248,1)</f>
        <v>41608</v>
      </c>
      <c r="B266" s="71"/>
      <c r="C266" s="16"/>
      <c r="D266" s="72" t="s">
        <v>23</v>
      </c>
      <c r="E266" s="322" t="s">
        <v>21</v>
      </c>
      <c r="G266" s="5"/>
      <c r="H266" s="5"/>
      <c r="I266" s="8"/>
      <c r="J266" s="10"/>
    </row>
    <row r="267" spans="1:10" s="384" customFormat="1" ht="16.5" thickBot="1">
      <c r="A267" s="14"/>
      <c r="B267" s="18"/>
      <c r="C267" s="131" t="s">
        <v>21</v>
      </c>
      <c r="D267" s="131" t="s">
        <v>22</v>
      </c>
      <c r="E267" s="323" t="s">
        <v>23</v>
      </c>
      <c r="F267" s="385"/>
      <c r="G267" s="7"/>
      <c r="H267" s="7"/>
      <c r="I267" s="10"/>
      <c r="J267" s="10"/>
    </row>
    <row r="268" spans="1:10" s="384" customFormat="1" ht="15.75">
      <c r="A268" s="2" t="s">
        <v>24</v>
      </c>
      <c r="B268" s="17">
        <v>101</v>
      </c>
      <c r="C268" s="252">
        <v>7085932</v>
      </c>
      <c r="D268" s="389" t="s">
        <v>187</v>
      </c>
      <c r="E268" s="324">
        <v>-478.93</v>
      </c>
      <c r="F268" s="385"/>
      <c r="G268" s="7"/>
      <c r="H268" s="7"/>
      <c r="I268" s="8"/>
      <c r="J268" s="7"/>
    </row>
    <row r="269" spans="1:10" s="384" customFormat="1" ht="16.5" thickBot="1">
      <c r="A269" s="2" t="s">
        <v>24</v>
      </c>
      <c r="B269" s="17">
        <v>111</v>
      </c>
      <c r="C269" s="252">
        <v>2422167</v>
      </c>
      <c r="D269" s="389" t="s">
        <v>187</v>
      </c>
      <c r="E269" s="324">
        <v>80.569999999999993</v>
      </c>
      <c r="F269" s="385"/>
      <c r="G269" s="146">
        <f>A266</f>
        <v>41608</v>
      </c>
      <c r="H269" s="147"/>
      <c r="I269" s="147"/>
      <c r="J269" s="147"/>
    </row>
    <row r="270" spans="1:10" s="384" customFormat="1" ht="16.5" thickBot="1">
      <c r="A270" s="2" t="s">
        <v>24</v>
      </c>
      <c r="B270" s="17">
        <v>112</v>
      </c>
      <c r="C270" s="252"/>
      <c r="D270" s="389"/>
      <c r="E270" s="324">
        <v>0</v>
      </c>
      <c r="F270" s="385"/>
      <c r="G270" s="102" t="s">
        <v>25</v>
      </c>
      <c r="H270" s="148"/>
      <c r="I270" s="149" t="s">
        <v>18</v>
      </c>
      <c r="J270" s="150" t="s">
        <v>19</v>
      </c>
    </row>
    <row r="271" spans="1:10" s="384" customFormat="1" ht="15.75">
      <c r="A271" s="2" t="s">
        <v>24</v>
      </c>
      <c r="B271" s="17">
        <v>121</v>
      </c>
      <c r="C271" s="252"/>
      <c r="D271" s="220"/>
      <c r="E271" s="324">
        <v>0</v>
      </c>
      <c r="F271" s="385"/>
      <c r="G271" s="151" t="s">
        <v>28</v>
      </c>
      <c r="H271" s="152" t="s">
        <v>77</v>
      </c>
      <c r="I271" s="108"/>
      <c r="J271" s="394">
        <f>IF(E280&gt;0,-E280,0)</f>
        <v>-101.67</v>
      </c>
    </row>
    <row r="272" spans="1:10" s="384" customFormat="1" ht="15.75">
      <c r="A272" s="2" t="s">
        <v>24</v>
      </c>
      <c r="B272" s="17">
        <v>122</v>
      </c>
      <c r="C272" s="253"/>
      <c r="D272" s="220"/>
      <c r="E272" s="324">
        <v>0</v>
      </c>
      <c r="F272" s="385"/>
      <c r="G272" s="153" t="s">
        <v>29</v>
      </c>
      <c r="H272" s="7" t="s">
        <v>78</v>
      </c>
      <c r="I272" s="395">
        <f>IF(E280&lt;0,-E280,0)</f>
        <v>0</v>
      </c>
      <c r="J272" s="222"/>
    </row>
    <row r="273" spans="1:10" s="384" customFormat="1" ht="15.75">
      <c r="A273" s="2" t="s">
        <v>24</v>
      </c>
      <c r="B273" s="17">
        <v>131</v>
      </c>
      <c r="C273" s="252">
        <v>0</v>
      </c>
      <c r="D273" s="389" t="s">
        <v>187</v>
      </c>
      <c r="E273" s="324">
        <v>0</v>
      </c>
      <c r="F273" s="385"/>
      <c r="G273" s="153" t="s">
        <v>99</v>
      </c>
      <c r="H273" s="7" t="s">
        <v>60</v>
      </c>
      <c r="I273" s="395">
        <f>IF((E263-E279)&gt;0,E263-E279,0)</f>
        <v>398.36000000000058</v>
      </c>
      <c r="J273" s="395">
        <f>IF((E263-E279)&lt;0,E263-E279,0)</f>
        <v>0</v>
      </c>
    </row>
    <row r="274" spans="1:10" s="384" customFormat="1" ht="15.75">
      <c r="A274" s="2" t="s">
        <v>24</v>
      </c>
      <c r="B274" s="17">
        <v>132</v>
      </c>
      <c r="C274" s="253"/>
      <c r="D274" s="121"/>
      <c r="E274" s="324">
        <v>0</v>
      </c>
      <c r="F274" s="385"/>
      <c r="G274" s="153" t="s">
        <v>10</v>
      </c>
      <c r="H274" s="7" t="s">
        <v>58</v>
      </c>
      <c r="I274" s="7"/>
      <c r="J274" s="460"/>
    </row>
    <row r="275" spans="1:10" s="384" customFormat="1" ht="16.5" thickBot="1">
      <c r="A275" s="2" t="s">
        <v>24</v>
      </c>
      <c r="B275" s="17" t="s">
        <v>61</v>
      </c>
      <c r="C275" s="253"/>
      <c r="D275" s="121"/>
      <c r="E275" s="324">
        <v>0</v>
      </c>
      <c r="F275" s="385"/>
      <c r="G275" s="154" t="s">
        <v>100</v>
      </c>
      <c r="H275" s="147" t="s">
        <v>62</v>
      </c>
      <c r="I275" s="462">
        <f>IF((E281-E263)&gt;0,E281-E263,0)</f>
        <v>0</v>
      </c>
      <c r="J275" s="107">
        <f>IF((E281-E263)&lt;0,E281-E263,0)</f>
        <v>-296.69000000000233</v>
      </c>
    </row>
    <row r="276" spans="1:10" s="384" customFormat="1" ht="15.75">
      <c r="A276" s="2" t="s">
        <v>156</v>
      </c>
      <c r="B276" s="70"/>
      <c r="C276" s="251"/>
      <c r="D276" s="136"/>
      <c r="E276" s="325">
        <v>0</v>
      </c>
      <c r="F276" s="385"/>
      <c r="G276" s="7"/>
      <c r="H276" s="7"/>
      <c r="I276" s="8"/>
      <c r="J276" s="260">
        <f>ROUND(SUM(I271:J275),2)</f>
        <v>0</v>
      </c>
    </row>
    <row r="277" spans="1:10" s="384" customFormat="1" ht="16.5" thickBot="1">
      <c r="B277" s="6"/>
      <c r="C277" s="254">
        <f>SUM(C268:C276)</f>
        <v>9508099</v>
      </c>
      <c r="D277" s="155"/>
      <c r="E277" s="326">
        <f>SUM(E268:E276)</f>
        <v>-398.36</v>
      </c>
      <c r="F277" s="385"/>
      <c r="G277" s="7"/>
      <c r="H277" s="7"/>
      <c r="I277" s="7"/>
      <c r="J277" s="7"/>
    </row>
    <row r="278" spans="1:10" s="384" customFormat="1" ht="16.5" thickTop="1">
      <c r="B278" s="6"/>
      <c r="C278" s="255">
        <v>9508099</v>
      </c>
      <c r="D278" s="66" t="s">
        <v>161</v>
      </c>
      <c r="E278" s="327">
        <v>0</v>
      </c>
      <c r="F278" s="385"/>
      <c r="G278" s="65" t="s">
        <v>158</v>
      </c>
      <c r="H278" s="7"/>
      <c r="I278" s="12"/>
      <c r="J278" s="12"/>
    </row>
    <row r="279" spans="1:10" s="384" customFormat="1" ht="15.75">
      <c r="C279" s="317">
        <f>C277-C278</f>
        <v>0</v>
      </c>
      <c r="D279" s="66" t="s">
        <v>87</v>
      </c>
      <c r="E279" s="326">
        <f>E277+E278+E263</f>
        <v>121805.39447091224</v>
      </c>
      <c r="F279" s="385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4" customFormat="1" ht="15.75">
      <c r="C280" s="50"/>
      <c r="D280" s="225">
        <v>0.01</v>
      </c>
      <c r="E280" s="328">
        <f>ROUND(((E263)+(E277)/2)*(D280/12),2)</f>
        <v>101.67</v>
      </c>
      <c r="F280" s="385"/>
      <c r="G280" s="65"/>
      <c r="H280" s="7"/>
      <c r="I280" s="10"/>
      <c r="J280" s="10"/>
    </row>
    <row r="281" spans="1:10" s="384" customFormat="1" ht="16.5" thickBot="1">
      <c r="A281" s="5"/>
      <c r="B281" s="5"/>
      <c r="C281" s="50" t="s">
        <v>1</v>
      </c>
      <c r="D281" s="143">
        <f>A266</f>
        <v>41608</v>
      </c>
      <c r="E281" s="329">
        <f>SUM(E279:E280)</f>
        <v>121907.06447091224</v>
      </c>
      <c r="F281" s="385"/>
      <c r="G281" s="7"/>
      <c r="H281" s="7"/>
      <c r="I281" s="8"/>
      <c r="J281" s="7"/>
    </row>
    <row r="282" spans="1:10" s="384" customFormat="1" ht="16.5" thickTop="1" thickBot="1">
      <c r="E282" s="320"/>
    </row>
    <row r="283" spans="1:10" s="384" customFormat="1" ht="15.75">
      <c r="A283" s="73" t="s">
        <v>142</v>
      </c>
      <c r="B283" s="74"/>
      <c r="C283" s="75"/>
      <c r="D283" s="76"/>
      <c r="E283" s="321"/>
      <c r="G283" s="16"/>
      <c r="H283" s="5"/>
      <c r="I283" s="56"/>
      <c r="J283" s="56"/>
    </row>
    <row r="284" spans="1:10" s="384" customFormat="1" ht="15.75">
      <c r="A284" s="219">
        <f>EOMONTH(A266,1)</f>
        <v>41639</v>
      </c>
      <c r="B284" s="71"/>
      <c r="C284" s="16"/>
      <c r="D284" s="72" t="s">
        <v>23</v>
      </c>
      <c r="E284" s="322" t="s">
        <v>21</v>
      </c>
      <c r="G284" s="5"/>
      <c r="H284" s="5"/>
      <c r="I284" s="8"/>
      <c r="J284" s="10"/>
    </row>
    <row r="285" spans="1:10" s="384" customFormat="1" ht="16.5" thickBot="1">
      <c r="A285" s="14"/>
      <c r="B285" s="18"/>
      <c r="C285" s="131" t="s">
        <v>21</v>
      </c>
      <c r="D285" s="131" t="s">
        <v>22</v>
      </c>
      <c r="E285" s="323" t="s">
        <v>23</v>
      </c>
      <c r="F285" s="385"/>
      <c r="G285" s="7"/>
      <c r="H285" s="7"/>
      <c r="I285" s="10"/>
      <c r="J285" s="10"/>
    </row>
    <row r="286" spans="1:10" s="384" customFormat="1" ht="15.75">
      <c r="A286" s="2" t="s">
        <v>24</v>
      </c>
      <c r="B286" s="17">
        <v>101</v>
      </c>
      <c r="C286" s="252">
        <f>Jan!$K$23</f>
        <v>12030330</v>
      </c>
      <c r="D286" s="389">
        <v>-1.4999999999999999E-4</v>
      </c>
      <c r="E286" s="324">
        <f>C286*D286</f>
        <v>-1804.5494999999999</v>
      </c>
      <c r="F286" s="385"/>
      <c r="G286" s="7"/>
      <c r="H286" s="7"/>
      <c r="I286" s="8"/>
      <c r="J286" s="7"/>
    </row>
    <row r="287" spans="1:10" s="384" customFormat="1" ht="16.5" thickBot="1">
      <c r="A287" s="2" t="s">
        <v>24</v>
      </c>
      <c r="B287" s="17">
        <v>111</v>
      </c>
      <c r="C287" s="252">
        <f>Jan!$K$24</f>
        <v>3930876</v>
      </c>
      <c r="D287" s="389">
        <v>-1.4999999999999999E-4</v>
      </c>
      <c r="E287" s="324">
        <f t="shared" ref="E287:E293" si="5">C287*D287</f>
        <v>-589.63139999999999</v>
      </c>
      <c r="F287" s="385"/>
      <c r="G287" s="146">
        <f>A284</f>
        <v>41639</v>
      </c>
      <c r="H287" s="147"/>
      <c r="I287" s="147"/>
      <c r="J287" s="147"/>
    </row>
    <row r="288" spans="1:10" s="384" customFormat="1" ht="16.5" thickBot="1">
      <c r="A288" s="2" t="s">
        <v>24</v>
      </c>
      <c r="B288" s="17">
        <v>112</v>
      </c>
      <c r="C288" s="252"/>
      <c r="D288" s="389"/>
      <c r="E288" s="324">
        <f t="shared" si="5"/>
        <v>0</v>
      </c>
      <c r="F288" s="385"/>
      <c r="G288" s="102" t="s">
        <v>25</v>
      </c>
      <c r="H288" s="148"/>
      <c r="I288" s="149" t="s">
        <v>18</v>
      </c>
      <c r="J288" s="150" t="s">
        <v>19</v>
      </c>
    </row>
    <row r="289" spans="1:10" s="384" customFormat="1" ht="15.75">
      <c r="A289" s="2" t="s">
        <v>24</v>
      </c>
      <c r="B289" s="17">
        <v>121</v>
      </c>
      <c r="C289" s="252"/>
      <c r="D289" s="220"/>
      <c r="E289" s="324">
        <f t="shared" si="5"/>
        <v>0</v>
      </c>
      <c r="F289" s="385"/>
      <c r="G289" s="151" t="s">
        <v>28</v>
      </c>
      <c r="H289" s="152" t="s">
        <v>77</v>
      </c>
      <c r="I289" s="108"/>
      <c r="J289" s="394">
        <f>IF(E298&gt;0,-E298,0)</f>
        <v>-100.59</v>
      </c>
    </row>
    <row r="290" spans="1:10" s="384" customFormat="1" ht="15.75">
      <c r="A290" s="2" t="s">
        <v>24</v>
      </c>
      <c r="B290" s="17">
        <v>122</v>
      </c>
      <c r="C290" s="253"/>
      <c r="D290" s="220"/>
      <c r="E290" s="324">
        <f t="shared" si="5"/>
        <v>0</v>
      </c>
      <c r="F290" s="385"/>
      <c r="G290" s="153" t="s">
        <v>29</v>
      </c>
      <c r="H290" s="7" t="s">
        <v>78</v>
      </c>
      <c r="I290" s="395">
        <f>IF(E298&lt;0,-E298,0)</f>
        <v>0</v>
      </c>
      <c r="J290" s="222"/>
    </row>
    <row r="291" spans="1:10" s="384" customFormat="1" ht="15.75">
      <c r="A291" s="2" t="s">
        <v>24</v>
      </c>
      <c r="B291" s="17">
        <v>131</v>
      </c>
      <c r="C291" s="252">
        <f>Jan!$K$41</f>
        <v>0</v>
      </c>
      <c r="D291" s="389">
        <v>1.042E-2</v>
      </c>
      <c r="E291" s="324">
        <f t="shared" si="5"/>
        <v>0</v>
      </c>
      <c r="F291" s="385"/>
      <c r="G291" s="153" t="s">
        <v>99</v>
      </c>
      <c r="H291" s="7" t="s">
        <v>60</v>
      </c>
      <c r="I291" s="395">
        <f>IF((E281-E297)&gt;0,E281-E297,0)</f>
        <v>2394.1809000000067</v>
      </c>
      <c r="J291" s="395">
        <f>IF((E281-E297)&lt;0,E281-E297,0)</f>
        <v>0</v>
      </c>
    </row>
    <row r="292" spans="1:10" s="384" customFormat="1" ht="15.75">
      <c r="A292" s="2" t="s">
        <v>24</v>
      </c>
      <c r="B292" s="17">
        <v>132</v>
      </c>
      <c r="C292" s="253"/>
      <c r="D292" s="121"/>
      <c r="E292" s="324">
        <f t="shared" si="5"/>
        <v>0</v>
      </c>
      <c r="F292" s="385"/>
      <c r="G292" s="153" t="s">
        <v>10</v>
      </c>
      <c r="H292" s="7" t="s">
        <v>58</v>
      </c>
      <c r="I292" s="7"/>
      <c r="J292" s="460"/>
    </row>
    <row r="293" spans="1:10" s="384" customFormat="1" ht="16.5" thickBot="1">
      <c r="A293" s="2" t="s">
        <v>24</v>
      </c>
      <c r="B293" s="17" t="s">
        <v>61</v>
      </c>
      <c r="C293" s="253"/>
      <c r="D293" s="121"/>
      <c r="E293" s="324">
        <f t="shared" si="5"/>
        <v>0</v>
      </c>
      <c r="F293" s="385"/>
      <c r="G293" s="154" t="s">
        <v>100</v>
      </c>
      <c r="H293" s="147" t="s">
        <v>62</v>
      </c>
      <c r="I293" s="462">
        <f>IF((E299-E281)&gt;0,E299-E281,0)</f>
        <v>0</v>
      </c>
      <c r="J293" s="107">
        <f>IF((E299-E281)&lt;0,E299-E281,0)</f>
        <v>-2293.5909000000102</v>
      </c>
    </row>
    <row r="294" spans="1:10" s="384" customFormat="1" ht="15.75">
      <c r="A294" s="2" t="s">
        <v>156</v>
      </c>
      <c r="B294" s="70"/>
      <c r="C294" s="251"/>
      <c r="D294" s="136"/>
      <c r="E294" s="325">
        <v>0</v>
      </c>
      <c r="F294" s="385"/>
      <c r="G294" s="7"/>
      <c r="H294" s="7"/>
      <c r="I294" s="8"/>
      <c r="J294" s="260">
        <f>ROUND(SUM(I289:J293),2)</f>
        <v>0</v>
      </c>
    </row>
    <row r="295" spans="1:10" s="384" customFormat="1" ht="16.5" thickBot="1">
      <c r="B295" s="6"/>
      <c r="C295" s="254">
        <f>SUM(C286:C294)</f>
        <v>15961206</v>
      </c>
      <c r="D295" s="155"/>
      <c r="E295" s="326">
        <f>SUM(E286:E294)</f>
        <v>-2394.1808999999998</v>
      </c>
      <c r="F295" s="385"/>
      <c r="G295" s="7"/>
      <c r="H295" s="7"/>
      <c r="I295" s="7"/>
      <c r="J295" s="7"/>
    </row>
    <row r="296" spans="1:10" s="384" customFormat="1" ht="16.5" thickTop="1">
      <c r="B296" s="6"/>
      <c r="C296" s="255">
        <v>13760186</v>
      </c>
      <c r="D296" s="66" t="s">
        <v>161</v>
      </c>
      <c r="E296" s="327">
        <v>0</v>
      </c>
      <c r="F296" s="385"/>
      <c r="G296" s="65" t="s">
        <v>158</v>
      </c>
      <c r="H296" s="7"/>
      <c r="I296" s="12"/>
      <c r="J296" s="12"/>
    </row>
    <row r="297" spans="1:10" s="384" customFormat="1" ht="15.75">
      <c r="C297" s="317">
        <f>C295-C296</f>
        <v>2201020</v>
      </c>
      <c r="D297" s="66" t="s">
        <v>87</v>
      </c>
      <c r="E297" s="326">
        <f>E295+E296+E281</f>
        <v>119512.88357091224</v>
      </c>
      <c r="F297" s="385"/>
      <c r="G297" s="8">
        <f>(E279*(D298/12))+(E295*(D298/24))</f>
        <v>100.50692001742688</v>
      </c>
      <c r="H297" s="7">
        <f>E298-G297</f>
        <v>8.3079982573124767E-2</v>
      </c>
      <c r="I297" s="8"/>
      <c r="J297" s="10"/>
    </row>
    <row r="298" spans="1:10" s="384" customFormat="1" ht="15.75">
      <c r="C298" s="50"/>
      <c r="D298" s="225">
        <v>0.01</v>
      </c>
      <c r="E298" s="328">
        <f>ROUND(((E281)+(E295)/2)*(D298/12),2)</f>
        <v>100.59</v>
      </c>
      <c r="F298" s="385"/>
      <c r="G298" s="65"/>
      <c r="H298" s="7"/>
      <c r="I298" s="10"/>
      <c r="J298" s="10"/>
    </row>
    <row r="299" spans="1:10" s="384" customFormat="1" ht="16.5" thickBot="1">
      <c r="A299" s="5"/>
      <c r="B299" s="5"/>
      <c r="C299" s="50" t="s">
        <v>1</v>
      </c>
      <c r="D299" s="143">
        <f>A284</f>
        <v>41639</v>
      </c>
      <c r="E299" s="329">
        <f>SUM(E297:E298)</f>
        <v>119613.47357091223</v>
      </c>
      <c r="F299" s="385"/>
      <c r="G299" s="475" t="s">
        <v>244</v>
      </c>
      <c r="H299" s="476" t="e">
        <f>_xll.Get_Balance(I299,"YTD","USD","Total","A","","001","191000","GD","ID","DL")-E299</f>
        <v>#VALUE!</v>
      </c>
      <c r="I299" s="477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1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3"/>
      <c r="O8" s="333"/>
      <c r="P8" s="333"/>
      <c r="Q8" s="333"/>
      <c r="R8" s="19"/>
    </row>
    <row r="9" spans="1:18" s="384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5"/>
      <c r="O9" s="385"/>
      <c r="P9" s="385"/>
      <c r="Q9" s="385"/>
      <c r="R9" s="385"/>
    </row>
    <row r="10" spans="1:18" s="384" customFormat="1" ht="15.75">
      <c r="A10" s="256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4" customFormat="1" ht="16.5" thickBot="1">
      <c r="A11" s="256"/>
      <c r="B11" s="161" t="s">
        <v>210</v>
      </c>
      <c r="C11" s="390">
        <f>SUM(C8:C10)</f>
        <v>1284248.2439077934</v>
      </c>
      <c r="D11" s="390">
        <f>SUM(D8:D10)</f>
        <v>-2588095.0262362086</v>
      </c>
      <c r="E11" s="390">
        <f>SUM(E8:E10)</f>
        <v>3943363.3301439993</v>
      </c>
      <c r="F11" s="390">
        <f>SUM(F8:F10)</f>
        <v>-71020.060000000012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f>SUM(L8:L10)</f>
        <v>0</v>
      </c>
      <c r="M11" s="390"/>
      <c r="N11" s="390"/>
      <c r="O11" s="202"/>
      <c r="P11" s="202"/>
      <c r="Q11" s="202"/>
      <c r="R11" s="202"/>
    </row>
    <row r="12" spans="1:18" ht="16.5" thickTop="1" thickBot="1"/>
    <row r="13" spans="1:18" s="384" customFormat="1" ht="16.5" thickBot="1">
      <c r="A13" s="58">
        <v>41243</v>
      </c>
      <c r="B13" s="59" t="s">
        <v>84</v>
      </c>
      <c r="C13" s="50">
        <f>SUM(D13:L13)</f>
        <v>1615352.97</v>
      </c>
      <c r="D13" s="244">
        <v>1685691.83</v>
      </c>
      <c r="E13" s="244">
        <v>-70338.86</v>
      </c>
      <c r="F13" s="161">
        <v>0</v>
      </c>
      <c r="G13" s="161"/>
      <c r="H13" s="161"/>
      <c r="I13" s="161"/>
      <c r="J13" s="388"/>
      <c r="K13" s="161"/>
      <c r="L13" s="161">
        <v>0</v>
      </c>
      <c r="M13" s="133"/>
      <c r="N13" s="50"/>
      <c r="O13" s="336" t="s">
        <v>106</v>
      </c>
      <c r="P13" s="93"/>
      <c r="Q13" s="93"/>
      <c r="R13" s="94"/>
    </row>
    <row r="14" spans="1:18" s="384" customFormat="1" ht="15.75">
      <c r="A14" s="58"/>
      <c r="B14" s="59" t="s">
        <v>148</v>
      </c>
      <c r="C14" s="50">
        <f>SUM(D14:F14)</f>
        <v>0</v>
      </c>
      <c r="D14" s="241"/>
      <c r="E14" s="241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7" t="s">
        <v>211</v>
      </c>
      <c r="P14" s="339" t="s">
        <v>27</v>
      </c>
      <c r="Q14" s="335">
        <v>0</v>
      </c>
      <c r="R14" s="337">
        <f>-C10</f>
        <v>-7340824.0093394704</v>
      </c>
    </row>
    <row r="15" spans="1:18" s="384" customFormat="1" ht="15.75">
      <c r="A15" s="58"/>
      <c r="B15" s="20" t="s">
        <v>157</v>
      </c>
      <c r="C15" s="50">
        <f>SUM(D15:L15)</f>
        <v>0</v>
      </c>
      <c r="D15" s="242">
        <v>0</v>
      </c>
      <c r="E15" s="241"/>
      <c r="F15" s="161"/>
      <c r="G15" s="161"/>
      <c r="H15" s="161"/>
      <c r="I15" s="161"/>
      <c r="J15" s="161"/>
      <c r="K15" s="161"/>
      <c r="L15" s="161"/>
      <c r="M15" s="133"/>
      <c r="N15" s="50"/>
      <c r="O15" s="334" t="s">
        <v>79</v>
      </c>
      <c r="P15" s="339" t="s">
        <v>17</v>
      </c>
      <c r="Q15" s="335">
        <f>IF((-C8+C19)&gt;0,(-C8+C19),0)</f>
        <v>8961842.60933947</v>
      </c>
      <c r="R15" s="337">
        <f>IF((-C8+C19)&lt;0,(-C8+C19),0)</f>
        <v>0</v>
      </c>
    </row>
    <row r="16" spans="1:18" s="384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3">
        <v>0</v>
      </c>
      <c r="M16" s="134"/>
      <c r="N16" s="50"/>
      <c r="O16" s="340" t="s">
        <v>80</v>
      </c>
      <c r="P16" s="339" t="s">
        <v>20</v>
      </c>
      <c r="Q16" s="112">
        <f>IF((C13+C14)&lt;0,(-C13-C14),0)</f>
        <v>0</v>
      </c>
      <c r="R16" s="337">
        <f>IF((C13+C14)&gt;0,(-C13-C14),0)</f>
        <v>-1615352.97</v>
      </c>
    </row>
    <row r="17" spans="1:18" s="384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3">
        <v>0</v>
      </c>
      <c r="M17" s="134"/>
      <c r="N17" s="50"/>
      <c r="O17" s="342" t="s">
        <v>82</v>
      </c>
      <c r="P17" s="339" t="s">
        <v>75</v>
      </c>
      <c r="Q17" s="344">
        <v>0</v>
      </c>
      <c r="R17" s="337">
        <f>IF(C18&gt;0,-C18,0)</f>
        <v>-5665.63</v>
      </c>
    </row>
    <row r="18" spans="1:18" s="384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5"/>
      <c r="M18" s="237">
        <v>3.2500000000000001E-2</v>
      </c>
      <c r="N18" s="50"/>
      <c r="O18" s="343" t="s">
        <v>83</v>
      </c>
      <c r="P18" s="341" t="s">
        <v>76</v>
      </c>
      <c r="Q18" s="116">
        <f>IF(-C18&gt;0,-C18,0)</f>
        <v>0</v>
      </c>
      <c r="R18" s="116">
        <f>IF(C18&gt;0,0,0)</f>
        <v>0</v>
      </c>
    </row>
    <row r="19" spans="1:18" s="384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5"/>
      <c r="O19" s="385"/>
      <c r="P19" s="385"/>
      <c r="Q19" s="385"/>
      <c r="R19" s="338">
        <f>ROUND(SUM(Q14:R18),2)</f>
        <v>0</v>
      </c>
    </row>
    <row r="20" spans="1:18" ht="16.5" thickTop="1" thickBot="1"/>
    <row r="21" spans="1:18" s="384" customFormat="1" ht="16.5" thickBot="1">
      <c r="A21" s="58">
        <v>41274</v>
      </c>
      <c r="B21" s="59" t="s">
        <v>84</v>
      </c>
      <c r="C21" s="50">
        <f>SUM(D21:L21)</f>
        <v>338391.8734309976</v>
      </c>
      <c r="D21" s="244">
        <v>1143938.5575779974</v>
      </c>
      <c r="E21" s="244">
        <v>-805546.68414699985</v>
      </c>
      <c r="F21" s="161">
        <v>0</v>
      </c>
      <c r="G21" s="161"/>
      <c r="H21" s="161"/>
      <c r="I21" s="161"/>
      <c r="J21" s="388"/>
      <c r="K21" s="161"/>
      <c r="L21" s="161">
        <v>0</v>
      </c>
      <c r="M21" s="133"/>
      <c r="N21" s="50"/>
      <c r="O21" s="336" t="s">
        <v>106</v>
      </c>
      <c r="P21" s="93"/>
      <c r="Q21" s="93"/>
      <c r="R21" s="94"/>
    </row>
    <row r="22" spans="1:18" s="384" customFormat="1" ht="15.75">
      <c r="A22" s="58"/>
      <c r="B22" s="59" t="s">
        <v>148</v>
      </c>
      <c r="C22" s="50">
        <f>SUM(D22:F22)</f>
        <v>0</v>
      </c>
      <c r="D22" s="241"/>
      <c r="E22" s="241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7" t="s">
        <v>211</v>
      </c>
      <c r="P22" s="339" t="s">
        <v>27</v>
      </c>
      <c r="Q22" s="335">
        <v>0</v>
      </c>
      <c r="R22" s="337">
        <v>0</v>
      </c>
    </row>
    <row r="23" spans="1:18" s="384" customFormat="1" ht="15.75">
      <c r="A23" s="58"/>
      <c r="B23" s="20" t="s">
        <v>157</v>
      </c>
      <c r="C23" s="50">
        <f>SUM(D23:L23)</f>
        <v>0</v>
      </c>
      <c r="D23" s="242">
        <v>0</v>
      </c>
      <c r="E23" s="241"/>
      <c r="F23" s="161"/>
      <c r="G23" s="161"/>
      <c r="H23" s="161"/>
      <c r="I23" s="161"/>
      <c r="J23" s="161"/>
      <c r="K23" s="161"/>
      <c r="L23" s="161"/>
      <c r="M23" s="133"/>
      <c r="N23" s="50"/>
      <c r="O23" s="334" t="s">
        <v>79</v>
      </c>
      <c r="P23" s="339" t="s">
        <v>17</v>
      </c>
      <c r="Q23" s="335">
        <f>IF((-C19+C27)&gt;0,(-C19+C27),0)</f>
        <v>346718.54343099752</v>
      </c>
      <c r="R23" s="337">
        <f>IF((-C16+C27)&lt;0,(-C16+C27),0)</f>
        <v>0</v>
      </c>
    </row>
    <row r="24" spans="1:18" s="384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3">
        <v>0</v>
      </c>
      <c r="M24" s="134"/>
      <c r="N24" s="50"/>
      <c r="O24" s="340" t="s">
        <v>80</v>
      </c>
      <c r="P24" s="339" t="s">
        <v>20</v>
      </c>
      <c r="Q24" s="112">
        <f>IF((C21+C22)&lt;0,(-C21-C22),0)</f>
        <v>0</v>
      </c>
      <c r="R24" s="337">
        <f>IF((C21+C22)&gt;0,(-C21-C22),0)</f>
        <v>-338391.8734309976</v>
      </c>
    </row>
    <row r="25" spans="1:18" s="384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3">
        <v>0</v>
      </c>
      <c r="M25" s="134"/>
      <c r="N25" s="50"/>
      <c r="O25" s="342" t="s">
        <v>82</v>
      </c>
      <c r="P25" s="339" t="s">
        <v>75</v>
      </c>
      <c r="Q25" s="344">
        <v>0</v>
      </c>
      <c r="R25" s="337">
        <f>IF(C26&gt;0,-C26,0)</f>
        <v>-8326.67</v>
      </c>
    </row>
    <row r="26" spans="1:18" s="384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5"/>
      <c r="M26" s="237">
        <v>3.2500000000000001E-2</v>
      </c>
      <c r="N26" s="50"/>
      <c r="O26" s="343" t="s">
        <v>83</v>
      </c>
      <c r="P26" s="341" t="s">
        <v>76</v>
      </c>
      <c r="Q26" s="116">
        <f>IF(-C26&gt;0,-C26,0)</f>
        <v>0</v>
      </c>
      <c r="R26" s="116">
        <f>IF(C26&gt;0,0,0)</f>
        <v>0</v>
      </c>
    </row>
    <row r="27" spans="1:18" s="384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5"/>
      <c r="O27" s="385"/>
      <c r="P27" s="385"/>
      <c r="Q27" s="385"/>
      <c r="R27" s="338">
        <f>ROUND(SUM(Q22:R26),2)</f>
        <v>0</v>
      </c>
    </row>
    <row r="28" spans="1:18" s="384" customFormat="1" ht="16.5" thickTop="1" thickBot="1">
      <c r="A28" s="53"/>
      <c r="M28" s="52"/>
    </row>
    <row r="29" spans="1:18" s="384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4">
        <v>-1853906.027032</v>
      </c>
      <c r="E29" s="244">
        <v>-1374027.8465099994</v>
      </c>
      <c r="F29" s="161">
        <v>0</v>
      </c>
      <c r="G29" s="161"/>
      <c r="H29" s="161"/>
      <c r="I29" s="161"/>
      <c r="J29" s="388"/>
      <c r="K29" s="161"/>
      <c r="L29" s="161">
        <v>0</v>
      </c>
      <c r="M29" s="133"/>
      <c r="N29" s="50"/>
      <c r="O29" s="336" t="s">
        <v>106</v>
      </c>
      <c r="P29" s="93"/>
      <c r="Q29" s="93"/>
      <c r="R29" s="94"/>
    </row>
    <row r="30" spans="1:18" s="384" customFormat="1" ht="15.75">
      <c r="A30" s="58"/>
      <c r="B30" s="59" t="s">
        <v>148</v>
      </c>
      <c r="C30" s="50">
        <f>SUM(D30:F30)</f>
        <v>0</v>
      </c>
      <c r="D30" s="241"/>
      <c r="E30" s="241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7" t="s">
        <v>211</v>
      </c>
      <c r="P30" s="339" t="s">
        <v>27</v>
      </c>
      <c r="Q30" s="335">
        <v>0</v>
      </c>
      <c r="R30" s="337">
        <v>0</v>
      </c>
    </row>
    <row r="31" spans="1:18" s="384" customFormat="1" ht="15.75">
      <c r="A31" s="58"/>
      <c r="B31" s="20" t="s">
        <v>157</v>
      </c>
      <c r="C31" s="50">
        <f>SUM(D31:L31)</f>
        <v>0</v>
      </c>
      <c r="D31" s="242">
        <v>0</v>
      </c>
      <c r="E31" s="241"/>
      <c r="F31" s="161"/>
      <c r="G31" s="161"/>
      <c r="H31" s="161"/>
      <c r="I31" s="161"/>
      <c r="J31" s="161"/>
      <c r="K31" s="161"/>
      <c r="L31" s="161"/>
      <c r="M31" s="133"/>
      <c r="N31" s="50"/>
      <c r="O31" s="334" t="s">
        <v>79</v>
      </c>
      <c r="P31" s="339" t="s">
        <v>17</v>
      </c>
      <c r="Q31" s="335">
        <f>IF((-C27+C35)&gt;0,(-C27+C35),0)</f>
        <v>0</v>
      </c>
      <c r="R31" s="337">
        <f>IF((-C27+C35)&lt;0,(-C27+C35),0)</f>
        <v>-3223497.5735419998</v>
      </c>
    </row>
    <row r="32" spans="1:18" s="384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3">
        <v>0</v>
      </c>
      <c r="M32" s="134"/>
      <c r="N32" s="50"/>
      <c r="O32" s="340" t="s">
        <v>80</v>
      </c>
      <c r="P32" s="339" t="s">
        <v>20</v>
      </c>
      <c r="Q32" s="112">
        <f>IF((C29+C30)&lt;0,(-C29-C30),0)</f>
        <v>3227933.8735419996</v>
      </c>
      <c r="R32" s="337">
        <f>IF((C29+C30)&gt;0,(-C29-C30),0)</f>
        <v>0</v>
      </c>
    </row>
    <row r="33" spans="1:18" s="384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3">
        <v>0</v>
      </c>
      <c r="M33" s="134"/>
      <c r="N33" s="50"/>
      <c r="O33" s="342" t="s">
        <v>82</v>
      </c>
      <c r="P33" s="339" t="s">
        <v>75</v>
      </c>
      <c r="Q33" s="344">
        <v>0</v>
      </c>
      <c r="R33" s="337">
        <f>IF(C34&gt;0,-C34,0)</f>
        <v>-4436.3</v>
      </c>
    </row>
    <row r="34" spans="1:18" s="384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5"/>
      <c r="M34" s="237">
        <v>3.2500000000000001E-2</v>
      </c>
      <c r="N34" s="50"/>
      <c r="O34" s="343" t="s">
        <v>83</v>
      </c>
      <c r="P34" s="341" t="s">
        <v>76</v>
      </c>
      <c r="Q34" s="116">
        <f>IF(-C34&gt;0,-C34,0)</f>
        <v>0</v>
      </c>
      <c r="R34" s="116">
        <f>IF(C34&gt;0,0,0)</f>
        <v>0</v>
      </c>
    </row>
    <row r="35" spans="1:18" s="384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5"/>
      <c r="O35" s="385"/>
      <c r="P35" s="385"/>
      <c r="Q35" s="385"/>
      <c r="R35" s="338">
        <f>ROUND(SUM(Q30:R34),2)</f>
        <v>0</v>
      </c>
    </row>
    <row r="36" spans="1:18" s="384" customFormat="1" ht="16.5" thickTop="1" thickBot="1">
      <c r="A36" s="53"/>
      <c r="M36" s="52"/>
    </row>
    <row r="37" spans="1:18" s="384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4">
        <v>964027.88181999885</v>
      </c>
      <c r="E37" s="244">
        <v>-736759.80090599996</v>
      </c>
      <c r="F37" s="161">
        <v>0</v>
      </c>
      <c r="G37" s="161"/>
      <c r="H37" s="161"/>
      <c r="I37" s="161"/>
      <c r="J37" s="388"/>
      <c r="K37" s="161"/>
      <c r="L37" s="161">
        <v>0</v>
      </c>
      <c r="M37" s="133"/>
      <c r="N37" s="50"/>
      <c r="O37" s="336" t="s">
        <v>106</v>
      </c>
      <c r="P37" s="93"/>
      <c r="Q37" s="93"/>
      <c r="R37" s="94"/>
    </row>
    <row r="38" spans="1:18" s="384" customFormat="1" ht="15.75">
      <c r="A38" s="58"/>
      <c r="B38" s="59" t="s">
        <v>148</v>
      </c>
      <c r="C38" s="50">
        <f>SUM(D38:F38)</f>
        <v>0</v>
      </c>
      <c r="D38" s="241"/>
      <c r="E38" s="241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7" t="s">
        <v>211</v>
      </c>
      <c r="P38" s="339" t="s">
        <v>27</v>
      </c>
      <c r="Q38" s="335">
        <v>0</v>
      </c>
      <c r="R38" s="337">
        <v>0</v>
      </c>
    </row>
    <row r="39" spans="1:18" s="384" customFormat="1" ht="15.75">
      <c r="A39" s="58"/>
      <c r="B39" s="20" t="s">
        <v>157</v>
      </c>
      <c r="C39" s="50">
        <f>SUM(D39:L39)</f>
        <v>0</v>
      </c>
      <c r="D39" s="242">
        <v>0</v>
      </c>
      <c r="E39" s="241"/>
      <c r="F39" s="161"/>
      <c r="G39" s="161"/>
      <c r="H39" s="161"/>
      <c r="I39" s="161"/>
      <c r="J39" s="161"/>
      <c r="K39" s="161"/>
      <c r="L39" s="161"/>
      <c r="M39" s="133"/>
      <c r="N39" s="50"/>
      <c r="O39" s="334" t="s">
        <v>79</v>
      </c>
      <c r="P39" s="339" t="s">
        <v>17</v>
      </c>
      <c r="Q39" s="335">
        <f>IF((-C35+C43)&gt;0,(-C35+C43),0)</f>
        <v>227652.99091399889</v>
      </c>
      <c r="R39" s="337">
        <f>IF((-C35+C43)&lt;0,(-C35+C43),0)</f>
        <v>0</v>
      </c>
    </row>
    <row r="40" spans="1:18" s="384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3">
        <v>0</v>
      </c>
      <c r="M40" s="134"/>
      <c r="N40" s="50"/>
      <c r="O40" s="340" t="s">
        <v>80</v>
      </c>
      <c r="P40" s="339" t="s">
        <v>20</v>
      </c>
      <c r="Q40" s="112">
        <f>IF((C37+C38)&lt;0,(-C37-C38),0)</f>
        <v>0</v>
      </c>
      <c r="R40" s="337">
        <f>IF((C37+C38)&gt;0,(-C37-C38),0)</f>
        <v>-227268.08091399889</v>
      </c>
    </row>
    <row r="41" spans="1:18" s="384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3">
        <v>0</v>
      </c>
      <c r="M41" s="134"/>
      <c r="N41" s="50"/>
      <c r="O41" s="342" t="s">
        <v>82</v>
      </c>
      <c r="P41" s="339" t="s">
        <v>75</v>
      </c>
      <c r="Q41" s="344">
        <v>0</v>
      </c>
      <c r="R41" s="337">
        <f>IF(C42&gt;0,-C42,0)</f>
        <v>-384.91</v>
      </c>
    </row>
    <row r="42" spans="1:18" s="384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5"/>
      <c r="M42" s="237">
        <v>3.2500000000000001E-2</v>
      </c>
      <c r="N42" s="50"/>
      <c r="O42" s="343" t="s">
        <v>83</v>
      </c>
      <c r="P42" s="341" t="s">
        <v>76</v>
      </c>
      <c r="Q42" s="116">
        <f>IF(-C42&gt;0,-C42,0)</f>
        <v>0</v>
      </c>
      <c r="R42" s="116">
        <f>IF(C42&gt;0,0,0)</f>
        <v>0</v>
      </c>
    </row>
    <row r="43" spans="1:18" s="384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5"/>
      <c r="O43" s="385"/>
      <c r="P43" s="385"/>
      <c r="Q43" s="385"/>
      <c r="R43" s="338">
        <f>ROUND(SUM(Q38:R42),2)</f>
        <v>0</v>
      </c>
    </row>
    <row r="44" spans="1:18" s="384" customFormat="1" ht="16.5" thickTop="1" thickBot="1">
      <c r="A44" s="53"/>
      <c r="M44" s="52"/>
    </row>
    <row r="45" spans="1:18" s="384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4">
        <v>311623.77906699944</v>
      </c>
      <c r="E45" s="244">
        <v>-395377.88556999923</v>
      </c>
      <c r="F45" s="161">
        <v>0</v>
      </c>
      <c r="G45" s="161"/>
      <c r="H45" s="161"/>
      <c r="I45" s="161"/>
      <c r="J45" s="388"/>
      <c r="K45" s="161"/>
      <c r="L45" s="161">
        <v>0</v>
      </c>
      <c r="M45" s="133"/>
      <c r="N45" s="50"/>
      <c r="O45" s="336" t="s">
        <v>106</v>
      </c>
      <c r="P45" s="93"/>
      <c r="Q45" s="93"/>
      <c r="R45" s="94"/>
    </row>
    <row r="46" spans="1:18" s="384" customFormat="1" ht="15.75">
      <c r="A46" s="58"/>
      <c r="B46" s="59" t="s">
        <v>148</v>
      </c>
      <c r="C46" s="50">
        <f>SUM(D46:F46)</f>
        <v>0</v>
      </c>
      <c r="D46" s="241"/>
      <c r="E46" s="241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7" t="s">
        <v>211</v>
      </c>
      <c r="P46" s="339" t="s">
        <v>27</v>
      </c>
      <c r="Q46" s="335">
        <v>0</v>
      </c>
      <c r="R46" s="337">
        <v>0</v>
      </c>
    </row>
    <row r="47" spans="1:18" s="384" customFormat="1" ht="15.75">
      <c r="A47" s="58"/>
      <c r="B47" s="20" t="s">
        <v>157</v>
      </c>
      <c r="C47" s="50">
        <f>SUM(D47:L47)</f>
        <v>0</v>
      </c>
      <c r="D47" s="242">
        <v>0</v>
      </c>
      <c r="E47" s="241"/>
      <c r="F47" s="161"/>
      <c r="G47" s="161"/>
      <c r="H47" s="161"/>
      <c r="I47" s="161"/>
      <c r="J47" s="161"/>
      <c r="K47" s="161"/>
      <c r="L47" s="161"/>
      <c r="M47" s="133"/>
      <c r="N47" s="50"/>
      <c r="O47" s="334" t="s">
        <v>79</v>
      </c>
      <c r="P47" s="339" t="s">
        <v>17</v>
      </c>
      <c r="Q47" s="335">
        <f>IF((-C43+C51)&gt;0,(-C43+C51),0)</f>
        <v>0</v>
      </c>
      <c r="R47" s="337">
        <f>IF((-C43+C51)&lt;0,(-C43+C51),0)</f>
        <v>-83173.806502999796</v>
      </c>
    </row>
    <row r="48" spans="1:18" s="384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3">
        <v>0</v>
      </c>
      <c r="M48" s="134"/>
      <c r="N48" s="50"/>
      <c r="O48" s="340" t="s">
        <v>80</v>
      </c>
      <c r="P48" s="339" t="s">
        <v>20</v>
      </c>
      <c r="Q48" s="112">
        <f>IF((C45+C46)&lt;0,(-C45-C46),0)</f>
        <v>83754.106502999784</v>
      </c>
      <c r="R48" s="337">
        <f>IF((C45+C46)&gt;0,(-C45-C46),0)</f>
        <v>0</v>
      </c>
    </row>
    <row r="49" spans="1:18" s="384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3">
        <v>0</v>
      </c>
      <c r="M49" s="134"/>
      <c r="N49" s="50"/>
      <c r="O49" s="342" t="s">
        <v>82</v>
      </c>
      <c r="P49" s="339" t="s">
        <v>75</v>
      </c>
      <c r="Q49" s="344">
        <v>0</v>
      </c>
      <c r="R49" s="337">
        <f>IF(C50&gt;0,-C50,0)</f>
        <v>-580.29999999999995</v>
      </c>
    </row>
    <row r="50" spans="1:18" s="384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5"/>
      <c r="M50" s="237">
        <v>3.2500000000000001E-2</v>
      </c>
      <c r="N50" s="50"/>
      <c r="O50" s="343" t="s">
        <v>83</v>
      </c>
      <c r="P50" s="341" t="s">
        <v>76</v>
      </c>
      <c r="Q50" s="116">
        <f>IF(-C50&gt;0,-C50,0)</f>
        <v>0</v>
      </c>
      <c r="R50" s="116">
        <f>IF(C50&gt;0,0,0)</f>
        <v>0</v>
      </c>
    </row>
    <row r="51" spans="1:18" s="384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5"/>
      <c r="O51" s="385"/>
      <c r="P51" s="385"/>
      <c r="Q51" s="385"/>
      <c r="R51" s="338">
        <f>ROUND(SUM(Q46:R50),2)</f>
        <v>0</v>
      </c>
    </row>
    <row r="52" spans="1:18" ht="16.5" thickTop="1" thickBot="1"/>
    <row r="53" spans="1:18" s="384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4">
        <v>-294475.16016600048</v>
      </c>
      <c r="E53" s="244">
        <v>134097.85149999964</v>
      </c>
      <c r="F53" s="161">
        <v>0</v>
      </c>
      <c r="G53" s="161"/>
      <c r="H53" s="161"/>
      <c r="I53" s="161"/>
      <c r="J53" s="388"/>
      <c r="K53" s="161"/>
      <c r="L53" s="161">
        <v>0</v>
      </c>
      <c r="M53" s="133"/>
      <c r="N53" s="50"/>
      <c r="O53" s="336" t="s">
        <v>106</v>
      </c>
      <c r="P53" s="93"/>
      <c r="Q53" s="93"/>
      <c r="R53" s="94"/>
    </row>
    <row r="54" spans="1:18" s="384" customFormat="1" ht="15.75">
      <c r="A54" s="58"/>
      <c r="B54" s="59" t="s">
        <v>148</v>
      </c>
      <c r="C54" s="50">
        <f>SUM(D54:F54)</f>
        <v>0</v>
      </c>
      <c r="D54" s="241"/>
      <c r="E54" s="241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7" t="s">
        <v>211</v>
      </c>
      <c r="P54" s="339" t="s">
        <v>27</v>
      </c>
      <c r="Q54" s="335">
        <v>0</v>
      </c>
      <c r="R54" s="337">
        <v>0</v>
      </c>
    </row>
    <row r="55" spans="1:18" s="384" customFormat="1" ht="15.75">
      <c r="A55" s="58"/>
      <c r="B55" s="20" t="s">
        <v>157</v>
      </c>
      <c r="C55" s="50">
        <f>SUM(D55:L55)</f>
        <v>0</v>
      </c>
      <c r="D55" s="242">
        <v>0</v>
      </c>
      <c r="E55" s="241"/>
      <c r="F55" s="161"/>
      <c r="G55" s="161"/>
      <c r="H55" s="161"/>
      <c r="I55" s="161"/>
      <c r="J55" s="161"/>
      <c r="K55" s="161"/>
      <c r="L55" s="161"/>
      <c r="M55" s="133"/>
      <c r="N55" s="50"/>
      <c r="O55" s="334" t="s">
        <v>79</v>
      </c>
      <c r="P55" s="339" t="s">
        <v>17</v>
      </c>
      <c r="Q55" s="335">
        <f>IF((-C51+C59)&gt;0,(-C51+C59),0)</f>
        <v>0</v>
      </c>
      <c r="R55" s="337">
        <f>IF((-C51+C59)&lt;0,(-C51+C59),0)</f>
        <v>-160126.03866600085</v>
      </c>
    </row>
    <row r="56" spans="1:18" s="384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3">
        <v>0</v>
      </c>
      <c r="M56" s="134"/>
      <c r="N56" s="50"/>
      <c r="O56" s="340" t="s">
        <v>80</v>
      </c>
      <c r="P56" s="339" t="s">
        <v>20</v>
      </c>
      <c r="Q56" s="112">
        <f>IF((C53+C54)&lt;0,(-C53-C54),0)</f>
        <v>160377.30866600084</v>
      </c>
      <c r="R56" s="337">
        <f>IF((C53+C54)&gt;0,(-C53-C54),0)</f>
        <v>0</v>
      </c>
    </row>
    <row r="57" spans="1:18" s="384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3">
        <v>0</v>
      </c>
      <c r="M57" s="134"/>
      <c r="N57" s="50"/>
      <c r="O57" s="342" t="s">
        <v>82</v>
      </c>
      <c r="P57" s="339" t="s">
        <v>75</v>
      </c>
      <c r="Q57" s="344">
        <v>0</v>
      </c>
      <c r="R57" s="337">
        <f>IF(C58&gt;0,-C58,0)</f>
        <v>-251.27</v>
      </c>
    </row>
    <row r="58" spans="1:18" s="384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5"/>
      <c r="M58" s="237">
        <v>3.2500000000000001E-2</v>
      </c>
      <c r="N58" s="50"/>
      <c r="O58" s="343" t="s">
        <v>83</v>
      </c>
      <c r="P58" s="341" t="s">
        <v>76</v>
      </c>
      <c r="Q58" s="116">
        <f>IF(-C58&gt;0,-C58,0)</f>
        <v>0</v>
      </c>
      <c r="R58" s="116">
        <f>IF(C58&gt;0,0,0)</f>
        <v>0</v>
      </c>
    </row>
    <row r="59" spans="1:18" s="384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5"/>
      <c r="O59" s="385"/>
      <c r="P59" s="385"/>
      <c r="Q59" s="385"/>
      <c r="R59" s="338">
        <f>ROUND(SUM(Q54:R58),2)</f>
        <v>0</v>
      </c>
    </row>
    <row r="60" spans="1:18" s="384" customFormat="1" ht="16.5" thickTop="1" thickBot="1">
      <c r="A60" s="53"/>
      <c r="C60" s="385"/>
      <c r="M60" s="52"/>
    </row>
    <row r="61" spans="1:18" s="384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4">
        <v>-577860.59273000155</v>
      </c>
      <c r="E61" s="244">
        <v>868945.83632799971</v>
      </c>
      <c r="F61" s="161">
        <v>0</v>
      </c>
      <c r="G61" s="161"/>
      <c r="H61" s="161"/>
      <c r="I61" s="161"/>
      <c r="J61" s="388"/>
      <c r="K61" s="161"/>
      <c r="L61" s="161">
        <v>0</v>
      </c>
      <c r="M61" s="133"/>
      <c r="N61" s="50"/>
      <c r="O61" s="336" t="s">
        <v>106</v>
      </c>
      <c r="P61" s="93"/>
      <c r="Q61" s="93"/>
      <c r="R61" s="94"/>
    </row>
    <row r="62" spans="1:18" s="384" customFormat="1" ht="15.75">
      <c r="A62" s="58"/>
      <c r="B62" s="59" t="s">
        <v>148</v>
      </c>
      <c r="C62" s="50">
        <f>SUM(D62:F62)</f>
        <v>0</v>
      </c>
      <c r="D62" s="241"/>
      <c r="E62" s="241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7" t="s">
        <v>211</v>
      </c>
      <c r="P62" s="339" t="s">
        <v>27</v>
      </c>
      <c r="Q62" s="335">
        <v>0</v>
      </c>
      <c r="R62" s="337">
        <v>0</v>
      </c>
    </row>
    <row r="63" spans="1:18" s="384" customFormat="1" ht="15.75">
      <c r="A63" s="58"/>
      <c r="B63" s="20" t="s">
        <v>157</v>
      </c>
      <c r="C63" s="50">
        <f>SUM(D63:L63)</f>
        <v>0</v>
      </c>
      <c r="D63" s="242">
        <v>0</v>
      </c>
      <c r="E63" s="241"/>
      <c r="F63" s="161"/>
      <c r="G63" s="161"/>
      <c r="H63" s="161"/>
      <c r="I63" s="161"/>
      <c r="J63" s="161"/>
      <c r="K63" s="161"/>
      <c r="L63" s="161"/>
      <c r="M63" s="133"/>
      <c r="N63" s="50"/>
      <c r="O63" s="334" t="s">
        <v>79</v>
      </c>
      <c r="P63" s="339" t="s">
        <v>17</v>
      </c>
      <c r="Q63" s="335">
        <f>IF((-C59+C67)&gt;0,(-C59+C67),0)</f>
        <v>291514.20359799819</v>
      </c>
      <c r="R63" s="337">
        <f>IF((-C59+C67)&lt;0,(-C59+C67),0)</f>
        <v>0</v>
      </c>
    </row>
    <row r="64" spans="1:18" s="384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3">
        <v>0</v>
      </c>
      <c r="M64" s="134"/>
      <c r="N64" s="50"/>
      <c r="O64" s="340" t="s">
        <v>80</v>
      </c>
      <c r="P64" s="339" t="s">
        <v>20</v>
      </c>
      <c r="Q64" s="112">
        <f>IF((C61+C62)&lt;0,(-C61-C62),0)</f>
        <v>0</v>
      </c>
      <c r="R64" s="337">
        <f>IF((C61+C62)&gt;0,(-C61-C62),0)</f>
        <v>-291085.24359799817</v>
      </c>
    </row>
    <row r="65" spans="1:18" s="384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3">
        <v>0</v>
      </c>
      <c r="M65" s="134"/>
      <c r="N65" s="50"/>
      <c r="O65" s="342" t="s">
        <v>82</v>
      </c>
      <c r="P65" s="339" t="s">
        <v>75</v>
      </c>
      <c r="Q65" s="344">
        <v>0</v>
      </c>
      <c r="R65" s="337">
        <f>IF(C66&gt;0,-C66,0)</f>
        <v>-428.96</v>
      </c>
    </row>
    <row r="66" spans="1:18" s="384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5"/>
      <c r="M66" s="237">
        <v>3.2500000000000001E-2</v>
      </c>
      <c r="N66" s="50"/>
      <c r="O66" s="343" t="s">
        <v>83</v>
      </c>
      <c r="P66" s="341" t="s">
        <v>76</v>
      </c>
      <c r="Q66" s="116">
        <f>IF(-C66&gt;0,-C66,0)</f>
        <v>0</v>
      </c>
      <c r="R66" s="116">
        <f>IF(C66&gt;0,0,0)</f>
        <v>0</v>
      </c>
    </row>
    <row r="67" spans="1:18" s="384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5"/>
      <c r="O67" s="385"/>
      <c r="P67" s="385"/>
      <c r="Q67" s="385"/>
      <c r="R67" s="338">
        <f>ROUND(SUM(Q62:R66),2)</f>
        <v>0</v>
      </c>
    </row>
    <row r="68" spans="1:18" s="384" customFormat="1" ht="16.5" thickTop="1" thickBot="1">
      <c r="A68" s="53"/>
      <c r="C68" s="385"/>
      <c r="M68" s="52"/>
    </row>
    <row r="69" spans="1:18" s="384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4">
        <v>-173993.23901399877</v>
      </c>
      <c r="E69" s="244">
        <v>1013464.7245410001</v>
      </c>
      <c r="F69" s="161">
        <v>0</v>
      </c>
      <c r="G69" s="161"/>
      <c r="H69" s="161"/>
      <c r="I69" s="161"/>
      <c r="J69" s="388"/>
      <c r="K69" s="161"/>
      <c r="L69" s="161">
        <v>0</v>
      </c>
      <c r="M69" s="133"/>
      <c r="N69" s="50"/>
      <c r="O69" s="336" t="s">
        <v>106</v>
      </c>
      <c r="P69" s="93"/>
      <c r="Q69" s="93"/>
      <c r="R69" s="94"/>
    </row>
    <row r="70" spans="1:18" s="384" customFormat="1" ht="15.75">
      <c r="A70" s="58"/>
      <c r="B70" s="59" t="s">
        <v>148</v>
      </c>
      <c r="C70" s="50">
        <f>SUM(D70:F70)</f>
        <v>0</v>
      </c>
      <c r="D70" s="241"/>
      <c r="E70" s="241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7" t="s">
        <v>211</v>
      </c>
      <c r="P70" s="339" t="s">
        <v>27</v>
      </c>
      <c r="Q70" s="335">
        <v>0</v>
      </c>
      <c r="R70" s="337">
        <v>0</v>
      </c>
    </row>
    <row r="71" spans="1:18" s="384" customFormat="1" ht="15.75">
      <c r="A71" s="58"/>
      <c r="B71" s="20" t="s">
        <v>157</v>
      </c>
      <c r="C71" s="50">
        <f>SUM(D71:L71)</f>
        <v>0</v>
      </c>
      <c r="D71" s="242">
        <v>0</v>
      </c>
      <c r="E71" s="241"/>
      <c r="F71" s="161"/>
      <c r="G71" s="161"/>
      <c r="H71" s="161"/>
      <c r="I71" s="161"/>
      <c r="J71" s="161"/>
      <c r="K71" s="161"/>
      <c r="L71" s="161"/>
      <c r="M71" s="133"/>
      <c r="N71" s="50"/>
      <c r="O71" s="334" t="s">
        <v>79</v>
      </c>
      <c r="P71" s="339" t="s">
        <v>17</v>
      </c>
      <c r="Q71" s="335">
        <f>IF((-C67+C75)&gt;0,(-C67+C75),0)</f>
        <v>841432.56552700151</v>
      </c>
      <c r="R71" s="337">
        <f>IF((-C67+C75)&lt;0,(-C67+C75),0)</f>
        <v>0</v>
      </c>
    </row>
    <row r="72" spans="1:18" s="384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3">
        <v>0</v>
      </c>
      <c r="M72" s="134"/>
      <c r="N72" s="50"/>
      <c r="O72" s="340" t="s">
        <v>80</v>
      </c>
      <c r="P72" s="339" t="s">
        <v>20</v>
      </c>
      <c r="Q72" s="112">
        <f>IF((C69+C70)&lt;0,(-C69-C70),0)</f>
        <v>0</v>
      </c>
      <c r="R72" s="337">
        <f>IF((C69+C70)&gt;0,(-C69-C70),0)</f>
        <v>-839471.48552700132</v>
      </c>
    </row>
    <row r="73" spans="1:18" s="384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3">
        <v>0</v>
      </c>
      <c r="M73" s="134"/>
      <c r="N73" s="50"/>
      <c r="O73" s="342" t="s">
        <v>82</v>
      </c>
      <c r="P73" s="339" t="s">
        <v>75</v>
      </c>
      <c r="Q73" s="344">
        <v>0</v>
      </c>
      <c r="R73" s="337">
        <f>IF(C74&gt;0,-C74,0)</f>
        <v>-1961.08</v>
      </c>
    </row>
    <row r="74" spans="1:18" s="384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5"/>
      <c r="M74" s="237">
        <v>3.2500000000000001E-2</v>
      </c>
      <c r="N74" s="50"/>
      <c r="O74" s="343" t="s">
        <v>83</v>
      </c>
      <c r="P74" s="341" t="s">
        <v>76</v>
      </c>
      <c r="Q74" s="116">
        <f>IF(-C74&gt;0,-C74,0)</f>
        <v>0</v>
      </c>
      <c r="R74" s="116">
        <f>IF(C74&gt;0,0,0)</f>
        <v>0</v>
      </c>
    </row>
    <row r="75" spans="1:18" s="384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5"/>
      <c r="O75" s="385"/>
      <c r="P75" s="385"/>
      <c r="Q75" s="385"/>
      <c r="R75" s="338">
        <f>ROUND(SUM(Q70:R74),2)</f>
        <v>0</v>
      </c>
    </row>
    <row r="76" spans="1:18" ht="16.5" thickTop="1" thickBot="1"/>
    <row r="77" spans="1:18" s="384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4">
        <v>-494523.11633399874</v>
      </c>
      <c r="E77" s="244">
        <v>1271618.0302410007</v>
      </c>
      <c r="F77" s="161">
        <v>0</v>
      </c>
      <c r="G77" s="161"/>
      <c r="H77" s="161"/>
      <c r="I77" s="161"/>
      <c r="J77" s="388"/>
      <c r="K77" s="161"/>
      <c r="L77" s="161">
        <v>0</v>
      </c>
      <c r="M77" s="133"/>
      <c r="N77" s="50"/>
      <c r="O77" s="336" t="s">
        <v>106</v>
      </c>
      <c r="P77" s="93"/>
      <c r="Q77" s="93"/>
      <c r="R77" s="94"/>
    </row>
    <row r="78" spans="1:18" s="384" customFormat="1" ht="15.75">
      <c r="A78" s="58"/>
      <c r="B78" s="59" t="s">
        <v>148</v>
      </c>
      <c r="C78" s="50">
        <f>SUM(D78:F78)</f>
        <v>0</v>
      </c>
      <c r="D78" s="241"/>
      <c r="E78" s="241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7" t="s">
        <v>211</v>
      </c>
      <c r="P78" s="339" t="s">
        <v>27</v>
      </c>
      <c r="Q78" s="335">
        <v>0</v>
      </c>
      <c r="R78" s="337">
        <v>0</v>
      </c>
    </row>
    <row r="79" spans="1:18" s="384" customFormat="1" ht="15.75">
      <c r="A79" s="58"/>
      <c r="B79" s="20" t="s">
        <v>157</v>
      </c>
      <c r="C79" s="50">
        <f>SUM(D79:L79)</f>
        <v>0</v>
      </c>
      <c r="D79" s="242">
        <v>0</v>
      </c>
      <c r="E79" s="241"/>
      <c r="F79" s="161"/>
      <c r="G79" s="161"/>
      <c r="H79" s="161"/>
      <c r="I79" s="161"/>
      <c r="J79" s="161"/>
      <c r="K79" s="161"/>
      <c r="L79" s="161"/>
      <c r="M79" s="133"/>
      <c r="N79" s="50"/>
      <c r="O79" s="334" t="s">
        <v>79</v>
      </c>
      <c r="P79" s="339" t="s">
        <v>17</v>
      </c>
      <c r="Q79" s="335">
        <f>IF((-C75+C83)&gt;0,(-C75+C83),0)</f>
        <v>781250.40390700195</v>
      </c>
      <c r="R79" s="337">
        <f>IF((-C75+C83)&lt;0,(-C75+C83),0)</f>
        <v>0</v>
      </c>
    </row>
    <row r="80" spans="1:18" s="384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3">
        <v>0</v>
      </c>
      <c r="M80" s="134"/>
      <c r="N80" s="50"/>
      <c r="O80" s="340" t="s">
        <v>80</v>
      </c>
      <c r="P80" s="339" t="s">
        <v>20</v>
      </c>
      <c r="Q80" s="112">
        <f>IF((C77+C78)&lt;0,(-C77-C78),0)</f>
        <v>0</v>
      </c>
      <c r="R80" s="337">
        <f>IF((C77+C78)&gt;0,(-C77-C78),0)</f>
        <v>-777094.91390700196</v>
      </c>
    </row>
    <row r="81" spans="1:18" s="384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3">
        <v>0</v>
      </c>
      <c r="M81" s="134"/>
      <c r="N81" s="50"/>
      <c r="O81" s="342" t="s">
        <v>82</v>
      </c>
      <c r="P81" s="339" t="s">
        <v>75</v>
      </c>
      <c r="Q81" s="344">
        <v>0</v>
      </c>
      <c r="R81" s="337">
        <f>IF(C82&gt;0,-C82,0)</f>
        <v>-4155.49</v>
      </c>
    </row>
    <row r="82" spans="1:18" s="384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5"/>
      <c r="M82" s="237">
        <v>3.2500000000000001E-2</v>
      </c>
      <c r="N82" s="50"/>
      <c r="O82" s="343" t="s">
        <v>83</v>
      </c>
      <c r="P82" s="341" t="s">
        <v>76</v>
      </c>
      <c r="Q82" s="116">
        <f>IF(-C82&gt;0,-C82,0)</f>
        <v>0</v>
      </c>
      <c r="R82" s="116">
        <f>IF(C82&gt;0,0,0)</f>
        <v>0</v>
      </c>
    </row>
    <row r="83" spans="1:18" s="384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5"/>
      <c r="O83" s="385"/>
      <c r="P83" s="385"/>
      <c r="Q83" s="385"/>
      <c r="R83" s="338">
        <f>ROUND(SUM(Q78:R82),2)</f>
        <v>0</v>
      </c>
    </row>
    <row r="84" spans="1:18" ht="16.5" thickTop="1" thickBot="1"/>
    <row r="85" spans="1:18" s="384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4">
        <v>-646266.22842499963</v>
      </c>
      <c r="E85" s="244">
        <v>1210266.6724050003</v>
      </c>
      <c r="F85" s="161">
        <v>0</v>
      </c>
      <c r="G85" s="161"/>
      <c r="H85" s="161"/>
      <c r="I85" s="161"/>
      <c r="J85" s="388"/>
      <c r="K85" s="161"/>
      <c r="L85" s="161">
        <v>0</v>
      </c>
      <c r="M85" s="133"/>
      <c r="N85" s="50"/>
      <c r="O85" s="336" t="s">
        <v>106</v>
      </c>
      <c r="P85" s="93"/>
      <c r="Q85" s="93"/>
      <c r="R85" s="94"/>
    </row>
    <row r="86" spans="1:18" s="384" customFormat="1" ht="15.75">
      <c r="A86" s="58"/>
      <c r="B86" s="59" t="s">
        <v>148</v>
      </c>
      <c r="C86" s="50">
        <f>SUM(D86:F86)</f>
        <v>0</v>
      </c>
      <c r="D86" s="241"/>
      <c r="E86" s="241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7" t="s">
        <v>211</v>
      </c>
      <c r="P86" s="339" t="s">
        <v>27</v>
      </c>
      <c r="Q86" s="335">
        <v>0</v>
      </c>
      <c r="R86" s="337">
        <v>0</v>
      </c>
    </row>
    <row r="87" spans="1:18" s="384" customFormat="1" ht="15.75">
      <c r="A87" s="58"/>
      <c r="B87" s="20" t="s">
        <v>157</v>
      </c>
      <c r="C87" s="50">
        <f>SUM(D87:L87)</f>
        <v>0</v>
      </c>
      <c r="D87" s="242">
        <v>0</v>
      </c>
      <c r="E87" s="241"/>
      <c r="F87" s="161"/>
      <c r="G87" s="161"/>
      <c r="H87" s="161"/>
      <c r="I87" s="161"/>
      <c r="J87" s="161"/>
      <c r="K87" s="161"/>
      <c r="L87" s="161"/>
      <c r="M87" s="133"/>
      <c r="N87" s="50"/>
      <c r="O87" s="334" t="s">
        <v>79</v>
      </c>
      <c r="P87" s="339" t="s">
        <v>17</v>
      </c>
      <c r="Q87" s="335">
        <f>IF((-C83+C91)&gt;0,(-C83+C91),0)</f>
        <v>569983.25398000097</v>
      </c>
      <c r="R87" s="337">
        <f>IF((-C83+C91)&lt;0,(-C83+C91),0)</f>
        <v>0</v>
      </c>
    </row>
    <row r="88" spans="1:18" s="384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3">
        <v>0</v>
      </c>
      <c r="M88" s="134"/>
      <c r="N88" s="50"/>
      <c r="O88" s="340" t="s">
        <v>80</v>
      </c>
      <c r="P88" s="339" t="s">
        <v>20</v>
      </c>
      <c r="Q88" s="112">
        <f>IF((C85+C86)&lt;0,(-C85-C86),0)</f>
        <v>0</v>
      </c>
      <c r="R88" s="337">
        <f>IF((C85+C86)&gt;0,(-C85-C86),0)</f>
        <v>-564000.44398000068</v>
      </c>
    </row>
    <row r="89" spans="1:18" s="384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3">
        <v>0</v>
      </c>
      <c r="M89" s="134"/>
      <c r="N89" s="50"/>
      <c r="O89" s="342" t="s">
        <v>82</v>
      </c>
      <c r="P89" s="339" t="s">
        <v>75</v>
      </c>
      <c r="Q89" s="344">
        <v>0</v>
      </c>
      <c r="R89" s="337">
        <f>IF(C90&gt;0,-C90,0)</f>
        <v>-5982.81</v>
      </c>
    </row>
    <row r="90" spans="1:18" s="384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5"/>
      <c r="M90" s="237">
        <v>3.2500000000000001E-2</v>
      </c>
      <c r="N90" s="50"/>
      <c r="O90" s="343" t="s">
        <v>83</v>
      </c>
      <c r="P90" s="341" t="s">
        <v>76</v>
      </c>
      <c r="Q90" s="116">
        <f>IF(-C90&gt;0,-C90,0)</f>
        <v>0</v>
      </c>
      <c r="R90" s="116">
        <f>IF(C90&gt;0,0,0)</f>
        <v>0</v>
      </c>
    </row>
    <row r="91" spans="1:18" s="384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5"/>
      <c r="O91" s="385"/>
      <c r="P91" s="385"/>
      <c r="Q91" s="385"/>
      <c r="R91" s="338">
        <f>ROUND(SUM(Q86:R90),2)</f>
        <v>0</v>
      </c>
    </row>
    <row r="92" spans="1:18" s="384" customFormat="1" ht="16.5" thickTop="1" thickBot="1">
      <c r="A92" s="53"/>
      <c r="M92" s="52"/>
    </row>
    <row r="93" spans="1:18" s="384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4">
        <v>-814688.68566800107</v>
      </c>
      <c r="E93" s="244">
        <v>1023402.1610440004</v>
      </c>
      <c r="F93" s="161">
        <v>0</v>
      </c>
      <c r="G93" s="161"/>
      <c r="H93" s="161"/>
      <c r="I93" s="161"/>
      <c r="J93" s="388"/>
      <c r="K93" s="161"/>
      <c r="L93" s="161">
        <v>0</v>
      </c>
      <c r="M93" s="133"/>
      <c r="N93" s="50"/>
      <c r="O93" s="336" t="s">
        <v>106</v>
      </c>
      <c r="P93" s="93"/>
      <c r="Q93" s="93"/>
      <c r="R93" s="94"/>
    </row>
    <row r="94" spans="1:18" s="384" customFormat="1" ht="15.75">
      <c r="A94" s="58"/>
      <c r="B94" s="59" t="s">
        <v>148</v>
      </c>
      <c r="C94" s="50">
        <f>SUM(D94:F94)</f>
        <v>0</v>
      </c>
      <c r="D94" s="241"/>
      <c r="E94" s="241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7" t="s">
        <v>211</v>
      </c>
      <c r="P94" s="339" t="s">
        <v>27</v>
      </c>
      <c r="Q94" s="335">
        <v>0</v>
      </c>
      <c r="R94" s="337">
        <v>0</v>
      </c>
    </row>
    <row r="95" spans="1:18" s="384" customFormat="1" ht="15.75">
      <c r="A95" s="58"/>
      <c r="B95" s="20" t="s">
        <v>157</v>
      </c>
      <c r="C95" s="50">
        <f>SUM(D95:L95)</f>
        <v>0</v>
      </c>
      <c r="D95" s="242">
        <v>0</v>
      </c>
      <c r="E95" s="241"/>
      <c r="F95" s="161"/>
      <c r="G95" s="161"/>
      <c r="H95" s="161"/>
      <c r="I95" s="161"/>
      <c r="J95" s="161"/>
      <c r="K95" s="161"/>
      <c r="L95" s="161"/>
      <c r="M95" s="133"/>
      <c r="N95" s="50"/>
      <c r="O95" s="334" t="s">
        <v>79</v>
      </c>
      <c r="P95" s="339" t="s">
        <v>17</v>
      </c>
      <c r="Q95" s="335">
        <f>IF((-C91+C99)&gt;0,(-C91+C99),0)</f>
        <v>215758.87537599914</v>
      </c>
      <c r="R95" s="337">
        <f>IF((-C91+C99)&lt;0,(-C91+C99),0)</f>
        <v>0</v>
      </c>
    </row>
    <row r="96" spans="1:18" s="384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3">
        <v>0</v>
      </c>
      <c r="M96" s="134"/>
      <c r="N96" s="50"/>
      <c r="O96" s="340" t="s">
        <v>80</v>
      </c>
      <c r="P96" s="339" t="s">
        <v>20</v>
      </c>
      <c r="Q96" s="112">
        <f>IF((C93+C94)&lt;0,(-C93-C94),0)</f>
        <v>0</v>
      </c>
      <c r="R96" s="337">
        <f>IF((C93+C94)&gt;0,(-C93-C94),0)</f>
        <v>-208713.47537599935</v>
      </c>
    </row>
    <row r="97" spans="1:18" s="384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3">
        <v>0</v>
      </c>
      <c r="M97" s="134"/>
      <c r="N97" s="50"/>
      <c r="O97" s="342" t="s">
        <v>82</v>
      </c>
      <c r="P97" s="339" t="s">
        <v>75</v>
      </c>
      <c r="Q97" s="344">
        <v>0</v>
      </c>
      <c r="R97" s="337">
        <f>IF(C98&gt;0,-C98,0)</f>
        <v>-7045.4</v>
      </c>
    </row>
    <row r="98" spans="1:18" s="384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5"/>
      <c r="M98" s="237">
        <v>3.2500000000000001E-2</v>
      </c>
      <c r="N98" s="50"/>
      <c r="O98" s="343" t="s">
        <v>83</v>
      </c>
      <c r="P98" s="341" t="s">
        <v>76</v>
      </c>
      <c r="Q98" s="116">
        <f>IF(-C98&gt;0,-C98,0)</f>
        <v>0</v>
      </c>
      <c r="R98" s="116">
        <f>IF(C98&gt;0,0,0)</f>
        <v>0</v>
      </c>
    </row>
    <row r="99" spans="1:18" s="384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5"/>
      <c r="O99" s="385"/>
      <c r="P99" s="385"/>
      <c r="Q99" s="385"/>
      <c r="R99" s="338">
        <f>ROUND(SUM(Q94:R98),2)</f>
        <v>0</v>
      </c>
    </row>
    <row r="100" spans="1:18" ht="16.5" thickTop="1" thickBot="1"/>
    <row r="101" spans="1:18" s="384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4">
        <v>-726195.13553999923</v>
      </c>
      <c r="E101" s="244">
        <v>261710.74540300062</v>
      </c>
      <c r="F101" s="161">
        <v>0</v>
      </c>
      <c r="G101" s="161"/>
      <c r="H101" s="161"/>
      <c r="I101" s="161"/>
      <c r="J101" s="388"/>
      <c r="K101" s="161"/>
      <c r="L101" s="161">
        <v>0</v>
      </c>
      <c r="M101" s="133"/>
      <c r="N101" s="50"/>
      <c r="O101" s="336" t="s">
        <v>106</v>
      </c>
      <c r="P101" s="93"/>
      <c r="Q101" s="93"/>
      <c r="R101" s="94"/>
    </row>
    <row r="102" spans="1:18" s="384" customFormat="1" ht="15.75">
      <c r="A102" s="58"/>
      <c r="B102" s="59" t="s">
        <v>148</v>
      </c>
      <c r="C102" s="50">
        <f>SUM(D102:F102)</f>
        <v>0</v>
      </c>
      <c r="D102" s="241"/>
      <c r="E102" s="241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7" t="s">
        <v>211</v>
      </c>
      <c r="P102" s="339" t="s">
        <v>27</v>
      </c>
      <c r="Q102" s="335">
        <v>0</v>
      </c>
      <c r="R102" s="337">
        <v>0</v>
      </c>
    </row>
    <row r="103" spans="1:18" s="384" customFormat="1" ht="15.75">
      <c r="A103" s="58"/>
      <c r="B103" s="20" t="s">
        <v>157</v>
      </c>
      <c r="C103" s="50">
        <f>SUM(D103:L103)</f>
        <v>0</v>
      </c>
      <c r="D103" s="242">
        <v>0</v>
      </c>
      <c r="E103" s="241"/>
      <c r="F103" s="161"/>
      <c r="G103" s="161"/>
      <c r="H103" s="161"/>
      <c r="I103" s="161"/>
      <c r="J103" s="161"/>
      <c r="K103" s="161"/>
      <c r="L103" s="161"/>
      <c r="M103" s="133"/>
      <c r="N103" s="50"/>
      <c r="O103" s="334" t="s">
        <v>79</v>
      </c>
      <c r="P103" s="339" t="s">
        <v>17</v>
      </c>
      <c r="Q103" s="335">
        <f>IF((-C99+C107)&gt;0,(-C99+C107),0)</f>
        <v>0</v>
      </c>
      <c r="R103" s="337">
        <f>IF((-C99+C107)&lt;0,(-C99+C107),0)</f>
        <v>-457766.2701369985</v>
      </c>
    </row>
    <row r="104" spans="1:18" s="384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3">
        <v>0</v>
      </c>
      <c r="M104" s="134"/>
      <c r="N104" s="50"/>
      <c r="O104" s="340" t="s">
        <v>80</v>
      </c>
      <c r="P104" s="339" t="s">
        <v>20</v>
      </c>
      <c r="Q104" s="112">
        <f>IF((C101+C102)&lt;0,(-C101-C102),0)</f>
        <v>464484.39013699861</v>
      </c>
      <c r="R104" s="337">
        <f>IF((C101+C102)&gt;0,(-C101-C102),0)</f>
        <v>0</v>
      </c>
    </row>
    <row r="105" spans="1:18" s="384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3">
        <v>0</v>
      </c>
      <c r="M105" s="134"/>
      <c r="N105" s="50"/>
      <c r="O105" s="342" t="s">
        <v>82</v>
      </c>
      <c r="P105" s="339" t="s">
        <v>75</v>
      </c>
      <c r="Q105" s="344">
        <v>0</v>
      </c>
      <c r="R105" s="337">
        <f>IF(C106&gt;0,-C106,0)</f>
        <v>-6718.12</v>
      </c>
    </row>
    <row r="106" spans="1:18" s="384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5"/>
      <c r="M106" s="237">
        <v>3.2500000000000001E-2</v>
      </c>
      <c r="N106" s="50"/>
      <c r="O106" s="343" t="s">
        <v>83</v>
      </c>
      <c r="P106" s="341" t="s">
        <v>76</v>
      </c>
      <c r="Q106" s="116">
        <f>IF(-C106&gt;0,-C106,0)</f>
        <v>0</v>
      </c>
      <c r="R106" s="116">
        <f>IF(C106&gt;0,0,0)</f>
        <v>0</v>
      </c>
    </row>
    <row r="107" spans="1:18" s="384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5"/>
      <c r="O107" s="385"/>
      <c r="P107" s="385"/>
      <c r="Q107" s="385"/>
      <c r="R107" s="338">
        <f>ROUND(SUM(Q102:R106),2)</f>
        <v>0</v>
      </c>
    </row>
    <row r="108" spans="1:18" s="384" customFormat="1" ht="15.75" thickTop="1">
      <c r="A108" s="53"/>
      <c r="M108" s="52"/>
    </row>
    <row r="109" spans="1:18" s="384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5"/>
      <c r="M109" s="52"/>
    </row>
    <row r="110" spans="1:18" s="384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4" customFormat="1" ht="16.5" thickTop="1" thickBot="1">
      <c r="A111" s="53"/>
      <c r="M111" s="52"/>
    </row>
    <row r="112" spans="1:18" s="384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4">
        <v>-363626.86552299373</v>
      </c>
      <c r="E112" s="244">
        <v>-780538.83973299898</v>
      </c>
      <c r="F112" s="161">
        <v>0</v>
      </c>
      <c r="G112" s="161"/>
      <c r="H112" s="161"/>
      <c r="I112" s="161"/>
      <c r="J112" s="388"/>
      <c r="K112" s="161"/>
      <c r="L112" s="161">
        <v>0</v>
      </c>
      <c r="M112" s="133"/>
      <c r="N112" s="50"/>
      <c r="O112" s="336" t="s">
        <v>106</v>
      </c>
      <c r="P112" s="93"/>
      <c r="Q112" s="93"/>
      <c r="R112" s="94"/>
    </row>
    <row r="113" spans="1:18" s="384" customFormat="1" ht="15.75">
      <c r="A113" s="58"/>
      <c r="B113" s="59" t="s">
        <v>148</v>
      </c>
      <c r="C113" s="50">
        <f>SUM(D113:F113)</f>
        <v>0</v>
      </c>
      <c r="D113" s="241"/>
      <c r="E113" s="241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7" t="s">
        <v>232</v>
      </c>
      <c r="P113" s="339" t="s">
        <v>27</v>
      </c>
      <c r="Q113" s="335">
        <f>-C109</f>
        <v>1145801.7486667871</v>
      </c>
      <c r="R113" s="337">
        <v>0</v>
      </c>
    </row>
    <row r="114" spans="1:18" s="384" customFormat="1" ht="15.75">
      <c r="A114" s="58"/>
      <c r="B114" s="20" t="s">
        <v>157</v>
      </c>
      <c r="C114" s="50">
        <f>SUM(D114:L114)</f>
        <v>0</v>
      </c>
      <c r="D114" s="242">
        <v>0</v>
      </c>
      <c r="E114" s="241"/>
      <c r="F114" s="161"/>
      <c r="G114" s="161"/>
      <c r="H114" s="161"/>
      <c r="I114" s="161"/>
      <c r="J114" s="161"/>
      <c r="K114" s="161"/>
      <c r="L114" s="161"/>
      <c r="M114" s="133"/>
      <c r="N114" s="50"/>
      <c r="O114" s="334" t="s">
        <v>79</v>
      </c>
      <c r="P114" s="339" t="s">
        <v>17</v>
      </c>
      <c r="Q114" s="335">
        <f>IF((-C107+C118)&gt;0,(-C107+C118),0)</f>
        <v>0</v>
      </c>
      <c r="R114" s="337">
        <f>IF((-C107+C118)&lt;0,(-C107+C118),0)</f>
        <v>-2288512.7239227798</v>
      </c>
    </row>
    <row r="115" spans="1:18" s="384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3">
        <v>0</v>
      </c>
      <c r="M115" s="134"/>
      <c r="N115" s="50"/>
      <c r="O115" s="340" t="s">
        <v>80</v>
      </c>
      <c r="P115" s="339" t="s">
        <v>20</v>
      </c>
      <c r="Q115" s="112">
        <f>IF((C112+C113)&lt;0,(-C112-C113),0)</f>
        <v>1144165.7052559927</v>
      </c>
      <c r="R115" s="337">
        <f>IF((C112+C113)&gt;0,(-C112-C113),0)</f>
        <v>0</v>
      </c>
    </row>
    <row r="116" spans="1:18" s="384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3">
        <v>0</v>
      </c>
      <c r="M116" s="134"/>
      <c r="N116" s="50"/>
      <c r="O116" s="342" t="s">
        <v>82</v>
      </c>
      <c r="P116" s="339" t="s">
        <v>75</v>
      </c>
      <c r="Q116" s="344">
        <v>0</v>
      </c>
      <c r="R116" s="337">
        <f>IF(C117&gt;0,-C117,0)</f>
        <v>-1454.73</v>
      </c>
    </row>
    <row r="117" spans="1:18" s="384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5"/>
      <c r="M117" s="237">
        <v>3.2500000000000001E-2</v>
      </c>
      <c r="N117" s="50"/>
      <c r="O117" s="343" t="s">
        <v>83</v>
      </c>
      <c r="P117" s="341" t="s">
        <v>76</v>
      </c>
      <c r="Q117" s="116">
        <f>IF(-C117&gt;0,-C117,0)</f>
        <v>0</v>
      </c>
      <c r="R117" s="116">
        <f>IF(C117&gt;0,0,0)</f>
        <v>0</v>
      </c>
    </row>
    <row r="118" spans="1:18" s="384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5"/>
      <c r="O118" s="385"/>
      <c r="P118" s="385"/>
      <c r="Q118" s="385"/>
      <c r="R118" s="338">
        <f>ROUND(SUM(Q113:R117),2)</f>
        <v>0</v>
      </c>
    </row>
    <row r="119" spans="1:18" s="384" customFormat="1" ht="16.5" thickTop="1" thickBot="1">
      <c r="A119" s="53"/>
      <c r="M119" s="52"/>
    </row>
    <row r="120" spans="1:18" s="384" customFormat="1" ht="16.5" thickBot="1">
      <c r="A120" s="58">
        <f>EOMONTH(A112,1)</f>
        <v>41639</v>
      </c>
      <c r="B120" s="59" t="s">
        <v>84</v>
      </c>
      <c r="C120" s="50">
        <f>SUM(D120:L120)</f>
        <v>-3404895.3975190017</v>
      </c>
      <c r="D120" s="244">
        <f>Jan!$H$55</f>
        <v>-491376.17008000147</v>
      </c>
      <c r="E120" s="244">
        <f>Jan!$I$55</f>
        <v>-2913519.2274390003</v>
      </c>
      <c r="F120" s="161">
        <v>0</v>
      </c>
      <c r="G120" s="161"/>
      <c r="H120" s="161"/>
      <c r="I120" s="161"/>
      <c r="J120" s="388"/>
      <c r="K120" s="161"/>
      <c r="L120" s="161">
        <v>0</v>
      </c>
      <c r="M120" s="133"/>
      <c r="N120" s="50"/>
      <c r="O120" s="336" t="s">
        <v>235</v>
      </c>
      <c r="P120" s="93"/>
      <c r="Q120" s="93"/>
      <c r="R120" s="94"/>
    </row>
    <row r="121" spans="1:18" s="384" customFormat="1" ht="15.75">
      <c r="A121" s="58"/>
      <c r="B121" s="59" t="s">
        <v>148</v>
      </c>
      <c r="C121" s="50">
        <f>SUM(D121:F121)</f>
        <v>0</v>
      </c>
      <c r="D121" s="241"/>
      <c r="E121" s="241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7" t="s">
        <v>232</v>
      </c>
      <c r="P121" s="339" t="s">
        <v>27</v>
      </c>
      <c r="Q121" s="335">
        <v>0</v>
      </c>
      <c r="R121" s="337">
        <v>0</v>
      </c>
    </row>
    <row r="122" spans="1:18" s="384" customFormat="1" ht="15.75">
      <c r="A122" s="58"/>
      <c r="B122" s="20" t="s">
        <v>157</v>
      </c>
      <c r="C122" s="50">
        <f>SUM(D122:L122)</f>
        <v>0</v>
      </c>
      <c r="D122" s="242">
        <v>0</v>
      </c>
      <c r="E122" s="241"/>
      <c r="F122" s="161"/>
      <c r="G122" s="161"/>
      <c r="H122" s="161"/>
      <c r="I122" s="161"/>
      <c r="J122" s="161"/>
      <c r="K122" s="161"/>
      <c r="L122" s="161"/>
      <c r="M122" s="133"/>
      <c r="N122" s="50"/>
      <c r="O122" s="334" t="s">
        <v>79</v>
      </c>
      <c r="P122" s="339" t="s">
        <v>17</v>
      </c>
      <c r="Q122" s="335">
        <f>IF((-C115+C126)&gt;0,(-C115+C126),0)</f>
        <v>0</v>
      </c>
      <c r="R122" s="337">
        <f>IF((-C118+C126)&lt;0,(-C118+C126),0)-C121</f>
        <v>-3409596.9175190018</v>
      </c>
    </row>
    <row r="123" spans="1:18" s="384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3">
        <v>0</v>
      </c>
      <c r="M123" s="134"/>
      <c r="N123" s="50"/>
      <c r="O123" s="340" t="s">
        <v>80</v>
      </c>
      <c r="P123" s="339" t="s">
        <v>20</v>
      </c>
      <c r="Q123" s="112">
        <f>IF((C120)&lt;0,(-C120),0)</f>
        <v>3404895.3975190017</v>
      </c>
      <c r="R123" s="337">
        <f>IF((C120+C121)&gt;0,(-C120-C121),0)</f>
        <v>0</v>
      </c>
    </row>
    <row r="124" spans="1:18" s="384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3">
        <v>0</v>
      </c>
      <c r="M124" s="134"/>
      <c r="N124" s="50"/>
      <c r="O124" s="342" t="s">
        <v>82</v>
      </c>
      <c r="P124" s="339" t="s">
        <v>75</v>
      </c>
      <c r="Q124" s="344">
        <v>0</v>
      </c>
      <c r="R124" s="337">
        <f>IF(C125&gt;0,-C125,0)</f>
        <v>0</v>
      </c>
    </row>
    <row r="125" spans="1:18" s="384" customFormat="1" ht="16.5" thickBot="1">
      <c r="A125" s="61"/>
      <c r="B125" s="59" t="s">
        <v>12</v>
      </c>
      <c r="C125" s="50">
        <f>SUM(D125:L125)</f>
        <v>-4701.5200000000004</v>
      </c>
      <c r="D125" s="161"/>
      <c r="E125" s="161"/>
      <c r="F125" s="161">
        <f>ROUND(((C118)+(C120)/2)*(M125/12),2)</f>
        <v>-4701.5200000000004</v>
      </c>
      <c r="G125" s="161"/>
      <c r="H125" s="161"/>
      <c r="I125" s="161"/>
      <c r="J125" s="161"/>
      <c r="K125" s="161"/>
      <c r="L125" s="245"/>
      <c r="M125" s="237">
        <v>3.2500000000000001E-2</v>
      </c>
      <c r="N125" s="50"/>
      <c r="O125" s="343" t="s">
        <v>83</v>
      </c>
      <c r="P125" s="341" t="s">
        <v>76</v>
      </c>
      <c r="Q125" s="116">
        <f>IF(-C125&gt;0,-C125,0)</f>
        <v>4701.5200000000004</v>
      </c>
      <c r="R125" s="116">
        <f>IF(C125&gt;0,0,0)</f>
        <v>0</v>
      </c>
    </row>
    <row r="126" spans="1:18" s="384" customFormat="1" ht="16.5" thickBot="1">
      <c r="A126" s="103">
        <f>A120</f>
        <v>41639</v>
      </c>
      <c r="B126" s="50" t="s">
        <v>56</v>
      </c>
      <c r="C126" s="158">
        <f>SUM(C120:C125,C118)</f>
        <v>-3443095.6496489891</v>
      </c>
      <c r="D126" s="158">
        <f>SUM(D120:D125,D118)</f>
        <v>-3536676.201569994</v>
      </c>
      <c r="E126" s="158">
        <f>SUM(E120:E125,E118)</f>
        <v>72939.541921002325</v>
      </c>
      <c r="F126" s="158">
        <f>SUM(F120:F125,F118)</f>
        <v>20641.009999999998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5"/>
      <c r="O126" s="385"/>
      <c r="P126" s="385"/>
      <c r="Q126" s="66"/>
      <c r="R126" s="338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4"/>
      <c r="E127" s="384">
        <v>-1111877.48</v>
      </c>
      <c r="F127" s="384">
        <v>-44916.37</v>
      </c>
      <c r="G127" s="161"/>
      <c r="H127" s="161"/>
      <c r="I127" s="161"/>
      <c r="J127" s="388"/>
      <c r="K127" s="161"/>
      <c r="L127" s="161"/>
    </row>
    <row r="128" spans="1:18" ht="16.5" thickBot="1">
      <c r="B128" s="9" t="s">
        <v>241</v>
      </c>
      <c r="C128" s="474">
        <f>SUM(C126:C127)</f>
        <v>-4599889.4996489892</v>
      </c>
      <c r="D128" s="474">
        <f>SUM(D126:D127)</f>
        <v>-3536676.201569994</v>
      </c>
      <c r="E128" s="474">
        <f>SUM(E126:E127)</f>
        <v>-1038937.9380789977</v>
      </c>
      <c r="F128" s="474">
        <f>SUM(F126:F127)</f>
        <v>-24275.360000000004</v>
      </c>
      <c r="G128" s="474"/>
      <c r="H128" s="474"/>
      <c r="I128" s="474"/>
      <c r="J128" s="474"/>
      <c r="K128" s="474"/>
      <c r="L128" s="474">
        <f>SUM(L126:L127)</f>
        <v>0</v>
      </c>
      <c r="O128" s="336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O129" s="347" t="s">
        <v>232</v>
      </c>
      <c r="P129" s="339" t="s">
        <v>27</v>
      </c>
      <c r="Q129" s="335">
        <v>0</v>
      </c>
      <c r="R129" s="337">
        <v>0</v>
      </c>
    </row>
    <row r="130" spans="2:18" ht="16.5" thickBot="1">
      <c r="B130" s="9" t="s">
        <v>243</v>
      </c>
      <c r="C130" s="158" t="e">
        <f>C128-C129</f>
        <v>#VALUE!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O130" s="334" t="s">
        <v>79</v>
      </c>
      <c r="P130" s="339" t="s">
        <v>17</v>
      </c>
      <c r="Q130" s="335">
        <f>IF((-C123+C134)&gt;0,(-C123+C134),0)</f>
        <v>0</v>
      </c>
      <c r="R130" s="337">
        <v>-4133742.32</v>
      </c>
    </row>
    <row r="131" spans="2:18" ht="15.75" thickTop="1">
      <c r="D131" s="384"/>
      <c r="E131" s="384"/>
      <c r="F131" s="384"/>
      <c r="G131" s="384"/>
      <c r="H131" s="384"/>
      <c r="I131" s="384"/>
      <c r="J131" s="384"/>
      <c r="K131" s="384"/>
      <c r="L131" s="384"/>
      <c r="O131" s="340" t="s">
        <v>80</v>
      </c>
      <c r="P131" s="339" t="s">
        <v>20</v>
      </c>
      <c r="Q131" s="112">
        <v>4128061.51</v>
      </c>
      <c r="R131" s="337" t="e">
        <f>IF((C128+C129)&gt;0,(-C128-C129),0)</f>
        <v>#VALUE!</v>
      </c>
    </row>
    <row r="132" spans="2:18">
      <c r="D132" s="384"/>
      <c r="E132" s="384"/>
      <c r="F132" s="384"/>
      <c r="G132" s="384"/>
      <c r="H132" s="384"/>
      <c r="I132" s="384"/>
      <c r="J132" s="384"/>
      <c r="K132" s="384"/>
      <c r="L132" s="384"/>
      <c r="O132" s="342" t="s">
        <v>82</v>
      </c>
      <c r="P132" s="339" t="s">
        <v>75</v>
      </c>
      <c r="Q132" s="344">
        <v>0</v>
      </c>
      <c r="R132" s="337">
        <f>IF(C133&gt;0,-C133,0)</f>
        <v>0</v>
      </c>
    </row>
    <row r="133" spans="2:18" ht="15.75" thickBot="1">
      <c r="O133" s="343" t="s">
        <v>83</v>
      </c>
      <c r="P133" s="341" t="s">
        <v>76</v>
      </c>
      <c r="Q133" s="116">
        <v>5680.81</v>
      </c>
      <c r="R133" s="116">
        <f>IF(C133&gt;0,0,0)</f>
        <v>0</v>
      </c>
    </row>
    <row r="134" spans="2:18"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O134" s="385"/>
      <c r="P134" s="385"/>
      <c r="Q134" s="66"/>
      <c r="R134" s="338" t="e">
        <f>ROUND(SUM(Q129:R133),2)</f>
        <v>#VALUE!</v>
      </c>
    </row>
    <row r="135" spans="2:18" ht="15.75" thickBot="1"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</row>
    <row r="136" spans="2:18" ht="15.75" thickBot="1">
      <c r="O136" s="336" t="s">
        <v>237</v>
      </c>
      <c r="P136" s="93"/>
      <c r="Q136" s="93"/>
      <c r="R136" s="94"/>
    </row>
    <row r="137" spans="2:18">
      <c r="O137" s="347" t="s">
        <v>232</v>
      </c>
      <c r="P137" s="339" t="s">
        <v>27</v>
      </c>
      <c r="Q137" s="335">
        <v>0</v>
      </c>
      <c r="R137" s="337">
        <v>0</v>
      </c>
    </row>
    <row r="138" spans="2:18">
      <c r="O138" s="334" t="s">
        <v>79</v>
      </c>
      <c r="P138" s="339" t="s">
        <v>17</v>
      </c>
      <c r="Q138" s="335">
        <f>R122-R130</f>
        <v>724145.40248099808</v>
      </c>
      <c r="R138" s="337">
        <v>0</v>
      </c>
    </row>
    <row r="139" spans="2:18">
      <c r="O139" s="340" t="s">
        <v>80</v>
      </c>
      <c r="P139" s="339" t="s">
        <v>20</v>
      </c>
      <c r="Q139" s="112">
        <v>0</v>
      </c>
      <c r="R139" s="337">
        <f>Q123-Q131</f>
        <v>-723166.11248099804</v>
      </c>
    </row>
    <row r="140" spans="2:18">
      <c r="O140" s="342" t="s">
        <v>82</v>
      </c>
      <c r="P140" s="339" t="s">
        <v>75</v>
      </c>
      <c r="Q140" s="344">
        <v>0</v>
      </c>
      <c r="R140" s="337">
        <f>IF(C141&gt;0,-C141,0)</f>
        <v>0</v>
      </c>
    </row>
    <row r="141" spans="2:18" ht="15.75" thickBot="1">
      <c r="O141" s="343" t="s">
        <v>83</v>
      </c>
      <c r="P141" s="341" t="s">
        <v>76</v>
      </c>
      <c r="Q141" s="116">
        <f>IF(-C141&gt;0,-C141,0)</f>
        <v>0</v>
      </c>
      <c r="R141" s="116">
        <f>Q125-Q133</f>
        <v>-979.29</v>
      </c>
    </row>
    <row r="142" spans="2:18">
      <c r="O142" s="385"/>
      <c r="P142" s="385"/>
      <c r="Q142" s="66"/>
      <c r="R142" s="338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5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1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4"/>
      <c r="R8" s="384"/>
      <c r="S8" s="384"/>
      <c r="T8" s="384"/>
      <c r="U8" s="384"/>
    </row>
    <row r="9" spans="1:21" ht="15.75" thickTop="1">
      <c r="S9" s="384"/>
      <c r="T9" s="384"/>
      <c r="U9" s="384"/>
    </row>
    <row r="10" spans="1:21" s="202" customFormat="1" ht="15.75">
      <c r="A10" s="256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7"/>
    </row>
    <row r="11" spans="1:21" s="202" customFormat="1" ht="15.75">
      <c r="A11" s="256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8">
        <f>16564.81*(C11/(C10+C11))</f>
        <v>9572.757919991549</v>
      </c>
      <c r="I11" s="221"/>
      <c r="J11" s="221"/>
      <c r="K11" s="221"/>
      <c r="L11" s="221"/>
      <c r="M11" s="221"/>
      <c r="N11" s="221"/>
      <c r="T11" s="257"/>
    </row>
    <row r="12" spans="1:21" s="202" customFormat="1" ht="16.5" thickBot="1">
      <c r="A12" s="256"/>
      <c r="B12" s="161" t="s">
        <v>204</v>
      </c>
      <c r="C12" s="390">
        <f t="shared" ref="C12:H12" si="0">SUM(C8:C11)</f>
        <v>110888.09945322573</v>
      </c>
      <c r="D12" s="258">
        <f t="shared" si="0"/>
        <v>-1219714.2434863918</v>
      </c>
      <c r="E12" s="390">
        <f t="shared" si="0"/>
        <v>1339522.9629396189</v>
      </c>
      <c r="F12" s="390">
        <f t="shared" si="0"/>
        <v>0</v>
      </c>
      <c r="G12" s="390">
        <f t="shared" si="0"/>
        <v>0</v>
      </c>
      <c r="H12" s="390">
        <f t="shared" si="0"/>
        <v>-8920.619999999999</v>
      </c>
      <c r="I12" s="258">
        <v>0</v>
      </c>
      <c r="J12" s="258">
        <v>0</v>
      </c>
      <c r="K12" s="258">
        <v>0</v>
      </c>
      <c r="L12" s="258">
        <v>0</v>
      </c>
      <c r="M12" s="390">
        <f>SUM(M8:M11)</f>
        <v>0</v>
      </c>
      <c r="N12" s="390">
        <f>SUM(N8:N11)</f>
        <v>0</v>
      </c>
      <c r="T12" s="257"/>
    </row>
    <row r="13" spans="1:21" s="331" customFormat="1" ht="15.75" thickTop="1">
      <c r="A13" s="53"/>
      <c r="T13" s="384"/>
    </row>
    <row r="14" spans="1:21" s="331" customFormat="1" ht="15.75" thickBot="1">
      <c r="A14" s="53"/>
      <c r="T14" s="384"/>
    </row>
    <row r="15" spans="1:21" s="331" customFormat="1" ht="16.5" thickBot="1">
      <c r="A15" s="58"/>
      <c r="Q15" s="336" t="s">
        <v>107</v>
      </c>
      <c r="R15" s="332"/>
      <c r="S15" s="332"/>
      <c r="T15" s="228"/>
    </row>
    <row r="16" spans="1:21" s="331" customFormat="1" ht="15.75">
      <c r="A16" s="58">
        <v>41213</v>
      </c>
      <c r="B16" s="59" t="s">
        <v>84</v>
      </c>
      <c r="C16" s="50">
        <f>SUM(D16:N16)</f>
        <v>114978.85263290035</v>
      </c>
      <c r="D16" s="241">
        <v>-28954.004801100353</v>
      </c>
      <c r="E16" s="241">
        <v>143932.8574340007</v>
      </c>
      <c r="F16" s="242">
        <v>0</v>
      </c>
      <c r="G16" s="242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5" t="s">
        <v>81</v>
      </c>
      <c r="R16" s="346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1" customFormat="1" ht="15.75">
      <c r="A17" s="62"/>
      <c r="B17" s="59" t="s">
        <v>148</v>
      </c>
      <c r="C17" s="50">
        <f>SUM(D17:N17)</f>
        <v>-5986.75</v>
      </c>
      <c r="D17" s="242">
        <v>-5986.75</v>
      </c>
      <c r="E17" s="242">
        <v>0</v>
      </c>
      <c r="F17" s="242"/>
      <c r="G17" s="243"/>
      <c r="H17" s="60"/>
      <c r="I17" s="50"/>
      <c r="J17" s="87"/>
      <c r="K17" s="87"/>
      <c r="L17" s="50"/>
      <c r="M17" s="50"/>
      <c r="N17" s="50"/>
      <c r="O17" s="106"/>
      <c r="P17" s="50"/>
      <c r="Q17" s="347" t="s">
        <v>11</v>
      </c>
      <c r="R17" s="348" t="s">
        <v>62</v>
      </c>
      <c r="S17" s="112">
        <v>0</v>
      </c>
      <c r="T17" s="227">
        <f>-C11</f>
        <v>-2122091.5699999998</v>
      </c>
    </row>
    <row r="18" spans="1:20" s="331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2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7" t="s">
        <v>11</v>
      </c>
      <c r="R18" s="348" t="s">
        <v>207</v>
      </c>
      <c r="S18" s="112">
        <v>0</v>
      </c>
      <c r="T18" s="227">
        <f>-C10</f>
        <v>-1550000</v>
      </c>
    </row>
    <row r="19" spans="1:20" s="331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0" t="s">
        <v>80</v>
      </c>
      <c r="R19" s="339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1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2" t="s">
        <v>154</v>
      </c>
      <c r="R20" s="339" t="s">
        <v>77</v>
      </c>
      <c r="S20" s="88">
        <f>IF(C19&lt;0,C19,0)</f>
        <v>0</v>
      </c>
      <c r="T20" s="89">
        <f>IF(-C19&lt;0,-C19,0)</f>
        <v>-140.31</v>
      </c>
    </row>
    <row r="21" spans="1:20" s="331" customFormat="1" ht="16.5" thickTop="1" thickBot="1">
      <c r="A21" s="53"/>
      <c r="Q21" s="343" t="s">
        <v>83</v>
      </c>
      <c r="R21" s="341" t="s">
        <v>78</v>
      </c>
      <c r="S21" s="118">
        <f>IF(-C19&gt;0,-C19,0)</f>
        <v>0</v>
      </c>
      <c r="T21" s="111"/>
    </row>
    <row r="22" spans="1:20">
      <c r="Q22" s="331"/>
      <c r="R22" s="331"/>
      <c r="S22" s="331"/>
      <c r="T22" s="338">
        <f>ROUND(SUM(S16:T21),2)</f>
        <v>0</v>
      </c>
    </row>
    <row r="23" spans="1:20" ht="15.75" thickBot="1"/>
    <row r="24" spans="1:20" s="384" customFormat="1" ht="16.5" thickBot="1">
      <c r="A24" s="58"/>
      <c r="Q24" s="336" t="s">
        <v>216</v>
      </c>
      <c r="R24" s="332"/>
      <c r="S24" s="332"/>
      <c r="T24" s="228"/>
    </row>
    <row r="25" spans="1:20" s="384" customFormat="1" ht="15.75">
      <c r="A25" s="58">
        <v>41243</v>
      </c>
      <c r="B25" s="59" t="s">
        <v>84</v>
      </c>
      <c r="C25" s="50">
        <f>SUM(D25:N25)</f>
        <v>873005.70846981579</v>
      </c>
      <c r="D25" s="241">
        <v>893965.62064781552</v>
      </c>
      <c r="E25" s="241">
        <v>-20959.912177999737</v>
      </c>
      <c r="F25" s="242">
        <v>0</v>
      </c>
      <c r="G25" s="242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5" t="s">
        <v>81</v>
      </c>
      <c r="R25" s="346" t="s">
        <v>58</v>
      </c>
      <c r="S25" s="112">
        <v>873552.80846981588</v>
      </c>
      <c r="T25" s="117">
        <v>0</v>
      </c>
    </row>
    <row r="26" spans="1:20" s="384" customFormat="1" ht="15.75">
      <c r="A26" s="62"/>
      <c r="B26" s="59" t="s">
        <v>148</v>
      </c>
      <c r="C26" s="50">
        <v>0</v>
      </c>
      <c r="D26" s="242">
        <v>0</v>
      </c>
      <c r="E26" s="242">
        <v>0</v>
      </c>
      <c r="F26" s="242"/>
      <c r="G26" s="243"/>
      <c r="H26" s="60"/>
      <c r="I26" s="50"/>
      <c r="J26" s="87"/>
      <c r="K26" s="87"/>
      <c r="L26" s="50"/>
      <c r="M26" s="50"/>
      <c r="N26" s="50"/>
      <c r="O26" s="106"/>
      <c r="P26" s="50"/>
      <c r="Q26" s="347" t="s">
        <v>11</v>
      </c>
      <c r="R26" s="348" t="s">
        <v>62</v>
      </c>
      <c r="S26" s="112">
        <v>0</v>
      </c>
      <c r="T26" s="227">
        <v>0</v>
      </c>
    </row>
    <row r="27" spans="1:20" s="384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2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7" t="s">
        <v>11</v>
      </c>
      <c r="R27" s="348" t="s">
        <v>207</v>
      </c>
      <c r="S27" s="112">
        <v>0</v>
      </c>
      <c r="T27" s="227">
        <v>0</v>
      </c>
    </row>
    <row r="28" spans="1:20" s="384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0" t="s">
        <v>80</v>
      </c>
      <c r="R28" s="339" t="s">
        <v>59</v>
      </c>
      <c r="S28" s="88">
        <v>0</v>
      </c>
      <c r="T28" s="89">
        <v>-873005.70846981579</v>
      </c>
    </row>
    <row r="29" spans="1:20" s="384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2" t="s">
        <v>154</v>
      </c>
      <c r="R29" s="339" t="s">
        <v>77</v>
      </c>
      <c r="S29" s="88">
        <v>0</v>
      </c>
      <c r="T29" s="89">
        <v>-547.1</v>
      </c>
    </row>
    <row r="30" spans="1:20" s="384" customFormat="1" ht="16.5" thickTop="1" thickBot="1">
      <c r="A30" s="53"/>
      <c r="Q30" s="343" t="s">
        <v>83</v>
      </c>
      <c r="R30" s="341" t="s">
        <v>78</v>
      </c>
      <c r="S30" s="118">
        <v>0</v>
      </c>
      <c r="T30" s="111"/>
    </row>
    <row r="31" spans="1:20" s="384" customFormat="1">
      <c r="A31" s="53"/>
      <c r="T31" s="338">
        <f>ROUND(SUM(S25:T30),2)</f>
        <v>0</v>
      </c>
    </row>
    <row r="32" spans="1:20" ht="16.5" thickBot="1">
      <c r="A32" s="657" t="s">
        <v>213</v>
      </c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202"/>
      <c r="Q32" s="202"/>
      <c r="R32" s="202"/>
      <c r="S32" s="202"/>
      <c r="T32" s="202"/>
    </row>
    <row r="33" spans="1:20" ht="15.75" thickBot="1">
      <c r="A33" s="25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8" t="s">
        <v>217</v>
      </c>
      <c r="R33" s="402"/>
      <c r="S33" s="402"/>
      <c r="T33" s="419"/>
    </row>
    <row r="34" spans="1:20" ht="15.75">
      <c r="A34" s="420">
        <v>41243</v>
      </c>
      <c r="B34" s="421" t="s">
        <v>84</v>
      </c>
      <c r="C34" s="161">
        <f>SUM(D34:N34)</f>
        <v>700985.36846981547</v>
      </c>
      <c r="D34" s="241">
        <v>760588.19064781535</v>
      </c>
      <c r="E34" s="241">
        <v>-59602.822177999886</v>
      </c>
      <c r="F34" s="242">
        <v>0</v>
      </c>
      <c r="G34" s="242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2"/>
      <c r="P34" s="202"/>
      <c r="Q34" s="423" t="s">
        <v>81</v>
      </c>
      <c r="R34" s="424" t="s">
        <v>58</v>
      </c>
      <c r="S34" s="425">
        <v>0</v>
      </c>
      <c r="T34" s="426">
        <f>C34+C37-S25</f>
        <v>-172092.01000000036</v>
      </c>
    </row>
    <row r="35" spans="1:20" ht="15.75">
      <c r="A35" s="427"/>
      <c r="B35" s="421" t="s">
        <v>148</v>
      </c>
      <c r="C35" s="161">
        <v>0</v>
      </c>
      <c r="D35" s="242">
        <v>0</v>
      </c>
      <c r="E35" s="242">
        <v>0</v>
      </c>
      <c r="F35" s="242"/>
      <c r="G35" s="243"/>
      <c r="H35" s="242"/>
      <c r="I35" s="161"/>
      <c r="J35" s="243"/>
      <c r="K35" s="243"/>
      <c r="L35" s="161"/>
      <c r="M35" s="161"/>
      <c r="N35" s="161"/>
      <c r="O35" s="422"/>
      <c r="P35" s="202"/>
      <c r="Q35" s="428" t="s">
        <v>11</v>
      </c>
      <c r="R35" s="429" t="s">
        <v>62</v>
      </c>
      <c r="S35" s="425">
        <v>0</v>
      </c>
      <c r="T35" s="430">
        <v>0</v>
      </c>
    </row>
    <row r="36" spans="1:20" ht="15.75">
      <c r="A36" s="427"/>
      <c r="B36" s="421" t="s">
        <v>144</v>
      </c>
      <c r="C36" s="161">
        <f>SUM(D36:N36)</f>
        <v>0</v>
      </c>
      <c r="D36" s="161">
        <v>0</v>
      </c>
      <c r="E36" s="161"/>
      <c r="F36" s="161"/>
      <c r="G36" s="242">
        <v>0</v>
      </c>
      <c r="H36" s="431"/>
      <c r="I36" s="161"/>
      <c r="J36" s="243"/>
      <c r="K36" s="161"/>
      <c r="L36" s="161"/>
      <c r="M36" s="161"/>
      <c r="N36" s="161"/>
      <c r="O36" s="422"/>
      <c r="P36" s="202"/>
      <c r="Q36" s="428" t="s">
        <v>11</v>
      </c>
      <c r="R36" s="429" t="s">
        <v>207</v>
      </c>
      <c r="S36" s="425">
        <v>0</v>
      </c>
      <c r="T36" s="430">
        <v>0</v>
      </c>
    </row>
    <row r="37" spans="1:20" ht="15.75">
      <c r="A37" s="427"/>
      <c r="B37" s="421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2">
        <v>0.01</v>
      </c>
      <c r="P37" s="202"/>
      <c r="Q37" s="433" t="s">
        <v>80</v>
      </c>
      <c r="R37" s="434" t="s">
        <v>59</v>
      </c>
      <c r="S37" s="435">
        <f>-T28-C34</f>
        <v>172020.34000000032</v>
      </c>
      <c r="T37" s="436">
        <v>0</v>
      </c>
    </row>
    <row r="38" spans="1:20" ht="16.5" thickBot="1">
      <c r="A38" s="437">
        <f>A34</f>
        <v>41243</v>
      </c>
      <c r="B38" s="161" t="s">
        <v>56</v>
      </c>
      <c r="C38" s="390">
        <f t="shared" ref="C38:H38" si="4">SUM(C34:C37,C20)</f>
        <v>921481.31055594166</v>
      </c>
      <c r="D38" s="390">
        <f t="shared" si="4"/>
        <v>-494066.80763967684</v>
      </c>
      <c r="E38" s="390">
        <f t="shared" si="4"/>
        <v>1423852.9981956196</v>
      </c>
      <c r="F38" s="390">
        <f t="shared" si="4"/>
        <v>0</v>
      </c>
      <c r="G38" s="390">
        <f t="shared" si="4"/>
        <v>0</v>
      </c>
      <c r="H38" s="390">
        <f t="shared" si="4"/>
        <v>-8304.8799999999992</v>
      </c>
      <c r="I38" s="390">
        <f t="shared" ref="I38:L38" si="5">SUM(I29:I37)</f>
        <v>0</v>
      </c>
      <c r="J38" s="390">
        <f t="shared" si="5"/>
        <v>0</v>
      </c>
      <c r="K38" s="390">
        <f t="shared" si="5"/>
        <v>0</v>
      </c>
      <c r="L38" s="390">
        <f t="shared" si="5"/>
        <v>0</v>
      </c>
      <c r="M38" s="390">
        <f>SUM(M32:M37)</f>
        <v>0</v>
      </c>
      <c r="N38" s="390">
        <f>SUM(N32:N37)</f>
        <v>0</v>
      </c>
      <c r="O38" s="161"/>
      <c r="P38" s="202"/>
      <c r="Q38" s="438" t="s">
        <v>154</v>
      </c>
      <c r="R38" s="434" t="s">
        <v>77</v>
      </c>
      <c r="S38" s="435">
        <f>C28-C37</f>
        <v>71.670000000000016</v>
      </c>
      <c r="T38" s="436">
        <v>0</v>
      </c>
    </row>
    <row r="39" spans="1:20" ht="16.5" thickTop="1" thickBot="1">
      <c r="A39" s="25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9" t="s">
        <v>83</v>
      </c>
      <c r="R39" s="440" t="s">
        <v>78</v>
      </c>
      <c r="S39" s="441">
        <v>0</v>
      </c>
      <c r="T39" s="442">
        <v>0</v>
      </c>
    </row>
    <row r="40" spans="1:20">
      <c r="A40" s="25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8">
        <f>ROUND(SUM(S34:T39),2)</f>
        <v>0</v>
      </c>
    </row>
    <row r="41" spans="1:20" s="384" customFormat="1" ht="15.75" thickBot="1">
      <c r="A41" s="53"/>
    </row>
    <row r="42" spans="1:20" s="384" customFormat="1" ht="16.5" thickBot="1">
      <c r="A42" s="58"/>
      <c r="Q42" s="336" t="s">
        <v>107</v>
      </c>
      <c r="R42" s="332"/>
      <c r="S42" s="332"/>
      <c r="T42" s="228"/>
    </row>
    <row r="43" spans="1:20" s="384" customFormat="1" ht="15.75">
      <c r="A43" s="58">
        <v>41274</v>
      </c>
      <c r="B43" s="59" t="s">
        <v>84</v>
      </c>
      <c r="C43" s="50">
        <f>SUM(D43:N43)</f>
        <v>134368.12753900047</v>
      </c>
      <c r="D43" s="241">
        <v>505847.59770200029</v>
      </c>
      <c r="E43" s="241">
        <v>-371479.47016299982</v>
      </c>
      <c r="F43" s="242">
        <v>0</v>
      </c>
      <c r="G43" s="242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5" t="s">
        <v>81</v>
      </c>
      <c r="R43" s="346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4" customFormat="1" ht="15.75">
      <c r="A44" s="62"/>
      <c r="B44" s="59" t="s">
        <v>148</v>
      </c>
      <c r="C44" s="50">
        <v>0</v>
      </c>
      <c r="D44" s="242">
        <v>0</v>
      </c>
      <c r="E44" s="242">
        <v>0</v>
      </c>
      <c r="F44" s="242"/>
      <c r="G44" s="243"/>
      <c r="H44" s="60"/>
      <c r="I44" s="50"/>
      <c r="J44" s="87"/>
      <c r="K44" s="87"/>
      <c r="L44" s="50"/>
      <c r="M44" s="50"/>
      <c r="N44" s="50"/>
      <c r="O44" s="106"/>
      <c r="P44" s="50"/>
      <c r="Q44" s="347" t="s">
        <v>11</v>
      </c>
      <c r="R44" s="348" t="s">
        <v>62</v>
      </c>
      <c r="S44" s="112">
        <v>0</v>
      </c>
      <c r="T44" s="227">
        <v>0</v>
      </c>
    </row>
    <row r="45" spans="1:20" s="384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2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7" t="s">
        <v>11</v>
      </c>
      <c r="R45" s="348" t="s">
        <v>207</v>
      </c>
      <c r="S45" s="112">
        <v>0</v>
      </c>
      <c r="T45" s="227">
        <v>0</v>
      </c>
    </row>
    <row r="46" spans="1:20" s="384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0" t="s">
        <v>80</v>
      </c>
      <c r="R46" s="339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4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2" t="s">
        <v>154</v>
      </c>
      <c r="R47" s="339" t="s">
        <v>77</v>
      </c>
      <c r="S47" s="88">
        <f>IF(C46&lt;0,C46,0)</f>
        <v>0</v>
      </c>
      <c r="T47" s="89">
        <f>IF(-C46&lt;0,-C46,0)</f>
        <v>-823.89</v>
      </c>
    </row>
    <row r="48" spans="1:20" s="384" customFormat="1" ht="16.5" thickTop="1" thickBot="1">
      <c r="A48" s="53"/>
      <c r="Q48" s="343" t="s">
        <v>83</v>
      </c>
      <c r="R48" s="341" t="s">
        <v>78</v>
      </c>
      <c r="S48" s="118">
        <f>IF(-C46&gt;0,-C46,0)</f>
        <v>0</v>
      </c>
      <c r="T48" s="111"/>
    </row>
    <row r="49" spans="1:20" s="384" customFormat="1">
      <c r="A49" s="53"/>
      <c r="T49" s="338">
        <f>ROUND(SUM(S43:T48),2)</f>
        <v>0</v>
      </c>
    </row>
    <row r="50" spans="1:20" ht="15.75" thickBot="1"/>
    <row r="51" spans="1:20" s="384" customFormat="1" ht="16.5" thickBot="1">
      <c r="A51" s="58"/>
      <c r="Q51" s="336" t="s">
        <v>107</v>
      </c>
      <c r="R51" s="332"/>
      <c r="S51" s="332"/>
      <c r="T51" s="228"/>
    </row>
    <row r="52" spans="1:20" s="384" customFormat="1" ht="15.75">
      <c r="A52" s="58">
        <v>41275</v>
      </c>
      <c r="B52" s="59" t="s">
        <v>84</v>
      </c>
      <c r="C52" s="50">
        <f>SUM(D52:N52)</f>
        <v>-1358486.1640380016</v>
      </c>
      <c r="D52" s="241">
        <v>-794093.61202800181</v>
      </c>
      <c r="E52" s="241">
        <v>-564392.55200999975</v>
      </c>
      <c r="F52" s="242">
        <v>0</v>
      </c>
      <c r="G52" s="242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5" t="s">
        <v>81</v>
      </c>
      <c r="R52" s="346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4" customFormat="1" ht="15.75">
      <c r="A53" s="62"/>
      <c r="B53" s="59" t="s">
        <v>148</v>
      </c>
      <c r="C53" s="50">
        <v>0</v>
      </c>
      <c r="D53" s="242">
        <v>0</v>
      </c>
      <c r="E53" s="242">
        <v>0</v>
      </c>
      <c r="F53" s="242"/>
      <c r="G53" s="243"/>
      <c r="H53" s="60"/>
      <c r="I53" s="50"/>
      <c r="J53" s="87"/>
      <c r="K53" s="87"/>
      <c r="L53" s="50"/>
      <c r="M53" s="50"/>
      <c r="N53" s="50"/>
      <c r="O53" s="106"/>
      <c r="P53" s="50"/>
      <c r="Q53" s="347" t="s">
        <v>11</v>
      </c>
      <c r="R53" s="348" t="s">
        <v>62</v>
      </c>
      <c r="S53" s="112">
        <v>0</v>
      </c>
      <c r="T53" s="227">
        <v>0</v>
      </c>
    </row>
    <row r="54" spans="1:20" s="384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2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7" t="s">
        <v>11</v>
      </c>
      <c r="R54" s="348" t="s">
        <v>207</v>
      </c>
      <c r="S54" s="112">
        <v>0</v>
      </c>
      <c r="T54" s="227">
        <v>0</v>
      </c>
    </row>
    <row r="55" spans="1:20" s="384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0" t="s">
        <v>80</v>
      </c>
      <c r="R55" s="339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4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2" t="s">
        <v>154</v>
      </c>
      <c r="R56" s="339" t="s">
        <v>77</v>
      </c>
      <c r="S56" s="88">
        <f>IF(C55&lt;0,C55,0)</f>
        <v>0</v>
      </c>
      <c r="T56" s="89">
        <f>IF(-C55&lt;0,-C55,0)</f>
        <v>-314.52999999999997</v>
      </c>
    </row>
    <row r="57" spans="1:20" s="384" customFormat="1" ht="16.5" thickTop="1" thickBot="1">
      <c r="A57" s="53"/>
      <c r="Q57" s="343" t="s">
        <v>83</v>
      </c>
      <c r="R57" s="341" t="s">
        <v>78</v>
      </c>
      <c r="S57" s="118">
        <f>IF(-C55&gt;0,-C55,0)</f>
        <v>0</v>
      </c>
      <c r="T57" s="111"/>
    </row>
    <row r="58" spans="1:20" s="384" customFormat="1">
      <c r="A58" s="53"/>
      <c r="T58" s="338">
        <f>ROUND(SUM(S52:T57),2)</f>
        <v>0</v>
      </c>
    </row>
    <row r="59" spans="1:20" s="384" customFormat="1" ht="15.75" thickBot="1">
      <c r="A59" s="53"/>
    </row>
    <row r="60" spans="1:20" s="384" customFormat="1" ht="16.5" thickBot="1">
      <c r="A60" s="58"/>
      <c r="Q60" s="336" t="s">
        <v>107</v>
      </c>
      <c r="R60" s="332"/>
      <c r="S60" s="332"/>
      <c r="T60" s="228"/>
    </row>
    <row r="61" spans="1:20" s="384" customFormat="1" ht="15.75">
      <c r="A61" s="58">
        <v>41333</v>
      </c>
      <c r="B61" s="59" t="s">
        <v>84</v>
      </c>
      <c r="C61" s="50">
        <f>SUM(D61:N61)</f>
        <v>187567.52458600083</v>
      </c>
      <c r="D61" s="241">
        <v>369349.48148000054</v>
      </c>
      <c r="E61" s="241">
        <v>-181781.95689399971</v>
      </c>
      <c r="F61" s="242">
        <v>0</v>
      </c>
      <c r="G61" s="242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5" t="s">
        <v>81</v>
      </c>
      <c r="R61" s="346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4" customFormat="1" ht="15.75">
      <c r="A62" s="62"/>
      <c r="B62" s="59" t="s">
        <v>148</v>
      </c>
      <c r="C62" s="50">
        <v>0</v>
      </c>
      <c r="D62" s="242">
        <v>0</v>
      </c>
      <c r="E62" s="242">
        <v>0</v>
      </c>
      <c r="F62" s="242"/>
      <c r="G62" s="243"/>
      <c r="H62" s="60"/>
      <c r="I62" s="50"/>
      <c r="J62" s="87"/>
      <c r="K62" s="87"/>
      <c r="L62" s="50"/>
      <c r="M62" s="50"/>
      <c r="N62" s="50"/>
      <c r="O62" s="106"/>
      <c r="P62" s="50"/>
      <c r="Q62" s="347" t="s">
        <v>11</v>
      </c>
      <c r="R62" s="348" t="s">
        <v>62</v>
      </c>
      <c r="S62" s="112">
        <v>0</v>
      </c>
      <c r="T62" s="227">
        <v>0</v>
      </c>
    </row>
    <row r="63" spans="1:20" s="384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2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7" t="s">
        <v>11</v>
      </c>
      <c r="R63" s="348" t="s">
        <v>207</v>
      </c>
      <c r="S63" s="112">
        <v>0</v>
      </c>
      <c r="T63" s="227">
        <v>0</v>
      </c>
    </row>
    <row r="64" spans="1:20" s="384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0" t="s">
        <v>80</v>
      </c>
      <c r="R64" s="339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4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2" t="s">
        <v>154</v>
      </c>
      <c r="R65" s="339" t="s">
        <v>77</v>
      </c>
      <c r="S65" s="88">
        <f>IF(-C64&lt;0,C64,0)</f>
        <v>0</v>
      </c>
      <c r="T65" s="89">
        <f>IF(-C64&lt;0,-C64,0)</f>
        <v>0</v>
      </c>
    </row>
    <row r="66" spans="1:20" s="384" customFormat="1" ht="16.5" thickTop="1" thickBot="1">
      <c r="A66" s="53"/>
      <c r="Q66" s="343" t="s">
        <v>83</v>
      </c>
      <c r="R66" s="341" t="s">
        <v>78</v>
      </c>
      <c r="S66" s="118">
        <f>IF(-C64&gt;0,-C64,0)</f>
        <v>173.1</v>
      </c>
      <c r="T66" s="111">
        <f>IF(-C64&lt;0,-C64,0)</f>
        <v>0</v>
      </c>
    </row>
    <row r="67" spans="1:20" s="384" customFormat="1">
      <c r="A67" s="53"/>
      <c r="T67" s="338">
        <f>ROUND(SUM(S61:T66),2)</f>
        <v>0</v>
      </c>
    </row>
    <row r="68" spans="1:20" s="384" customFormat="1" ht="15.75" thickBot="1">
      <c r="A68" s="53"/>
    </row>
    <row r="69" spans="1:20" s="384" customFormat="1" ht="16.5" thickBot="1">
      <c r="A69" s="58"/>
      <c r="Q69" s="336" t="s">
        <v>107</v>
      </c>
      <c r="R69" s="332"/>
      <c r="S69" s="332"/>
      <c r="T69" s="228"/>
    </row>
    <row r="70" spans="1:20" s="384" customFormat="1" ht="15.75">
      <c r="A70" s="58">
        <v>41364</v>
      </c>
      <c r="B70" s="59" t="s">
        <v>84</v>
      </c>
      <c r="C70" s="50">
        <f>SUM(D70:N70)</f>
        <v>-70192.864177000942</v>
      </c>
      <c r="D70" s="241">
        <v>140554.57549299859</v>
      </c>
      <c r="E70" s="241">
        <v>-210747.43966999953</v>
      </c>
      <c r="F70" s="242">
        <v>0</v>
      </c>
      <c r="G70" s="242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5" t="s">
        <v>81</v>
      </c>
      <c r="R70" s="346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4" customFormat="1" ht="15.75">
      <c r="A71" s="62"/>
      <c r="B71" s="59" t="s">
        <v>148</v>
      </c>
      <c r="C71" s="50">
        <v>0</v>
      </c>
      <c r="D71" s="242">
        <v>0</v>
      </c>
      <c r="E71" s="242">
        <v>0</v>
      </c>
      <c r="F71" s="242"/>
      <c r="G71" s="243"/>
      <c r="H71" s="60"/>
      <c r="I71" s="50"/>
      <c r="J71" s="87"/>
      <c r="K71" s="87"/>
      <c r="L71" s="50"/>
      <c r="M71" s="50"/>
      <c r="N71" s="50"/>
      <c r="O71" s="106"/>
      <c r="P71" s="50"/>
      <c r="Q71" s="347" t="s">
        <v>11</v>
      </c>
      <c r="R71" s="348" t="s">
        <v>62</v>
      </c>
      <c r="S71" s="112">
        <v>0</v>
      </c>
      <c r="T71" s="227">
        <v>0</v>
      </c>
    </row>
    <row r="72" spans="1:20" s="384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2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7" t="s">
        <v>11</v>
      </c>
      <c r="R72" s="348" t="s">
        <v>207</v>
      </c>
      <c r="S72" s="112">
        <v>0</v>
      </c>
      <c r="T72" s="227">
        <v>0</v>
      </c>
    </row>
    <row r="73" spans="1:20" s="384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0" t="s">
        <v>80</v>
      </c>
      <c r="R73" s="339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4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2" t="s">
        <v>154</v>
      </c>
      <c r="R74" s="339" t="s">
        <v>77</v>
      </c>
      <c r="S74" s="88">
        <f>IF(-C73&lt;0,C73,0)</f>
        <v>0</v>
      </c>
      <c r="T74" s="89">
        <f>IF(-C73&lt;0,-C73,0)</f>
        <v>0</v>
      </c>
    </row>
    <row r="75" spans="1:20" s="384" customFormat="1" ht="16.5" thickTop="1" thickBot="1">
      <c r="A75" s="53"/>
      <c r="Q75" s="343" t="s">
        <v>83</v>
      </c>
      <c r="R75" s="341" t="s">
        <v>78</v>
      </c>
      <c r="S75" s="118">
        <f>IF(-C73&gt;0,-C73,0)</f>
        <v>124.33</v>
      </c>
      <c r="T75" s="111">
        <f>IF(-C73&lt;0,-C73,0)</f>
        <v>0</v>
      </c>
    </row>
    <row r="76" spans="1:20" s="384" customFormat="1">
      <c r="A76" s="53"/>
      <c r="T76" s="338">
        <f>ROUND(SUM(S70:T75),2)</f>
        <v>0</v>
      </c>
    </row>
    <row r="77" spans="1:20" s="384" customFormat="1" ht="15.75" thickBot="1">
      <c r="A77" s="53"/>
    </row>
    <row r="78" spans="1:20" s="384" customFormat="1" ht="16.5" thickBot="1">
      <c r="A78" s="58"/>
      <c r="Q78" s="336" t="s">
        <v>107</v>
      </c>
      <c r="R78" s="332"/>
      <c r="S78" s="332"/>
      <c r="T78" s="228"/>
    </row>
    <row r="79" spans="1:20" s="384" customFormat="1" ht="15.75">
      <c r="A79" s="58">
        <v>41394</v>
      </c>
      <c r="B79" s="59" t="s">
        <v>84</v>
      </c>
      <c r="C79" s="50">
        <f>SUM(D79:N79)</f>
        <v>-119237.76640399999</v>
      </c>
      <c r="D79" s="241">
        <v>-143506.72479399992</v>
      </c>
      <c r="E79" s="241">
        <v>24268.958389999927</v>
      </c>
      <c r="F79" s="242">
        <v>0</v>
      </c>
      <c r="G79" s="242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5" t="s">
        <v>81</v>
      </c>
      <c r="R79" s="346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4" customFormat="1" ht="15.75">
      <c r="A80" s="62"/>
      <c r="B80" s="59" t="s">
        <v>148</v>
      </c>
      <c r="C80" s="50">
        <v>0</v>
      </c>
      <c r="D80" s="242">
        <v>0</v>
      </c>
      <c r="E80" s="242">
        <v>0</v>
      </c>
      <c r="F80" s="242"/>
      <c r="G80" s="243"/>
      <c r="H80" s="60"/>
      <c r="I80" s="50"/>
      <c r="J80" s="87"/>
      <c r="K80" s="87"/>
      <c r="L80" s="50"/>
      <c r="M80" s="50"/>
      <c r="N80" s="50"/>
      <c r="O80" s="106"/>
      <c r="P80" s="50"/>
      <c r="Q80" s="347" t="s">
        <v>11</v>
      </c>
      <c r="R80" s="348" t="s">
        <v>62</v>
      </c>
      <c r="S80" s="112">
        <v>0</v>
      </c>
      <c r="T80" s="227">
        <v>0</v>
      </c>
    </row>
    <row r="81" spans="1:20" s="384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2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7" t="s">
        <v>11</v>
      </c>
      <c r="R81" s="348" t="s">
        <v>207</v>
      </c>
      <c r="S81" s="112">
        <v>0</v>
      </c>
      <c r="T81" s="227">
        <v>0</v>
      </c>
    </row>
    <row r="82" spans="1:20" s="384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0" t="s">
        <v>80</v>
      </c>
      <c r="R82" s="339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4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2" t="s">
        <v>154</v>
      </c>
      <c r="R83" s="339" t="s">
        <v>77</v>
      </c>
      <c r="S83" s="88">
        <f>IF(-C82&lt;0,C82,0)</f>
        <v>0</v>
      </c>
      <c r="T83" s="89">
        <f>IF(-C82&lt;0,-C82,0)</f>
        <v>0</v>
      </c>
    </row>
    <row r="84" spans="1:20" s="384" customFormat="1" ht="16.5" thickTop="1" thickBot="1">
      <c r="A84" s="53"/>
      <c r="C84" s="385"/>
      <c r="Q84" s="343" t="s">
        <v>83</v>
      </c>
      <c r="R84" s="341" t="s">
        <v>78</v>
      </c>
      <c r="S84" s="118">
        <f>IF(-C82&gt;0,-C82,0)</f>
        <v>203.37</v>
      </c>
      <c r="T84" s="111">
        <f>IF(-C82&lt;0,-C82,0)</f>
        <v>0</v>
      </c>
    </row>
    <row r="85" spans="1:20" s="384" customFormat="1">
      <c r="A85" s="53"/>
      <c r="T85" s="338">
        <f>ROUND(SUM(S79:T84),2)</f>
        <v>0</v>
      </c>
    </row>
    <row r="86" spans="1:20" s="384" customFormat="1" ht="15.75" thickBot="1">
      <c r="A86" s="53"/>
    </row>
    <row r="87" spans="1:20" s="384" customFormat="1" ht="16.5" thickBot="1">
      <c r="A87" s="58"/>
      <c r="Q87" s="336" t="s">
        <v>107</v>
      </c>
      <c r="R87" s="332"/>
      <c r="S87" s="332"/>
      <c r="T87" s="228"/>
    </row>
    <row r="88" spans="1:20" s="384" customFormat="1" ht="15.75">
      <c r="A88" s="58">
        <v>41425</v>
      </c>
      <c r="B88" s="59" t="s">
        <v>84</v>
      </c>
      <c r="C88" s="50">
        <f>SUM(D88:N88)</f>
        <v>96129.565981999214</v>
      </c>
      <c r="D88" s="241">
        <v>-261363.31669000082</v>
      </c>
      <c r="E88" s="241">
        <v>357492.88267200004</v>
      </c>
      <c r="F88" s="242">
        <v>0</v>
      </c>
      <c r="G88" s="242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5" t="s">
        <v>81</v>
      </c>
      <c r="R88" s="346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4" customFormat="1" ht="15.75">
      <c r="A89" s="62"/>
      <c r="B89" s="59" t="s">
        <v>148</v>
      </c>
      <c r="C89" s="50">
        <v>0</v>
      </c>
      <c r="D89" s="242">
        <v>0</v>
      </c>
      <c r="E89" s="242">
        <v>0</v>
      </c>
      <c r="F89" s="242"/>
      <c r="G89" s="243"/>
      <c r="H89" s="60"/>
      <c r="I89" s="50"/>
      <c r="J89" s="87"/>
      <c r="K89" s="87"/>
      <c r="L89" s="50"/>
      <c r="M89" s="50"/>
      <c r="N89" s="50"/>
      <c r="O89" s="106"/>
      <c r="P89" s="50"/>
      <c r="Q89" s="347" t="s">
        <v>11</v>
      </c>
      <c r="R89" s="348" t="s">
        <v>62</v>
      </c>
      <c r="S89" s="112">
        <v>0</v>
      </c>
      <c r="T89" s="227">
        <v>0</v>
      </c>
    </row>
    <row r="90" spans="1:20" s="384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2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7" t="s">
        <v>11</v>
      </c>
      <c r="R90" s="348" t="s">
        <v>207</v>
      </c>
      <c r="S90" s="112">
        <v>0</v>
      </c>
      <c r="T90" s="227">
        <v>0</v>
      </c>
    </row>
    <row r="91" spans="1:20" s="384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0" t="s">
        <v>80</v>
      </c>
      <c r="R91" s="339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4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2" t="s">
        <v>154</v>
      </c>
      <c r="R92" s="339" t="s">
        <v>77</v>
      </c>
      <c r="S92" s="88">
        <f>IF(-C91&lt;0,C91,0)</f>
        <v>0</v>
      </c>
      <c r="T92" s="89">
        <f>IF(-C91&lt;0,-C91,0)</f>
        <v>0</v>
      </c>
    </row>
    <row r="93" spans="1:20" s="384" customFormat="1" ht="16.5" thickTop="1" thickBot="1">
      <c r="A93" s="53"/>
      <c r="Q93" s="343" t="s">
        <v>83</v>
      </c>
      <c r="R93" s="341" t="s">
        <v>78</v>
      </c>
      <c r="S93" s="118">
        <f>IF(-C91&gt;0,-C91,0)</f>
        <v>213.16</v>
      </c>
      <c r="T93" s="111">
        <f>IF(-C91&lt;0,-C91,0)</f>
        <v>0</v>
      </c>
    </row>
    <row r="94" spans="1:20" s="384" customFormat="1">
      <c r="A94" s="53"/>
      <c r="T94" s="338">
        <f>ROUND(SUM(S88:T93),2)</f>
        <v>0</v>
      </c>
    </row>
    <row r="95" spans="1:20" s="384" customFormat="1" ht="15.75" thickBot="1">
      <c r="A95" s="53"/>
    </row>
    <row r="96" spans="1:20" s="384" customFormat="1" ht="16.5" thickBot="1">
      <c r="A96" s="58"/>
      <c r="Q96" s="336" t="s">
        <v>107</v>
      </c>
      <c r="R96" s="332"/>
      <c r="S96" s="332"/>
      <c r="T96" s="228"/>
    </row>
    <row r="97" spans="1:20" s="384" customFormat="1" ht="15.75">
      <c r="A97" s="58">
        <v>41426</v>
      </c>
      <c r="B97" s="59" t="s">
        <v>84</v>
      </c>
      <c r="C97" s="50">
        <f>SUM(D97:N97)</f>
        <v>316646.56350300065</v>
      </c>
      <c r="D97" s="241">
        <v>-87258.97678599949</v>
      </c>
      <c r="E97" s="241">
        <v>403905.54028900014</v>
      </c>
      <c r="F97" s="242">
        <v>0</v>
      </c>
      <c r="G97" s="242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5" t="s">
        <v>81</v>
      </c>
      <c r="R97" s="346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4" customFormat="1" ht="15.75">
      <c r="A98" s="62"/>
      <c r="B98" s="59" t="s">
        <v>148</v>
      </c>
      <c r="C98" s="50">
        <v>0</v>
      </c>
      <c r="D98" s="242">
        <v>0</v>
      </c>
      <c r="E98" s="242">
        <v>0</v>
      </c>
      <c r="F98" s="242"/>
      <c r="G98" s="243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112">
        <v>0</v>
      </c>
      <c r="T98" s="227">
        <v>0</v>
      </c>
    </row>
    <row r="99" spans="1:20" s="384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2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7" t="s">
        <v>11</v>
      </c>
      <c r="R99" s="348" t="s">
        <v>207</v>
      </c>
      <c r="S99" s="112">
        <v>0</v>
      </c>
      <c r="T99" s="227">
        <v>0</v>
      </c>
    </row>
    <row r="100" spans="1:20" s="384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80</v>
      </c>
      <c r="R100" s="339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4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2" t="s">
        <v>154</v>
      </c>
      <c r="R101" s="339" t="s">
        <v>77</v>
      </c>
      <c r="S101" s="88">
        <f>IF(-C100&lt;0,C100,0)</f>
        <v>0</v>
      </c>
      <c r="T101" s="89">
        <f>IF(-C100&lt;0,-C100,0)</f>
        <v>0</v>
      </c>
    </row>
    <row r="102" spans="1:20" s="384" customFormat="1" ht="16.5" thickTop="1" thickBot="1">
      <c r="A102" s="53"/>
      <c r="Q102" s="343" t="s">
        <v>83</v>
      </c>
      <c r="R102" s="341" t="s">
        <v>78</v>
      </c>
      <c r="S102" s="118">
        <f>IF(-C100&gt;0,-C100,0)</f>
        <v>41.35</v>
      </c>
      <c r="T102" s="111">
        <f>IF(-C100&lt;0,-C100,0)</f>
        <v>0</v>
      </c>
    </row>
    <row r="103" spans="1:20" s="384" customFormat="1">
      <c r="A103" s="53"/>
      <c r="T103" s="338">
        <f>ROUND(SUM(S97:T102),2)</f>
        <v>0</v>
      </c>
    </row>
    <row r="104" spans="1:20" ht="15.75" thickBot="1"/>
    <row r="105" spans="1:20" s="384" customFormat="1" ht="16.5" thickBot="1">
      <c r="A105" s="58"/>
      <c r="Q105" s="336" t="s">
        <v>107</v>
      </c>
      <c r="R105" s="332"/>
      <c r="S105" s="332"/>
      <c r="T105" s="228"/>
    </row>
    <row r="106" spans="1:20" s="384" customFormat="1" ht="15.75">
      <c r="A106" s="58">
        <v>41456</v>
      </c>
      <c r="B106" s="59" t="s">
        <v>84</v>
      </c>
      <c r="C106" s="50">
        <f>SUM(D106:N106)</f>
        <v>269453.32351300115</v>
      </c>
      <c r="D106" s="241">
        <v>-247183.18822599918</v>
      </c>
      <c r="E106" s="241">
        <v>516636.51173900033</v>
      </c>
      <c r="F106" s="242">
        <v>0</v>
      </c>
      <c r="G106" s="242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5" t="s">
        <v>81</v>
      </c>
      <c r="R106" s="346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4" customFormat="1" ht="15.75">
      <c r="A107" s="62"/>
      <c r="B107" s="59" t="s">
        <v>148</v>
      </c>
      <c r="C107" s="50">
        <v>0</v>
      </c>
      <c r="D107" s="242">
        <v>0</v>
      </c>
      <c r="E107" s="242">
        <v>0</v>
      </c>
      <c r="F107" s="242"/>
      <c r="G107" s="243"/>
      <c r="H107" s="60"/>
      <c r="I107" s="50"/>
      <c r="J107" s="87"/>
      <c r="K107" s="87"/>
      <c r="L107" s="50"/>
      <c r="M107" s="50"/>
      <c r="N107" s="50"/>
      <c r="O107" s="106"/>
      <c r="P107" s="50"/>
      <c r="Q107" s="347" t="s">
        <v>11</v>
      </c>
      <c r="R107" s="348" t="s">
        <v>62</v>
      </c>
      <c r="S107" s="112">
        <v>0</v>
      </c>
      <c r="T107" s="227">
        <v>0</v>
      </c>
    </row>
    <row r="108" spans="1:20" s="384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2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7" t="s">
        <v>11</v>
      </c>
      <c r="R108" s="348" t="s">
        <v>207</v>
      </c>
      <c r="S108" s="112">
        <v>0</v>
      </c>
      <c r="T108" s="227">
        <v>0</v>
      </c>
    </row>
    <row r="109" spans="1:20" s="384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0" t="s">
        <v>80</v>
      </c>
      <c r="R109" s="339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4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2" t="s">
        <v>154</v>
      </c>
      <c r="R110" s="339" t="s">
        <v>77</v>
      </c>
      <c r="S110" s="88">
        <v>0</v>
      </c>
      <c r="T110" s="89">
        <f>IF(-C109&lt;0,-C109,0)</f>
        <v>-202.82</v>
      </c>
    </row>
    <row r="111" spans="1:20" s="384" customFormat="1" ht="16.5" thickTop="1" thickBot="1">
      <c r="A111" s="53"/>
      <c r="Q111" s="343" t="s">
        <v>83</v>
      </c>
      <c r="R111" s="341" t="s">
        <v>78</v>
      </c>
      <c r="S111" s="118">
        <f>IF(-C109&gt;0,-C109,0)</f>
        <v>0</v>
      </c>
      <c r="T111" s="111">
        <v>0</v>
      </c>
    </row>
    <row r="112" spans="1:20" s="384" customFormat="1">
      <c r="A112" s="53"/>
      <c r="T112" s="338">
        <f>ROUND(SUM(S106:T111),2)</f>
        <v>0</v>
      </c>
    </row>
    <row r="113" spans="1:20" ht="15.75" thickBot="1"/>
    <row r="114" spans="1:20" s="384" customFormat="1" ht="16.5" thickBot="1">
      <c r="A114" s="58"/>
      <c r="Q114" s="336" t="s">
        <v>107</v>
      </c>
      <c r="R114" s="332"/>
      <c r="S114" s="332"/>
      <c r="T114" s="228"/>
    </row>
    <row r="115" spans="1:20" s="384" customFormat="1" ht="15.75">
      <c r="A115" s="58">
        <v>41487</v>
      </c>
      <c r="B115" s="59" t="s">
        <v>84</v>
      </c>
      <c r="C115" s="50">
        <f>SUM(D115:N115)</f>
        <v>112699.18364000041</v>
      </c>
      <c r="D115" s="241">
        <v>-357404.51535499981</v>
      </c>
      <c r="E115" s="241">
        <v>470103.69899500022</v>
      </c>
      <c r="F115" s="242">
        <v>0</v>
      </c>
      <c r="G115" s="242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5" t="s">
        <v>81</v>
      </c>
      <c r="R115" s="346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4" customFormat="1" ht="15.75">
      <c r="A116" s="62"/>
      <c r="B116" s="59" t="s">
        <v>148</v>
      </c>
      <c r="C116" s="50">
        <v>0</v>
      </c>
      <c r="D116" s="242">
        <v>0</v>
      </c>
      <c r="E116" s="242">
        <v>0</v>
      </c>
      <c r="F116" s="242"/>
      <c r="G116" s="243"/>
      <c r="H116" s="60"/>
      <c r="I116" s="50"/>
      <c r="J116" s="87"/>
      <c r="K116" s="87"/>
      <c r="L116" s="50"/>
      <c r="M116" s="50"/>
      <c r="N116" s="50"/>
      <c r="O116" s="106"/>
      <c r="P116" s="50"/>
      <c r="Q116" s="347" t="s">
        <v>11</v>
      </c>
      <c r="R116" s="348" t="s">
        <v>62</v>
      </c>
      <c r="S116" s="112">
        <v>0</v>
      </c>
      <c r="T116" s="227">
        <v>0</v>
      </c>
    </row>
    <row r="117" spans="1:20" s="384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2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7" t="s">
        <v>11</v>
      </c>
      <c r="R117" s="348" t="s">
        <v>207</v>
      </c>
      <c r="S117" s="112">
        <v>0</v>
      </c>
      <c r="T117" s="227">
        <v>0</v>
      </c>
    </row>
    <row r="118" spans="1:20" s="384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0" t="s">
        <v>80</v>
      </c>
      <c r="R118" s="339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4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2" t="s">
        <v>154</v>
      </c>
      <c r="R119" s="339" t="s">
        <v>77</v>
      </c>
      <c r="S119" s="88">
        <v>0</v>
      </c>
      <c r="T119" s="89">
        <f>IF(-C118&lt;0,-C118,0)</f>
        <v>-362.22</v>
      </c>
    </row>
    <row r="120" spans="1:20" s="384" customFormat="1" ht="16.5" thickTop="1" thickBot="1">
      <c r="A120" s="53"/>
      <c r="Q120" s="343" t="s">
        <v>83</v>
      </c>
      <c r="R120" s="341" t="s">
        <v>78</v>
      </c>
      <c r="S120" s="118">
        <f>IF(-C118&gt;0,-C118,0)</f>
        <v>0</v>
      </c>
      <c r="T120" s="111">
        <v>0</v>
      </c>
    </row>
    <row r="121" spans="1:20" s="384" customFormat="1">
      <c r="A121" s="53"/>
      <c r="T121" s="338">
        <f>ROUND(SUM(S115:T120),2)</f>
        <v>0</v>
      </c>
    </row>
    <row r="122" spans="1:20" ht="15.75" thickBot="1"/>
    <row r="123" spans="1:20" s="384" customFormat="1" ht="16.5" thickBot="1">
      <c r="A123" s="58"/>
      <c r="Q123" s="336" t="s">
        <v>107</v>
      </c>
      <c r="R123" s="332"/>
      <c r="S123" s="332"/>
      <c r="T123" s="228"/>
    </row>
    <row r="124" spans="1:20" s="384" customFormat="1" ht="15.75">
      <c r="A124" s="58">
        <v>41518</v>
      </c>
      <c r="B124" s="59" t="s">
        <v>84</v>
      </c>
      <c r="C124" s="50">
        <f>SUM(D124:N124)</f>
        <v>-78276.439306000422</v>
      </c>
      <c r="D124" s="241">
        <v>-455176.44495200075</v>
      </c>
      <c r="E124" s="241">
        <v>376900.00564600033</v>
      </c>
      <c r="F124" s="242">
        <v>0</v>
      </c>
      <c r="G124" s="242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5" t="s">
        <v>81</v>
      </c>
      <c r="R124" s="346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4" customFormat="1" ht="15.75">
      <c r="A125" s="62"/>
      <c r="B125" s="59" t="s">
        <v>148</v>
      </c>
      <c r="C125" s="50">
        <v>0</v>
      </c>
      <c r="D125" s="242">
        <v>0</v>
      </c>
      <c r="E125" s="242">
        <v>0</v>
      </c>
      <c r="F125" s="242"/>
      <c r="G125" s="243"/>
      <c r="H125" s="60"/>
      <c r="I125" s="50"/>
      <c r="J125" s="87"/>
      <c r="K125" s="87"/>
      <c r="L125" s="50"/>
      <c r="M125" s="50"/>
      <c r="N125" s="50"/>
      <c r="O125" s="106"/>
      <c r="P125" s="50"/>
      <c r="Q125" s="347" t="s">
        <v>11</v>
      </c>
      <c r="R125" s="348" t="s">
        <v>62</v>
      </c>
      <c r="S125" s="112">
        <v>0</v>
      </c>
      <c r="T125" s="227">
        <v>0</v>
      </c>
    </row>
    <row r="126" spans="1:20" s="384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2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7" t="s">
        <v>11</v>
      </c>
      <c r="R126" s="348" t="s">
        <v>207</v>
      </c>
      <c r="S126" s="112">
        <v>0</v>
      </c>
      <c r="T126" s="227">
        <v>0</v>
      </c>
    </row>
    <row r="127" spans="1:20" s="384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0" t="s">
        <v>80</v>
      </c>
      <c r="R127" s="339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4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2" t="s">
        <v>154</v>
      </c>
      <c r="R128" s="339" t="s">
        <v>77</v>
      </c>
      <c r="S128" s="88">
        <v>0</v>
      </c>
      <c r="T128" s="89">
        <f>IF(-C127&lt;0,-C127,0)</f>
        <v>-376.87</v>
      </c>
    </row>
    <row r="129" spans="1:20" s="384" customFormat="1" ht="16.5" thickTop="1" thickBot="1">
      <c r="A129" s="53"/>
      <c r="Q129" s="343" t="s">
        <v>83</v>
      </c>
      <c r="R129" s="341" t="s">
        <v>78</v>
      </c>
      <c r="S129" s="118">
        <f>IF(-C127&gt;0,-C127,0)</f>
        <v>0</v>
      </c>
      <c r="T129" s="111">
        <v>0</v>
      </c>
    </row>
    <row r="130" spans="1:20" s="384" customFormat="1">
      <c r="A130" s="53"/>
      <c r="T130" s="338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2">
        <f>-D101</f>
        <v>764537.78326267947</v>
      </c>
      <c r="E131" s="242">
        <f>-E101-0.03</f>
        <v>-881118.99080962082</v>
      </c>
      <c r="F131" s="242"/>
      <c r="G131" s="243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4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4" customFormat="1" ht="15.75" thickTop="1">
      <c r="A133" s="53"/>
    </row>
    <row r="134" spans="1:20" s="384" customFormat="1">
      <c r="A134" s="53"/>
    </row>
    <row r="135" spans="1:20" s="384" customFormat="1" ht="15.75" thickBot="1">
      <c r="A135" s="53"/>
    </row>
    <row r="136" spans="1:20" s="384" customFormat="1" ht="16.5" thickBot="1">
      <c r="A136" s="58"/>
      <c r="Q136" s="336" t="s">
        <v>107</v>
      </c>
      <c r="R136" s="332"/>
      <c r="S136" s="332"/>
      <c r="T136" s="228"/>
    </row>
    <row r="137" spans="1:20" s="384" customFormat="1" ht="15.75">
      <c r="A137" s="58">
        <v>41578</v>
      </c>
      <c r="B137" s="59" t="s">
        <v>84</v>
      </c>
      <c r="C137" s="50">
        <f>SUM(D137:N137)</f>
        <v>-484520.52738299966</v>
      </c>
      <c r="D137" s="241">
        <v>-566000.77746000001</v>
      </c>
      <c r="E137" s="241">
        <v>81480.250077000353</v>
      </c>
      <c r="F137" s="242">
        <v>0</v>
      </c>
      <c r="G137" s="242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5" t="s">
        <v>81</v>
      </c>
      <c r="R137" s="346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4" customFormat="1" ht="15.75">
      <c r="A138" s="62"/>
      <c r="B138" s="59" t="s">
        <v>148</v>
      </c>
      <c r="C138" s="50">
        <f>SUM(D138:H138)</f>
        <v>0</v>
      </c>
      <c r="D138" s="242">
        <v>0</v>
      </c>
      <c r="E138" s="242">
        <v>0</v>
      </c>
      <c r="F138" s="242"/>
      <c r="G138" s="243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7" t="s">
        <v>11</v>
      </c>
      <c r="R138" s="348" t="s">
        <v>62</v>
      </c>
      <c r="S138" s="112">
        <f>-C131</f>
        <v>108659.43754694135</v>
      </c>
      <c r="T138" s="227">
        <v>0</v>
      </c>
    </row>
    <row r="139" spans="1:20" s="384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2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7" t="s">
        <v>11</v>
      </c>
      <c r="R139" s="348" t="s">
        <v>207</v>
      </c>
      <c r="S139" s="112">
        <v>0</v>
      </c>
      <c r="T139" s="227">
        <v>0</v>
      </c>
    </row>
    <row r="140" spans="1:20" s="384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0" t="s">
        <v>80</v>
      </c>
      <c r="R140" s="339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4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2" t="s">
        <v>154</v>
      </c>
      <c r="R141" s="339" t="s">
        <v>77</v>
      </c>
      <c r="S141" s="88">
        <v>0</v>
      </c>
      <c r="T141" s="89">
        <f>IF(-C140&lt;0,-C140,0)</f>
        <v>-52.13</v>
      </c>
    </row>
    <row r="142" spans="1:20" s="384" customFormat="1" ht="16.5" thickTop="1" thickBot="1">
      <c r="A142" s="53"/>
      <c r="Q142" s="343" t="s">
        <v>83</v>
      </c>
      <c r="R142" s="341" t="s">
        <v>78</v>
      </c>
      <c r="S142" s="118">
        <f>IF(-C140&gt;0,-C140,0)</f>
        <v>0</v>
      </c>
      <c r="T142" s="111">
        <v>0</v>
      </c>
    </row>
    <row r="143" spans="1:20" s="384" customFormat="1">
      <c r="A143" s="53"/>
      <c r="T143" s="338">
        <f>ROUND(SUM(S137:T142),2)</f>
        <v>0</v>
      </c>
    </row>
    <row r="144" spans="1:20" s="384" customFormat="1" ht="15.75" thickBot="1">
      <c r="A144" s="53"/>
    </row>
    <row r="145" spans="1:20" s="384" customFormat="1" ht="16.5" thickBot="1">
      <c r="A145" s="58"/>
      <c r="Q145" s="336" t="s">
        <v>107</v>
      </c>
      <c r="R145" s="332"/>
      <c r="S145" s="332"/>
      <c r="T145" s="228"/>
    </row>
    <row r="146" spans="1:20" s="384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1">
        <v>-244467.20447699772</v>
      </c>
      <c r="E146" s="241">
        <v>-348603.87026699982</v>
      </c>
      <c r="F146" s="242">
        <v>0</v>
      </c>
      <c r="G146" s="242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5" t="s">
        <v>81</v>
      </c>
      <c r="R146" s="346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4" customFormat="1" ht="15.75">
      <c r="A147" s="62"/>
      <c r="B147" s="59" t="s">
        <v>148</v>
      </c>
      <c r="C147" s="50">
        <f>SUM(D147:H147)</f>
        <v>2369.0025250000003</v>
      </c>
      <c r="D147" s="242">
        <v>2367.0300000000002</v>
      </c>
      <c r="E147" s="242">
        <v>0</v>
      </c>
      <c r="F147" s="242"/>
      <c r="G147" s="243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7" t="s">
        <v>11</v>
      </c>
      <c r="R147" s="348" t="s">
        <v>62</v>
      </c>
      <c r="S147" s="112">
        <v>0</v>
      </c>
      <c r="T147" s="227">
        <v>0</v>
      </c>
    </row>
    <row r="148" spans="1:20" s="384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2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7" t="s">
        <v>11</v>
      </c>
      <c r="R148" s="348" t="s">
        <v>207</v>
      </c>
      <c r="S148" s="112">
        <v>0</v>
      </c>
      <c r="T148" s="227">
        <v>0</v>
      </c>
    </row>
    <row r="149" spans="1:20" s="384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0" t="s">
        <v>80</v>
      </c>
      <c r="R149" s="339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4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2" t="s">
        <v>154</v>
      </c>
      <c r="R150" s="339" t="s">
        <v>77</v>
      </c>
      <c r="S150" s="88">
        <v>0</v>
      </c>
      <c r="T150" s="89">
        <f>IF(-C149&lt;0,-C149,0)</f>
        <v>0</v>
      </c>
    </row>
    <row r="151" spans="1:20" s="384" customFormat="1" ht="16.5" thickTop="1" thickBot="1">
      <c r="A151" s="53"/>
      <c r="Q151" s="343" t="s">
        <v>83</v>
      </c>
      <c r="R151" s="341" t="s">
        <v>78</v>
      </c>
      <c r="S151" s="118">
        <f>IF(-C149&gt;0,-C149,0)</f>
        <v>396.82</v>
      </c>
      <c r="T151" s="111">
        <v>0</v>
      </c>
    </row>
    <row r="152" spans="1:20" s="384" customFormat="1">
      <c r="A152" s="53"/>
      <c r="T152" s="338">
        <f>ROUND(SUM(S146:T151),2)</f>
        <v>0</v>
      </c>
    </row>
    <row r="153" spans="1:20" s="384" customFormat="1" ht="15.75" thickBot="1">
      <c r="A153" s="53"/>
    </row>
    <row r="154" spans="1:20" s="384" customFormat="1" ht="16.5" thickBot="1">
      <c r="A154" s="58"/>
      <c r="Q154" s="336" t="s">
        <v>238</v>
      </c>
      <c r="R154" s="332"/>
      <c r="S154" s="332"/>
      <c r="T154" s="228"/>
    </row>
    <row r="155" spans="1:20" s="384" customFormat="1" ht="15.75">
      <c r="A155" s="58">
        <f>EOMONTH(A150,1)</f>
        <v>41639</v>
      </c>
      <c r="B155" s="59" t="s">
        <v>84</v>
      </c>
      <c r="C155" s="50">
        <f>SUM(D155:N155)</f>
        <v>-1342040.3691409999</v>
      </c>
      <c r="D155" s="241">
        <f>Jan!$J$55</f>
        <v>-217727.43546999991</v>
      </c>
      <c r="E155" s="241">
        <f>Jan!$K$55</f>
        <v>-1124312.9336709999</v>
      </c>
      <c r="F155" s="242">
        <v>0</v>
      </c>
      <c r="G155" s="242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5" t="s">
        <v>81</v>
      </c>
      <c r="R155" s="346" t="s">
        <v>58</v>
      </c>
      <c r="S155" s="112">
        <f>IF((-C150+C159)&gt;0,(-C150+C159),0)</f>
        <v>0</v>
      </c>
      <c r="T155" s="117">
        <f>IF((-C150+C159)&lt;0,(-C150+C159),0)</f>
        <v>-1343241.8391410001</v>
      </c>
    </row>
    <row r="156" spans="1:20" s="384" customFormat="1" ht="15.75">
      <c r="A156" s="62"/>
      <c r="B156" s="59" t="s">
        <v>234</v>
      </c>
      <c r="C156" s="50">
        <f>SUM(D156:H156)</f>
        <v>0</v>
      </c>
      <c r="D156" s="242">
        <v>0</v>
      </c>
      <c r="E156" s="242">
        <v>0</v>
      </c>
      <c r="F156" s="242"/>
      <c r="G156" s="243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7" t="s">
        <v>11</v>
      </c>
      <c r="R156" s="348" t="s">
        <v>62</v>
      </c>
      <c r="S156" s="112">
        <v>0</v>
      </c>
      <c r="T156" s="227">
        <v>0</v>
      </c>
    </row>
    <row r="157" spans="1:20" s="384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2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7" t="s">
        <v>11</v>
      </c>
      <c r="R157" s="348" t="s">
        <v>207</v>
      </c>
      <c r="S157" s="112">
        <v>0</v>
      </c>
      <c r="T157" s="227">
        <v>0</v>
      </c>
    </row>
    <row r="158" spans="1:20" s="384" customFormat="1" ht="15.75">
      <c r="A158" s="62"/>
      <c r="B158" s="59" t="s">
        <v>57</v>
      </c>
      <c r="C158" s="64">
        <f>SUM(D158:N158)</f>
        <v>-1201.47</v>
      </c>
      <c r="D158" s="64"/>
      <c r="E158" s="64"/>
      <c r="F158" s="64"/>
      <c r="G158" s="64"/>
      <c r="H158" s="64">
        <f>ROUND(((C150)+(C155)/2)*(O158/12),2)</f>
        <v>-1201.47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0" t="s">
        <v>80</v>
      </c>
      <c r="R158" s="339" t="s">
        <v>59</v>
      </c>
      <c r="S158" s="88">
        <f>IF((-C155-C157)&gt;0,(-C155-C157),0)</f>
        <v>1342040.3691409999</v>
      </c>
      <c r="T158" s="89">
        <f>IF((-C155-C156-C157)&lt;0,(-C155-C156-C157),0)</f>
        <v>0</v>
      </c>
    </row>
    <row r="159" spans="1:20" s="384" customFormat="1" ht="16.5" thickBot="1">
      <c r="A159" s="104">
        <f>A155</f>
        <v>41639</v>
      </c>
      <c r="B159" s="50" t="s">
        <v>56</v>
      </c>
      <c r="C159" s="158">
        <f>SUM(C150:C158)</f>
        <v>-2113991.1808959972</v>
      </c>
      <c r="D159" s="158">
        <f t="shared" ref="D159" si="22">SUM(D150:D158)</f>
        <v>-2085592.5359399973</v>
      </c>
      <c r="E159" s="158">
        <f t="shared" ref="E159" si="23">SUM(E150:E158)</f>
        <v>-27796.367480998626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-602.27747500000009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2" t="s">
        <v>154</v>
      </c>
      <c r="R159" s="339" t="s">
        <v>77</v>
      </c>
      <c r="S159" s="88">
        <v>0</v>
      </c>
      <c r="T159" s="89">
        <f>IF(-C158&lt;0,-C158,0)</f>
        <v>0</v>
      </c>
    </row>
    <row r="160" spans="1:20" s="384" customFormat="1" ht="17.25" thickTop="1" thickBot="1">
      <c r="A160" s="53"/>
      <c r="B160" s="9" t="s">
        <v>247</v>
      </c>
      <c r="C160" s="384">
        <f>SUM(D160:H160)</f>
        <v>-487553.62</v>
      </c>
      <c r="D160" s="241"/>
      <c r="E160" s="241">
        <v>-481637.67</v>
      </c>
      <c r="F160" s="242"/>
      <c r="G160" s="242"/>
      <c r="H160" s="50">
        <v>-5915.95</v>
      </c>
      <c r="Q160" s="343" t="s">
        <v>83</v>
      </c>
      <c r="R160" s="341" t="s">
        <v>78</v>
      </c>
      <c r="S160" s="118">
        <f>IF(-C158&gt;0,-C158,0)</f>
        <v>1201.47</v>
      </c>
      <c r="T160" s="111">
        <v>0</v>
      </c>
    </row>
    <row r="161" spans="1:20" s="384" customFormat="1" ht="15.75">
      <c r="A161" s="53"/>
      <c r="B161" s="9" t="s">
        <v>241</v>
      </c>
      <c r="C161" s="474">
        <f>SUM(C159:C160)</f>
        <v>-2601544.8008959973</v>
      </c>
      <c r="D161" s="474">
        <f>D160+D159</f>
        <v>-2085592.5359399973</v>
      </c>
      <c r="E161" s="474">
        <f>E160+E159</f>
        <v>-509434.03748099861</v>
      </c>
      <c r="F161" s="474">
        <f>F160+F159</f>
        <v>0</v>
      </c>
      <c r="G161" s="474">
        <f>G160+G159</f>
        <v>0</v>
      </c>
      <c r="H161" s="474">
        <f>H160+H159</f>
        <v>-6518.2274749999997</v>
      </c>
      <c r="I161" s="474"/>
      <c r="J161" s="474"/>
      <c r="K161" s="474"/>
      <c r="L161" s="474"/>
      <c r="M161" s="474">
        <f>M160+M159</f>
        <v>0</v>
      </c>
      <c r="N161" s="474">
        <f>N160+N159</f>
        <v>0</v>
      </c>
      <c r="S161" s="66"/>
      <c r="T161" s="338">
        <f>ROUND(SUM(S155:T160),2)</f>
        <v>0</v>
      </c>
    </row>
    <row r="162" spans="1:20" ht="16.5" thickBot="1">
      <c r="B162" s="9" t="s">
        <v>242</v>
      </c>
      <c r="C162" s="384" t="e">
        <f>_xll.Get_Balance("201312","YTD","USD","Total","A","","001","191010","GD","ID","DL")</f>
        <v>#VALUE!</v>
      </c>
      <c r="D162" s="384"/>
      <c r="E162" s="384"/>
      <c r="F162" s="384"/>
      <c r="G162" s="384"/>
      <c r="H162" s="384"/>
      <c r="M162" s="384"/>
      <c r="N162" s="384"/>
    </row>
    <row r="163" spans="1:20" ht="16.5" thickBot="1">
      <c r="B163" s="9" t="s">
        <v>243</v>
      </c>
      <c r="C163" s="158" t="e">
        <f>C161-C162</f>
        <v>#VALUE!</v>
      </c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Q163" s="336" t="s">
        <v>239</v>
      </c>
      <c r="R163" s="332"/>
      <c r="S163" s="332"/>
      <c r="T163" s="228"/>
    </row>
    <row r="164" spans="1:20" ht="15.75" thickTop="1"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Q164" s="345" t="s">
        <v>81</v>
      </c>
      <c r="R164" s="346" t="s">
        <v>58</v>
      </c>
      <c r="S164" s="112">
        <v>0</v>
      </c>
      <c r="T164" s="117">
        <v>-1943728.32</v>
      </c>
    </row>
    <row r="165" spans="1:20">
      <c r="Q165" s="347" t="s">
        <v>11</v>
      </c>
      <c r="R165" s="348" t="s">
        <v>62</v>
      </c>
      <c r="S165" s="112">
        <v>0</v>
      </c>
      <c r="T165" s="227">
        <v>0</v>
      </c>
    </row>
    <row r="166" spans="1:20">
      <c r="Q166" s="347" t="s">
        <v>11</v>
      </c>
      <c r="R166" s="348" t="s">
        <v>207</v>
      </c>
      <c r="S166" s="112">
        <v>0</v>
      </c>
      <c r="T166" s="227">
        <v>0</v>
      </c>
    </row>
    <row r="167" spans="1:20">
      <c r="Q167" s="340" t="s">
        <v>80</v>
      </c>
      <c r="R167" s="339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2" t="s">
        <v>154</v>
      </c>
      <c r="R168" s="339" t="s">
        <v>77</v>
      </c>
      <c r="S168" s="88">
        <v>0</v>
      </c>
      <c r="T168" s="89">
        <f>IF(-C167&lt;0,-C167,0)</f>
        <v>0</v>
      </c>
    </row>
    <row r="169" spans="1:20" ht="15.75" thickBot="1">
      <c r="Q169" s="343" t="s">
        <v>83</v>
      </c>
      <c r="R169" s="341" t="s">
        <v>78</v>
      </c>
      <c r="S169" s="118">
        <v>1451.57</v>
      </c>
      <c r="T169" s="111">
        <v>0</v>
      </c>
    </row>
    <row r="170" spans="1:20">
      <c r="Q170" s="384"/>
      <c r="R170" s="384"/>
      <c r="S170" s="66"/>
      <c r="T170" s="338">
        <f>ROUND(SUM(S164:T169),2)</f>
        <v>0</v>
      </c>
    </row>
    <row r="171" spans="1:20" ht="15.75" thickBot="1"/>
    <row r="172" spans="1:20" ht="15.75" thickBot="1">
      <c r="Q172" s="336" t="s">
        <v>240</v>
      </c>
      <c r="R172" s="332"/>
      <c r="S172" s="332"/>
      <c r="T172" s="228"/>
    </row>
    <row r="173" spans="1:20">
      <c r="Q173" s="345" t="s">
        <v>81</v>
      </c>
      <c r="R173" s="346" t="s">
        <v>58</v>
      </c>
      <c r="S173" s="112">
        <f>T155-T164</f>
        <v>600486.480859</v>
      </c>
      <c r="T173" s="117">
        <f>IF((-C168+C177)&lt;0,(-C168+C177),0)</f>
        <v>0</v>
      </c>
    </row>
    <row r="174" spans="1:20">
      <c r="Q174" s="347" t="s">
        <v>11</v>
      </c>
      <c r="R174" s="348" t="s">
        <v>62</v>
      </c>
      <c r="S174" s="112">
        <v>0</v>
      </c>
      <c r="T174" s="227">
        <v>0</v>
      </c>
    </row>
    <row r="175" spans="1:20">
      <c r="Q175" s="347" t="s">
        <v>11</v>
      </c>
      <c r="R175" s="348" t="s">
        <v>207</v>
      </c>
      <c r="S175" s="112">
        <v>0</v>
      </c>
      <c r="T175" s="227">
        <v>0</v>
      </c>
    </row>
    <row r="176" spans="1:20">
      <c r="Q176" s="340" t="s">
        <v>80</v>
      </c>
      <c r="R176" s="339" t="s">
        <v>59</v>
      </c>
      <c r="S176" s="88">
        <f>IF((-C173-C175)&gt;0,(-C173-C175),0)</f>
        <v>0</v>
      </c>
      <c r="T176" s="89">
        <f>S158-S167</f>
        <v>-600236.38085900014</v>
      </c>
    </row>
    <row r="177" spans="17:20">
      <c r="Q177" s="342" t="s">
        <v>154</v>
      </c>
      <c r="R177" s="339" t="s">
        <v>77</v>
      </c>
      <c r="S177" s="88">
        <v>0</v>
      </c>
      <c r="T177" s="89">
        <f>IF(-C176&lt;0,-C176,0)</f>
        <v>0</v>
      </c>
    </row>
    <row r="178" spans="17:20" ht="15.75" thickBot="1">
      <c r="Q178" s="343" t="s">
        <v>83</v>
      </c>
      <c r="R178" s="341" t="s">
        <v>78</v>
      </c>
      <c r="S178" s="118">
        <f>IF(-C176&gt;0,-C176,0)</f>
        <v>0</v>
      </c>
      <c r="T178" s="111">
        <f>S160-S169</f>
        <v>-250.09999999999991</v>
      </c>
    </row>
    <row r="179" spans="17:20">
      <c r="Q179" s="384"/>
      <c r="R179" s="384"/>
      <c r="S179" s="66"/>
      <c r="T179" s="338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1" customWidth="1"/>
    <col min="3" max="3" width="18.42578125" style="331" customWidth="1"/>
    <col min="4" max="4" width="19.140625" style="331" bestFit="1" customWidth="1"/>
    <col min="5" max="5" width="19.42578125" style="331" bestFit="1" customWidth="1"/>
    <col min="6" max="7" width="13.140625" style="331" customWidth="1"/>
    <col min="8" max="8" width="16.7109375" style="331" bestFit="1" customWidth="1"/>
    <col min="9" max="9" width="14.42578125" style="331" hidden="1" customWidth="1"/>
    <col min="10" max="10" width="13.28515625" style="331" hidden="1" customWidth="1"/>
    <col min="11" max="11" width="15.140625" style="331" hidden="1" customWidth="1"/>
    <col min="12" max="12" width="18.140625" style="331" hidden="1" customWidth="1"/>
    <col min="13" max="14" width="12.5703125" style="331" customWidth="1"/>
    <col min="15" max="15" width="11.28515625" style="331" customWidth="1"/>
    <col min="16" max="16" width="2.28515625" style="331" customWidth="1"/>
    <col min="17" max="17" width="26.85546875" style="331" customWidth="1"/>
    <col min="18" max="18" width="16.42578125" style="331" customWidth="1"/>
    <col min="19" max="19" width="17" style="331" customWidth="1"/>
    <col min="20" max="20" width="19.7109375" style="331" customWidth="1"/>
    <col min="21" max="16384" width="9.7109375" style="331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5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2" customFormat="1" ht="15.75" hidden="1" customHeight="1">
      <c r="A8" s="380"/>
      <c r="B8" s="247" t="s">
        <v>11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T8" s="374"/>
    </row>
    <row r="9" spans="1:20" s="382" customFormat="1" ht="16.5" hidden="1" customHeight="1" thickBot="1">
      <c r="A9" s="380"/>
      <c r="B9" s="247" t="s">
        <v>204</v>
      </c>
      <c r="C9" s="383">
        <v>-1550000</v>
      </c>
      <c r="D9" s="383">
        <f>-'ID Def 191010'!D10</f>
        <v>-883736.20005990437</v>
      </c>
      <c r="E9" s="383">
        <f>-'ID Def 191010'!E10</f>
        <v>-659271.7478600872</v>
      </c>
      <c r="F9" s="383">
        <v>0</v>
      </c>
      <c r="G9" s="383">
        <v>0</v>
      </c>
      <c r="H9" s="383">
        <f>-'ID Def 191010'!H10</f>
        <v>-6992.0520800084523</v>
      </c>
      <c r="I9" s="383">
        <v>0</v>
      </c>
      <c r="J9" s="383">
        <v>0</v>
      </c>
      <c r="K9" s="383">
        <v>0</v>
      </c>
      <c r="L9" s="383">
        <v>0</v>
      </c>
      <c r="M9" s="383">
        <v>0</v>
      </c>
      <c r="N9" s="383">
        <v>0</v>
      </c>
      <c r="T9" s="374"/>
    </row>
    <row r="10" spans="1:20" s="55" customFormat="1" ht="15.75" hidden="1" customHeight="1" thickTop="1" thickBot="1">
      <c r="A10" s="54"/>
    </row>
    <row r="11" spans="1:20" ht="15.75" hidden="1" customHeight="1" thickBot="1">
      <c r="Q11" s="336" t="s">
        <v>107</v>
      </c>
      <c r="R11" s="332"/>
      <c r="S11" s="332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8">
        <v>0</v>
      </c>
      <c r="E12" s="248">
        <v>0</v>
      </c>
      <c r="F12" s="249">
        <v>0</v>
      </c>
      <c r="G12" s="249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2" t="s">
        <v>209</v>
      </c>
      <c r="R12" s="393" t="s">
        <v>207</v>
      </c>
      <c r="S12" s="335">
        <f>IF(SUM(C12:C15)&gt;0,C12+C13+C15+C14,0)</f>
        <v>0</v>
      </c>
      <c r="T12" s="337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9"/>
      <c r="E13" s="249">
        <v>0</v>
      </c>
      <c r="F13" s="249"/>
      <c r="G13" s="250"/>
      <c r="H13" s="60"/>
      <c r="I13" s="50"/>
      <c r="J13" s="87"/>
      <c r="K13" s="87"/>
      <c r="L13" s="50"/>
      <c r="M13" s="50"/>
      <c r="N13" s="50"/>
      <c r="O13" s="106"/>
      <c r="P13" s="50"/>
      <c r="Q13" s="347" t="s">
        <v>11</v>
      </c>
      <c r="R13" s="348" t="s">
        <v>62</v>
      </c>
      <c r="S13" s="335">
        <v>0</v>
      </c>
      <c r="T13" s="337">
        <v>0</v>
      </c>
    </row>
    <row r="14" spans="1:20" ht="15.75" hidden="1" customHeight="1">
      <c r="A14" s="62"/>
      <c r="B14" s="59" t="s">
        <v>144</v>
      </c>
      <c r="C14" s="11">
        <v>0</v>
      </c>
      <c r="D14" s="247">
        <v>0</v>
      </c>
      <c r="E14" s="247"/>
      <c r="F14" s="247"/>
      <c r="G14" s="249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0" t="s">
        <v>80</v>
      </c>
      <c r="R14" s="339" t="s">
        <v>59</v>
      </c>
      <c r="S14" s="112">
        <f>IF(SUM(C12)&lt;0,-C12,0)</f>
        <v>0</v>
      </c>
      <c r="T14" s="337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2" t="s">
        <v>154</v>
      </c>
      <c r="R15" s="339" t="s">
        <v>77</v>
      </c>
      <c r="S15" s="344">
        <v>0</v>
      </c>
      <c r="T15" s="337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3" t="s">
        <v>83</v>
      </c>
      <c r="R16" s="341" t="s">
        <v>78</v>
      </c>
      <c r="S16" s="116">
        <f>IF(SUM(C15)&lt;0,-C15,0)</f>
        <v>1291.67</v>
      </c>
      <c r="T16" s="391">
        <v>0</v>
      </c>
    </row>
    <row r="17" spans="1:20" ht="16.5" hidden="1" customHeight="1" thickTop="1" thickBot="1">
      <c r="T17" s="338">
        <v>0</v>
      </c>
    </row>
    <row r="18" spans="1:20" s="384" customFormat="1" ht="15.75" hidden="1" customHeight="1" thickBot="1">
      <c r="A18" s="53"/>
      <c r="Q18" s="336" t="s">
        <v>107</v>
      </c>
      <c r="R18" s="332"/>
      <c r="S18" s="332"/>
      <c r="T18" s="228"/>
    </row>
    <row r="19" spans="1:20" s="384" customFormat="1" ht="15.75" hidden="1" customHeight="1">
      <c r="A19" s="58">
        <v>41214</v>
      </c>
      <c r="B19" s="59" t="s">
        <v>84</v>
      </c>
      <c r="C19" s="11">
        <f>SUM(D19:N19)</f>
        <v>0</v>
      </c>
      <c r="D19" s="248">
        <v>0</v>
      </c>
      <c r="E19" s="248">
        <v>0</v>
      </c>
      <c r="F19" s="249">
        <v>0</v>
      </c>
      <c r="G19" s="249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2" t="s">
        <v>209</v>
      </c>
      <c r="R19" s="393" t="s">
        <v>207</v>
      </c>
      <c r="S19" s="335">
        <f>IF(SUM(C19:C22)&gt;0,C19+C20+C22+C21,0)</f>
        <v>0</v>
      </c>
      <c r="T19" s="337">
        <f>IF(SUM(C19:C22)&lt;0,C19+C20+C22+C21,0)</f>
        <v>-1292.74</v>
      </c>
    </row>
    <row r="20" spans="1:20" s="384" customFormat="1" ht="15.75" hidden="1" customHeight="1">
      <c r="A20" s="62"/>
      <c r="B20" s="59" t="s">
        <v>148</v>
      </c>
      <c r="C20" s="11">
        <f>SUM(D20:N20)</f>
        <v>0</v>
      </c>
      <c r="D20" s="249"/>
      <c r="E20" s="249">
        <v>0</v>
      </c>
      <c r="F20" s="249"/>
      <c r="G20" s="250"/>
      <c r="H20" s="60"/>
      <c r="I20" s="50"/>
      <c r="J20" s="87"/>
      <c r="K20" s="87"/>
      <c r="L20" s="50"/>
      <c r="M20" s="50"/>
      <c r="N20" s="50"/>
      <c r="O20" s="106"/>
      <c r="P20" s="50"/>
      <c r="Q20" s="347" t="s">
        <v>11</v>
      </c>
      <c r="R20" s="348" t="s">
        <v>62</v>
      </c>
      <c r="S20" s="335">
        <v>0</v>
      </c>
      <c r="T20" s="337">
        <v>0</v>
      </c>
    </row>
    <row r="21" spans="1:20" s="384" customFormat="1" ht="15.75" hidden="1" customHeight="1">
      <c r="A21" s="62"/>
      <c r="B21" s="59" t="s">
        <v>144</v>
      </c>
      <c r="C21" s="11">
        <f>SUM(D21:N21)</f>
        <v>0</v>
      </c>
      <c r="D21" s="247">
        <v>0</v>
      </c>
      <c r="E21" s="247"/>
      <c r="F21" s="247"/>
      <c r="G21" s="249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0" t="s">
        <v>80</v>
      </c>
      <c r="R21" s="339" t="s">
        <v>59</v>
      </c>
      <c r="S21" s="112">
        <f>IF(SUM(C19)&lt;0,-C19,0)</f>
        <v>0</v>
      </c>
      <c r="T21" s="337">
        <f>IF(SUM(C19)&gt;0,-C19,0)</f>
        <v>0</v>
      </c>
    </row>
    <row r="22" spans="1:20" s="384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2" t="s">
        <v>154</v>
      </c>
      <c r="R22" s="339" t="s">
        <v>77</v>
      </c>
      <c r="S22" s="344">
        <v>0</v>
      </c>
      <c r="T22" s="337">
        <f>IF(SUM(C22)&gt;0,-C22,0)</f>
        <v>0</v>
      </c>
    </row>
    <row r="23" spans="1:20" s="384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3" t="s">
        <v>83</v>
      </c>
      <c r="R23" s="341" t="s">
        <v>78</v>
      </c>
      <c r="S23" s="116">
        <f>IF(SUM(C22)&lt;0,-C22,0)</f>
        <v>1292.74</v>
      </c>
      <c r="T23" s="391">
        <v>0</v>
      </c>
    </row>
    <row r="24" spans="1:20" s="384" customFormat="1" ht="16.5" hidden="1" customHeight="1" thickTop="1" thickBot="1">
      <c r="A24" s="53"/>
      <c r="T24" s="338">
        <v>0</v>
      </c>
    </row>
    <row r="25" spans="1:20" s="384" customFormat="1" ht="15.75" hidden="1" customHeight="1" thickBot="1">
      <c r="A25" s="53"/>
      <c r="Q25" s="336" t="s">
        <v>107</v>
      </c>
      <c r="R25" s="332"/>
      <c r="S25" s="332"/>
      <c r="T25" s="228"/>
    </row>
    <row r="26" spans="1:20" s="384" customFormat="1" ht="15.75" hidden="1" customHeight="1">
      <c r="A26" s="58">
        <v>41244</v>
      </c>
      <c r="B26" s="59" t="s">
        <v>84</v>
      </c>
      <c r="C26" s="11">
        <f>SUM(D26:N26)</f>
        <v>0</v>
      </c>
      <c r="D26" s="248">
        <v>0</v>
      </c>
      <c r="E26" s="248">
        <v>0</v>
      </c>
      <c r="F26" s="249">
        <v>0</v>
      </c>
      <c r="G26" s="249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2" t="s">
        <v>209</v>
      </c>
      <c r="R26" s="393" t="s">
        <v>207</v>
      </c>
      <c r="S26" s="335">
        <f>IF(SUM(C26:C29)&gt;0,C26+C27+C29+C28,0)</f>
        <v>0</v>
      </c>
      <c r="T26" s="337">
        <f>IF(SUM(C26:C29)&lt;0,C26+C27+C29+C28,0)</f>
        <v>-1293.82</v>
      </c>
    </row>
    <row r="27" spans="1:20" s="384" customFormat="1" ht="15.75" hidden="1" customHeight="1">
      <c r="A27" s="62"/>
      <c r="B27" s="59" t="s">
        <v>148</v>
      </c>
      <c r="C27" s="11">
        <f>SUM(D27:N27)</f>
        <v>0</v>
      </c>
      <c r="D27" s="249"/>
      <c r="E27" s="249">
        <v>0</v>
      </c>
      <c r="F27" s="249"/>
      <c r="G27" s="250"/>
      <c r="H27" s="60"/>
      <c r="I27" s="50"/>
      <c r="J27" s="87"/>
      <c r="K27" s="87"/>
      <c r="L27" s="50"/>
      <c r="M27" s="50"/>
      <c r="N27" s="50"/>
      <c r="O27" s="106"/>
      <c r="P27" s="50"/>
      <c r="Q27" s="347" t="s">
        <v>11</v>
      </c>
      <c r="R27" s="348" t="s">
        <v>62</v>
      </c>
      <c r="S27" s="335">
        <v>0</v>
      </c>
      <c r="T27" s="337">
        <v>0</v>
      </c>
    </row>
    <row r="28" spans="1:20" s="384" customFormat="1" ht="15.75" hidden="1" customHeight="1">
      <c r="A28" s="62"/>
      <c r="B28" s="59" t="s">
        <v>144</v>
      </c>
      <c r="C28" s="11">
        <f>SUM(D28:N28)</f>
        <v>0</v>
      </c>
      <c r="D28" s="247">
        <v>0</v>
      </c>
      <c r="E28" s="247"/>
      <c r="F28" s="247"/>
      <c r="G28" s="249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0" t="s">
        <v>80</v>
      </c>
      <c r="R28" s="339" t="s">
        <v>59</v>
      </c>
      <c r="S28" s="112">
        <f>IF(SUM(C26)&lt;0,-C26,0)</f>
        <v>0</v>
      </c>
      <c r="T28" s="337">
        <f>IF(SUM(C26)&gt;0,-C26,0)</f>
        <v>0</v>
      </c>
    </row>
    <row r="29" spans="1:20" s="384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2" t="s">
        <v>154</v>
      </c>
      <c r="R29" s="339" t="s">
        <v>77</v>
      </c>
      <c r="S29" s="344">
        <v>0</v>
      </c>
      <c r="T29" s="337">
        <f>IF(SUM(C29)&gt;0,-C29,0)</f>
        <v>0</v>
      </c>
    </row>
    <row r="30" spans="1:20" s="384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3" t="s">
        <v>83</v>
      </c>
      <c r="R30" s="341" t="s">
        <v>78</v>
      </c>
      <c r="S30" s="116">
        <f>IF(SUM(C29)&lt;0,-C29,0)</f>
        <v>1293.82</v>
      </c>
      <c r="T30" s="391">
        <v>0</v>
      </c>
    </row>
    <row r="31" spans="1:20" s="384" customFormat="1" ht="16.5" hidden="1" thickTop="1" thickBot="1">
      <c r="A31" s="53"/>
      <c r="T31" s="338">
        <v>0</v>
      </c>
    </row>
    <row r="32" spans="1:20" s="356" customFormat="1" ht="15.75" hidden="1" thickBot="1">
      <c r="A32" s="5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36" t="s">
        <v>107</v>
      </c>
      <c r="R32" s="332"/>
      <c r="S32" s="332"/>
      <c r="T32" s="228"/>
    </row>
    <row r="33" spans="1:20" s="356" customFormat="1" ht="15.75" hidden="1">
      <c r="A33" s="58">
        <v>41305</v>
      </c>
      <c r="B33" s="59" t="s">
        <v>84</v>
      </c>
      <c r="C33" s="11">
        <f>SUM(D33:N33)</f>
        <v>0</v>
      </c>
      <c r="D33" s="248">
        <v>0</v>
      </c>
      <c r="E33" s="248">
        <v>0</v>
      </c>
      <c r="F33" s="249">
        <v>0</v>
      </c>
      <c r="G33" s="249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2" t="s">
        <v>209</v>
      </c>
      <c r="R33" s="393" t="s">
        <v>207</v>
      </c>
      <c r="S33" s="335">
        <f>IF(SUM(C33:C36)&gt;0,C33+C34+C36+C35,0)</f>
        <v>0</v>
      </c>
      <c r="T33" s="337">
        <f>IF(SUM(C33:C36)&lt;0,C33+C34+C36+C35,0)</f>
        <v>-1294.9000000000001</v>
      </c>
    </row>
    <row r="34" spans="1:20" s="356" customFormat="1" ht="15.75" hidden="1">
      <c r="A34" s="62"/>
      <c r="B34" s="59" t="s">
        <v>148</v>
      </c>
      <c r="C34" s="11">
        <f>SUM(D34:N34)</f>
        <v>0</v>
      </c>
      <c r="D34" s="249"/>
      <c r="E34" s="249">
        <v>0</v>
      </c>
      <c r="F34" s="249"/>
      <c r="G34" s="250"/>
      <c r="H34" s="60"/>
      <c r="I34" s="50"/>
      <c r="J34" s="87"/>
      <c r="K34" s="87"/>
      <c r="L34" s="50"/>
      <c r="M34" s="50"/>
      <c r="N34" s="50"/>
      <c r="O34" s="106"/>
      <c r="P34" s="50"/>
      <c r="Q34" s="347" t="s">
        <v>11</v>
      </c>
      <c r="R34" s="348" t="s">
        <v>62</v>
      </c>
      <c r="S34" s="335">
        <v>0</v>
      </c>
      <c r="T34" s="337">
        <v>0</v>
      </c>
    </row>
    <row r="35" spans="1:20" s="356" customFormat="1" ht="15.75" hidden="1">
      <c r="A35" s="62"/>
      <c r="B35" s="59" t="s">
        <v>144</v>
      </c>
      <c r="C35" s="11">
        <f>SUM(D35:N35)</f>
        <v>0</v>
      </c>
      <c r="D35" s="247">
        <v>0</v>
      </c>
      <c r="E35" s="247"/>
      <c r="F35" s="247"/>
      <c r="G35" s="249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0" t="s">
        <v>80</v>
      </c>
      <c r="R35" s="339" t="s">
        <v>59</v>
      </c>
      <c r="S35" s="112">
        <f>IF(SUM(C33)&lt;0,-C33,0)</f>
        <v>0</v>
      </c>
      <c r="T35" s="337">
        <f>IF(SUM(C33)&gt;0,-C33,0)</f>
        <v>0</v>
      </c>
    </row>
    <row r="36" spans="1:20" s="356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2" t="s">
        <v>154</v>
      </c>
      <c r="R36" s="339" t="s">
        <v>77</v>
      </c>
      <c r="S36" s="344">
        <v>0</v>
      </c>
      <c r="T36" s="337">
        <f>IF(SUM(C36)&gt;0,-C36,0)</f>
        <v>0</v>
      </c>
    </row>
    <row r="37" spans="1:20" s="356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3" t="s">
        <v>83</v>
      </c>
      <c r="R37" s="341" t="s">
        <v>78</v>
      </c>
      <c r="S37" s="116">
        <f>IF(SUM(C36)&lt;0,-C36,0)</f>
        <v>1294.9000000000001</v>
      </c>
      <c r="T37" s="391">
        <v>0</v>
      </c>
    </row>
    <row r="38" spans="1:20" s="356" customFormat="1" ht="15.75" hidden="1" thickTop="1">
      <c r="A38" s="5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38">
        <v>0</v>
      </c>
    </row>
    <row r="39" spans="1:20" s="356" customFormat="1" ht="15.75" hidden="1" thickBot="1">
      <c r="A39" s="5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</row>
    <row r="40" spans="1:20" s="356" customFormat="1" ht="15.75" hidden="1" thickBot="1">
      <c r="A40" s="5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36" t="s">
        <v>107</v>
      </c>
      <c r="R40" s="332"/>
      <c r="S40" s="332"/>
      <c r="T40" s="228"/>
    </row>
    <row r="41" spans="1:20" s="356" customFormat="1" ht="15.75" hidden="1">
      <c r="A41" s="58">
        <v>41333</v>
      </c>
      <c r="B41" s="59" t="s">
        <v>84</v>
      </c>
      <c r="C41" s="11">
        <f>SUM(D41:N41)</f>
        <v>0</v>
      </c>
      <c r="D41" s="248">
        <v>0</v>
      </c>
      <c r="E41" s="248">
        <v>0</v>
      </c>
      <c r="F41" s="249">
        <v>0</v>
      </c>
      <c r="G41" s="249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2" t="s">
        <v>209</v>
      </c>
      <c r="R41" s="393" t="s">
        <v>207</v>
      </c>
      <c r="S41" s="335">
        <f>IF(SUM(C41:C44)&gt;0,C41+C42+C44+C43,0)</f>
        <v>0</v>
      </c>
      <c r="T41" s="337">
        <f>IF(SUM(C41:C44)&lt;0,C41+C42+C44+C43,0)</f>
        <v>-1295.98</v>
      </c>
    </row>
    <row r="42" spans="1:20" s="356" customFormat="1" ht="15.75" hidden="1">
      <c r="A42" s="62"/>
      <c r="B42" s="59" t="s">
        <v>148</v>
      </c>
      <c r="C42" s="11">
        <f>SUM(D42:N42)</f>
        <v>0</v>
      </c>
      <c r="D42" s="249"/>
      <c r="E42" s="249">
        <v>0</v>
      </c>
      <c r="F42" s="249"/>
      <c r="G42" s="250"/>
      <c r="H42" s="60"/>
      <c r="I42" s="50"/>
      <c r="J42" s="87"/>
      <c r="K42" s="87"/>
      <c r="L42" s="50"/>
      <c r="M42" s="50"/>
      <c r="N42" s="50"/>
      <c r="O42" s="106"/>
      <c r="P42" s="50"/>
      <c r="Q42" s="347" t="s">
        <v>11</v>
      </c>
      <c r="R42" s="348" t="s">
        <v>62</v>
      </c>
      <c r="S42" s="335">
        <v>0</v>
      </c>
      <c r="T42" s="337">
        <v>0</v>
      </c>
    </row>
    <row r="43" spans="1:20" s="356" customFormat="1" ht="15.75" hidden="1">
      <c r="A43" s="62"/>
      <c r="B43" s="59" t="s">
        <v>144</v>
      </c>
      <c r="C43" s="11">
        <f>SUM(D43:N43)</f>
        <v>0</v>
      </c>
      <c r="D43" s="247">
        <v>0</v>
      </c>
      <c r="E43" s="247"/>
      <c r="F43" s="247"/>
      <c r="G43" s="249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0" t="s">
        <v>80</v>
      </c>
      <c r="R43" s="339" t="s">
        <v>59</v>
      </c>
      <c r="S43" s="112">
        <f>IF(SUM(C41)&lt;0,-C41,0)</f>
        <v>0</v>
      </c>
      <c r="T43" s="337">
        <f>IF(SUM(C41)&gt;0,-C41,0)</f>
        <v>0</v>
      </c>
    </row>
    <row r="44" spans="1:20" s="356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2" t="s">
        <v>154</v>
      </c>
      <c r="R44" s="339" t="s">
        <v>77</v>
      </c>
      <c r="S44" s="344">
        <v>0</v>
      </c>
      <c r="T44" s="337">
        <f>IF(SUM(C44)&gt;0,-C44,0)</f>
        <v>0</v>
      </c>
    </row>
    <row r="45" spans="1:20" s="356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3" t="s">
        <v>83</v>
      </c>
      <c r="R45" s="341" t="s">
        <v>78</v>
      </c>
      <c r="S45" s="116">
        <f>IF(SUM(C44)&lt;0,-C44,0)</f>
        <v>1295.98</v>
      </c>
      <c r="T45" s="391">
        <v>0</v>
      </c>
    </row>
    <row r="46" spans="1:20" s="356" customFormat="1" ht="15.75" hidden="1" thickTop="1">
      <c r="A46" s="5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38">
        <v>0</v>
      </c>
    </row>
    <row r="47" spans="1:20" s="356" customFormat="1" ht="15.75" hidden="1" thickBot="1">
      <c r="A47" s="5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</row>
    <row r="48" spans="1:20" s="356" customFormat="1" ht="15.75" hidden="1" thickBot="1">
      <c r="A48" s="5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36" t="s">
        <v>107</v>
      </c>
      <c r="R48" s="332"/>
      <c r="S48" s="332"/>
      <c r="T48" s="228"/>
    </row>
    <row r="49" spans="1:20" s="356" customFormat="1" ht="15.75" hidden="1">
      <c r="A49" s="58">
        <v>41364</v>
      </c>
      <c r="B49" s="59" t="s">
        <v>84</v>
      </c>
      <c r="C49" s="11">
        <f>SUM(D49:N49)</f>
        <v>0</v>
      </c>
      <c r="D49" s="248">
        <v>0</v>
      </c>
      <c r="E49" s="248">
        <v>0</v>
      </c>
      <c r="F49" s="249">
        <v>0</v>
      </c>
      <c r="G49" s="249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2" t="s">
        <v>209</v>
      </c>
      <c r="R49" s="393" t="s">
        <v>207</v>
      </c>
      <c r="S49" s="335">
        <f>IF(SUM(C49:C52)&gt;0,C49+C50+C52+C51,0)</f>
        <v>0</v>
      </c>
      <c r="T49" s="337">
        <f>IF(SUM(C49:C52)&lt;0,C49+C50+C52+C51,0)</f>
        <v>-1297.06</v>
      </c>
    </row>
    <row r="50" spans="1:20" s="356" customFormat="1" ht="15.75" hidden="1">
      <c r="A50" s="62"/>
      <c r="B50" s="59" t="s">
        <v>148</v>
      </c>
      <c r="C50" s="11">
        <f>SUM(D50:N50)</f>
        <v>0</v>
      </c>
      <c r="D50" s="249"/>
      <c r="E50" s="249">
        <v>0</v>
      </c>
      <c r="F50" s="249"/>
      <c r="G50" s="250"/>
      <c r="H50" s="60"/>
      <c r="I50" s="50"/>
      <c r="J50" s="87"/>
      <c r="K50" s="87"/>
      <c r="L50" s="50"/>
      <c r="M50" s="50"/>
      <c r="N50" s="50"/>
      <c r="O50" s="106"/>
      <c r="P50" s="50"/>
      <c r="Q50" s="347" t="s">
        <v>11</v>
      </c>
      <c r="R50" s="348" t="s">
        <v>62</v>
      </c>
      <c r="S50" s="335">
        <v>0</v>
      </c>
      <c r="T50" s="337">
        <v>0</v>
      </c>
    </row>
    <row r="51" spans="1:20" s="356" customFormat="1" ht="15.75" hidden="1">
      <c r="A51" s="62"/>
      <c r="B51" s="59" t="s">
        <v>144</v>
      </c>
      <c r="C51" s="11">
        <f>SUM(D51:N51)</f>
        <v>0</v>
      </c>
      <c r="D51" s="247">
        <v>0</v>
      </c>
      <c r="E51" s="247"/>
      <c r="F51" s="247"/>
      <c r="G51" s="249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0" t="s">
        <v>80</v>
      </c>
      <c r="R51" s="339" t="s">
        <v>59</v>
      </c>
      <c r="S51" s="112">
        <f>IF(SUM(C49)&lt;0,-C49,0)</f>
        <v>0</v>
      </c>
      <c r="T51" s="337">
        <f>IF(SUM(C49)&gt;0,-C49,0)</f>
        <v>0</v>
      </c>
    </row>
    <row r="52" spans="1:20" s="356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2" t="s">
        <v>154</v>
      </c>
      <c r="R52" s="339" t="s">
        <v>77</v>
      </c>
      <c r="S52" s="344">
        <v>0</v>
      </c>
      <c r="T52" s="337">
        <f>IF(SUM(C52)&gt;0,-C52,0)</f>
        <v>0</v>
      </c>
    </row>
    <row r="53" spans="1:20" s="356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3" t="s">
        <v>83</v>
      </c>
      <c r="R53" s="341" t="s">
        <v>78</v>
      </c>
      <c r="S53" s="116">
        <f>IF(SUM(C52)&lt;0,-C52,0)</f>
        <v>1297.06</v>
      </c>
      <c r="T53" s="391">
        <v>0</v>
      </c>
    </row>
    <row r="54" spans="1:20" s="356" customFormat="1" ht="15.75" hidden="1" thickTop="1">
      <c r="A54" s="5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38">
        <v>0</v>
      </c>
    </row>
    <row r="55" spans="1:20" s="356" customFormat="1" ht="15.75" hidden="1" thickBot="1">
      <c r="A55" s="5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</row>
    <row r="56" spans="1:20" s="356" customFormat="1" ht="15.75" hidden="1" thickBot="1">
      <c r="A56" s="5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36" t="s">
        <v>107</v>
      </c>
      <c r="R56" s="332"/>
      <c r="S56" s="332"/>
      <c r="T56" s="228"/>
    </row>
    <row r="57" spans="1:20" s="356" customFormat="1" ht="15.75" hidden="1">
      <c r="A57" s="58">
        <v>41394</v>
      </c>
      <c r="B57" s="59" t="s">
        <v>84</v>
      </c>
      <c r="C57" s="11">
        <f>SUM(D57:N57)</f>
        <v>0</v>
      </c>
      <c r="D57" s="248">
        <v>0</v>
      </c>
      <c r="E57" s="248">
        <v>0</v>
      </c>
      <c r="F57" s="249">
        <v>0</v>
      </c>
      <c r="G57" s="249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2" t="s">
        <v>209</v>
      </c>
      <c r="R57" s="393" t="s">
        <v>207</v>
      </c>
      <c r="S57" s="335">
        <f>IF(SUM(C57:C60)&gt;0,C57+C58+C60+C59,0)</f>
        <v>0</v>
      </c>
      <c r="T57" s="337">
        <f>IF(SUM(C57:C60)&lt;0,C57+C58+C60+C59,0)</f>
        <v>-1298.1400000000001</v>
      </c>
    </row>
    <row r="58" spans="1:20" s="356" customFormat="1" ht="15.75" hidden="1">
      <c r="A58" s="62"/>
      <c r="B58" s="59" t="s">
        <v>148</v>
      </c>
      <c r="C58" s="11">
        <f>SUM(D58:N58)</f>
        <v>0</v>
      </c>
      <c r="D58" s="249"/>
      <c r="E58" s="249">
        <v>0</v>
      </c>
      <c r="F58" s="249"/>
      <c r="G58" s="250"/>
      <c r="H58" s="60"/>
      <c r="I58" s="50"/>
      <c r="J58" s="87"/>
      <c r="K58" s="87"/>
      <c r="L58" s="50"/>
      <c r="M58" s="50"/>
      <c r="N58" s="50"/>
      <c r="O58" s="106"/>
      <c r="P58" s="50"/>
      <c r="Q58" s="347" t="s">
        <v>11</v>
      </c>
      <c r="R58" s="348" t="s">
        <v>62</v>
      </c>
      <c r="S58" s="335">
        <v>0</v>
      </c>
      <c r="T58" s="337">
        <v>0</v>
      </c>
    </row>
    <row r="59" spans="1:20" s="356" customFormat="1" ht="15.75" hidden="1">
      <c r="A59" s="62"/>
      <c r="B59" s="59" t="s">
        <v>144</v>
      </c>
      <c r="C59" s="11">
        <f>SUM(D59:N59)</f>
        <v>0</v>
      </c>
      <c r="D59" s="247">
        <v>0</v>
      </c>
      <c r="E59" s="247"/>
      <c r="F59" s="247"/>
      <c r="G59" s="249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0" t="s">
        <v>80</v>
      </c>
      <c r="R59" s="339" t="s">
        <v>59</v>
      </c>
      <c r="S59" s="112">
        <f>IF(SUM(C57)&lt;0,-C57,0)</f>
        <v>0</v>
      </c>
      <c r="T59" s="337">
        <f>IF(SUM(C57)&gt;0,-C57,0)</f>
        <v>0</v>
      </c>
    </row>
    <row r="60" spans="1:20" s="356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2" t="s">
        <v>154</v>
      </c>
      <c r="R60" s="339" t="s">
        <v>77</v>
      </c>
      <c r="S60" s="344">
        <v>0</v>
      </c>
      <c r="T60" s="337">
        <f>IF(SUM(C60)&gt;0,-C60,0)</f>
        <v>0</v>
      </c>
    </row>
    <row r="61" spans="1:20" s="356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3" t="s">
        <v>83</v>
      </c>
      <c r="R61" s="341" t="s">
        <v>78</v>
      </c>
      <c r="S61" s="116">
        <f>IF(SUM(C60)&lt;0,-C60,0)</f>
        <v>1298.1400000000001</v>
      </c>
      <c r="T61" s="391">
        <v>0</v>
      </c>
    </row>
    <row r="62" spans="1:20" s="356" customFormat="1" ht="15.75" hidden="1" thickTop="1">
      <c r="A62" s="53"/>
      <c r="B62" s="384"/>
      <c r="C62" s="385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38">
        <v>0</v>
      </c>
    </row>
    <row r="63" spans="1:20" s="356" customFormat="1" ht="15.75" hidden="1" thickBot="1">
      <c r="A63" s="5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</row>
    <row r="64" spans="1:20" s="356" customFormat="1" ht="15.75" hidden="1" thickBot="1">
      <c r="A64" s="5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36" t="s">
        <v>107</v>
      </c>
      <c r="R64" s="332"/>
      <c r="S64" s="332"/>
      <c r="T64" s="228"/>
    </row>
    <row r="65" spans="1:20" s="356" customFormat="1" ht="15.75" hidden="1">
      <c r="A65" s="58">
        <v>41425</v>
      </c>
      <c r="B65" s="59" t="s">
        <v>84</v>
      </c>
      <c r="C65" s="11">
        <f>SUM(D65:N65)</f>
        <v>0</v>
      </c>
      <c r="D65" s="248">
        <v>0</v>
      </c>
      <c r="E65" s="248">
        <v>0</v>
      </c>
      <c r="F65" s="249">
        <v>0</v>
      </c>
      <c r="G65" s="249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2" t="s">
        <v>209</v>
      </c>
      <c r="R65" s="393" t="s">
        <v>207</v>
      </c>
      <c r="S65" s="335">
        <f>IF(SUM(C65:C68)&gt;0,C65+C66+C68+C67,0)</f>
        <v>0</v>
      </c>
      <c r="T65" s="337">
        <f>IF(SUM(C65:C68)&lt;0,C65+C66+C68+C67,0)</f>
        <v>-1299.22</v>
      </c>
    </row>
    <row r="66" spans="1:20" s="356" customFormat="1" ht="15.75" hidden="1">
      <c r="A66" s="62"/>
      <c r="B66" s="59" t="s">
        <v>148</v>
      </c>
      <c r="C66" s="11">
        <f>SUM(D66:N66)</f>
        <v>0</v>
      </c>
      <c r="D66" s="249"/>
      <c r="E66" s="249">
        <v>0</v>
      </c>
      <c r="F66" s="249"/>
      <c r="G66" s="250"/>
      <c r="H66" s="60"/>
      <c r="I66" s="50"/>
      <c r="J66" s="87"/>
      <c r="K66" s="87"/>
      <c r="L66" s="50"/>
      <c r="M66" s="50"/>
      <c r="N66" s="50"/>
      <c r="O66" s="106"/>
      <c r="P66" s="50"/>
      <c r="Q66" s="347" t="s">
        <v>11</v>
      </c>
      <c r="R66" s="348" t="s">
        <v>62</v>
      </c>
      <c r="S66" s="335">
        <v>0</v>
      </c>
      <c r="T66" s="337">
        <v>0</v>
      </c>
    </row>
    <row r="67" spans="1:20" s="356" customFormat="1" ht="15.75" hidden="1">
      <c r="A67" s="62"/>
      <c r="B67" s="59" t="s">
        <v>144</v>
      </c>
      <c r="C67" s="11">
        <f>SUM(D67:N67)</f>
        <v>0</v>
      </c>
      <c r="D67" s="247">
        <v>0</v>
      </c>
      <c r="E67" s="247"/>
      <c r="F67" s="247"/>
      <c r="G67" s="249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0" t="s">
        <v>80</v>
      </c>
      <c r="R67" s="339" t="s">
        <v>59</v>
      </c>
      <c r="S67" s="112">
        <f>IF(SUM(C65)&lt;0,-C65,0)</f>
        <v>0</v>
      </c>
      <c r="T67" s="337">
        <f>IF(SUM(C65)&gt;0,-C65,0)</f>
        <v>0</v>
      </c>
    </row>
    <row r="68" spans="1:20" s="356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2" t="s">
        <v>154</v>
      </c>
      <c r="R68" s="339" t="s">
        <v>77</v>
      </c>
      <c r="S68" s="344">
        <v>0</v>
      </c>
      <c r="T68" s="337">
        <f>IF(SUM(C68)&gt;0,-C68,0)</f>
        <v>0</v>
      </c>
    </row>
    <row r="69" spans="1:20" s="356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3" t="s">
        <v>83</v>
      </c>
      <c r="R69" s="341" t="s">
        <v>78</v>
      </c>
      <c r="S69" s="116">
        <f>IF(SUM(C68)&lt;0,-C68,0)</f>
        <v>1299.22</v>
      </c>
      <c r="T69" s="391">
        <v>0</v>
      </c>
    </row>
    <row r="70" spans="1:20" s="356" customFormat="1" ht="15.75" hidden="1" thickTop="1">
      <c r="A70" s="5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38">
        <v>0</v>
      </c>
    </row>
    <row r="71" spans="1:20" s="356" customFormat="1" ht="15.75" hidden="1" thickBot="1">
      <c r="A71" s="5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</row>
    <row r="72" spans="1:20" s="356" customFormat="1" ht="15.75" hidden="1" thickBot="1">
      <c r="A72" s="5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36" t="s">
        <v>107</v>
      </c>
      <c r="R72" s="332"/>
      <c r="S72" s="332"/>
      <c r="T72" s="228"/>
    </row>
    <row r="73" spans="1:20" s="356" customFormat="1" ht="15.75" hidden="1">
      <c r="A73" s="58">
        <v>41426</v>
      </c>
      <c r="B73" s="59" t="s">
        <v>84</v>
      </c>
      <c r="C73" s="11">
        <f>SUM(D73:N73)</f>
        <v>0</v>
      </c>
      <c r="D73" s="248">
        <v>0</v>
      </c>
      <c r="E73" s="248">
        <v>0</v>
      </c>
      <c r="F73" s="249">
        <v>0</v>
      </c>
      <c r="G73" s="249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2" t="s">
        <v>209</v>
      </c>
      <c r="R73" s="393" t="s">
        <v>207</v>
      </c>
      <c r="S73" s="335">
        <f>IF(SUM(C73:C76)&gt;0,C73+C74+C76+C75,0)</f>
        <v>0</v>
      </c>
      <c r="T73" s="337">
        <f>IF(SUM(C73:C76)&lt;0,C73+C74+C76+C75,0)</f>
        <v>-1300.3</v>
      </c>
    </row>
    <row r="74" spans="1:20" s="356" customFormat="1" ht="15.75" hidden="1">
      <c r="A74" s="62"/>
      <c r="B74" s="59" t="s">
        <v>148</v>
      </c>
      <c r="C74" s="11">
        <f>SUM(D74:N74)</f>
        <v>0</v>
      </c>
      <c r="D74" s="249"/>
      <c r="E74" s="249">
        <v>0</v>
      </c>
      <c r="F74" s="249"/>
      <c r="G74" s="250"/>
      <c r="H74" s="60"/>
      <c r="I74" s="50"/>
      <c r="J74" s="87"/>
      <c r="K74" s="87"/>
      <c r="L74" s="50"/>
      <c r="M74" s="50"/>
      <c r="N74" s="50"/>
      <c r="O74" s="106"/>
      <c r="P74" s="50"/>
      <c r="Q74" s="347" t="s">
        <v>11</v>
      </c>
      <c r="R74" s="348" t="s">
        <v>62</v>
      </c>
      <c r="S74" s="335">
        <v>0</v>
      </c>
      <c r="T74" s="337">
        <v>0</v>
      </c>
    </row>
    <row r="75" spans="1:20" s="356" customFormat="1" ht="15.75" hidden="1">
      <c r="A75" s="62"/>
      <c r="B75" s="59" t="s">
        <v>144</v>
      </c>
      <c r="C75" s="11">
        <f>SUM(D75:N75)</f>
        <v>0</v>
      </c>
      <c r="D75" s="247">
        <v>0</v>
      </c>
      <c r="E75" s="247"/>
      <c r="F75" s="247"/>
      <c r="G75" s="249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0" t="s">
        <v>80</v>
      </c>
      <c r="R75" s="339" t="s">
        <v>59</v>
      </c>
      <c r="S75" s="112">
        <f>IF(SUM(C73)&lt;0,-C73,0)</f>
        <v>0</v>
      </c>
      <c r="T75" s="337">
        <f>IF(SUM(C73)&gt;0,-C73,0)</f>
        <v>0</v>
      </c>
    </row>
    <row r="76" spans="1:20" s="356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2" t="s">
        <v>154</v>
      </c>
      <c r="R76" s="339" t="s">
        <v>77</v>
      </c>
      <c r="S76" s="344">
        <v>0</v>
      </c>
      <c r="T76" s="337">
        <f>IF(SUM(C76)&gt;0,-C76,0)</f>
        <v>0</v>
      </c>
    </row>
    <row r="77" spans="1:20" s="356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3" t="s">
        <v>83</v>
      </c>
      <c r="R77" s="341" t="s">
        <v>78</v>
      </c>
      <c r="S77" s="116">
        <f>IF(SUM(C76)&lt;0,-C76,0)</f>
        <v>1300.3</v>
      </c>
      <c r="T77" s="391">
        <v>0</v>
      </c>
    </row>
    <row r="78" spans="1:20" s="356" customFormat="1" ht="15.75" thickTop="1">
      <c r="A78" s="5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38">
        <v>0</v>
      </c>
    </row>
    <row r="79" spans="1:20" s="356" customFormat="1" ht="16.5" thickBot="1">
      <c r="A79" s="364"/>
      <c r="B79" s="359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70"/>
      <c r="P79" s="316"/>
      <c r="Q79" s="371"/>
      <c r="R79" s="362"/>
      <c r="S79" s="369"/>
      <c r="T79" s="369"/>
    </row>
    <row r="80" spans="1:20" s="356" customFormat="1" ht="15.75" thickBot="1">
      <c r="A80" s="5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36" t="s">
        <v>107</v>
      </c>
      <c r="R80" s="332"/>
      <c r="S80" s="332"/>
      <c r="T80" s="228"/>
    </row>
    <row r="81" spans="1:20" s="356" customFormat="1" ht="15.75">
      <c r="A81" s="58">
        <v>41456</v>
      </c>
      <c r="B81" s="59" t="s">
        <v>84</v>
      </c>
      <c r="C81" s="11">
        <f>SUM(D81:N81)</f>
        <v>0</v>
      </c>
      <c r="D81" s="248">
        <v>0</v>
      </c>
      <c r="E81" s="248">
        <v>0</v>
      </c>
      <c r="F81" s="249">
        <v>0</v>
      </c>
      <c r="G81" s="249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2" t="s">
        <v>209</v>
      </c>
      <c r="R81" s="393" t="s">
        <v>207</v>
      </c>
      <c r="S81" s="335">
        <f>IF(SUM(C81:C84)&gt;0,C81+C82+C84+C83,0)</f>
        <v>0</v>
      </c>
      <c r="T81" s="337">
        <f>IF(SUM(C81:C84)&lt;0,C81+C82+C84+C83,0)</f>
        <v>-1301.3900000000001</v>
      </c>
    </row>
    <row r="82" spans="1:20" s="356" customFormat="1" ht="15.75">
      <c r="A82" s="62"/>
      <c r="B82" s="59" t="s">
        <v>148</v>
      </c>
      <c r="C82" s="11">
        <f>SUM(D82:N82)</f>
        <v>0</v>
      </c>
      <c r="D82" s="249"/>
      <c r="E82" s="249">
        <v>0</v>
      </c>
      <c r="F82" s="249"/>
      <c r="G82" s="250"/>
      <c r="H82" s="60"/>
      <c r="I82" s="50"/>
      <c r="J82" s="87"/>
      <c r="K82" s="87"/>
      <c r="L82" s="50"/>
      <c r="M82" s="50"/>
      <c r="N82" s="50"/>
      <c r="O82" s="106"/>
      <c r="P82" s="50"/>
      <c r="Q82" s="347" t="s">
        <v>11</v>
      </c>
      <c r="R82" s="348" t="s">
        <v>62</v>
      </c>
      <c r="S82" s="335">
        <v>0</v>
      </c>
      <c r="T82" s="337">
        <v>0</v>
      </c>
    </row>
    <row r="83" spans="1:20" s="356" customFormat="1" ht="15.75">
      <c r="A83" s="62"/>
      <c r="B83" s="59" t="s">
        <v>144</v>
      </c>
      <c r="C83" s="11">
        <f>SUM(D83:N83)</f>
        <v>0</v>
      </c>
      <c r="D83" s="247">
        <v>0</v>
      </c>
      <c r="E83" s="247"/>
      <c r="F83" s="247"/>
      <c r="G83" s="249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0" t="s">
        <v>80</v>
      </c>
      <c r="R83" s="339" t="s">
        <v>59</v>
      </c>
      <c r="S83" s="112">
        <f>IF(SUM(C81)&lt;0,-C81,0)</f>
        <v>0</v>
      </c>
      <c r="T83" s="337">
        <f>IF(SUM(C81)&gt;0,-C81,0)</f>
        <v>0</v>
      </c>
    </row>
    <row r="84" spans="1:20" s="356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2" t="s">
        <v>154</v>
      </c>
      <c r="R84" s="339" t="s">
        <v>77</v>
      </c>
      <c r="S84" s="344">
        <v>0</v>
      </c>
      <c r="T84" s="337">
        <f>IF(SUM(C84)&gt;0,-C84,0)</f>
        <v>0</v>
      </c>
    </row>
    <row r="85" spans="1:20" s="356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3" t="s">
        <v>83</v>
      </c>
      <c r="R85" s="341" t="s">
        <v>78</v>
      </c>
      <c r="S85" s="116">
        <f>IF(SUM(C84)&lt;0,-C84,0)</f>
        <v>1301.3900000000001</v>
      </c>
      <c r="T85" s="391">
        <v>0</v>
      </c>
    </row>
    <row r="86" spans="1:20" s="356" customFormat="1" ht="15.75" thickTop="1">
      <c r="A86" s="53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38">
        <v>0</v>
      </c>
    </row>
    <row r="87" spans="1:20" s="356" customFormat="1" ht="16.5" thickBot="1">
      <c r="A87" s="364"/>
      <c r="B87" s="359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70"/>
      <c r="P87" s="316"/>
      <c r="Q87" s="371"/>
      <c r="R87" s="362"/>
      <c r="S87" s="369"/>
      <c r="T87" s="369"/>
    </row>
    <row r="88" spans="1:20" s="356" customFormat="1" ht="15.75" thickBot="1">
      <c r="A88" s="53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36" t="s">
        <v>107</v>
      </c>
      <c r="R88" s="332"/>
      <c r="S88" s="332"/>
      <c r="T88" s="228"/>
    </row>
    <row r="89" spans="1:20" s="356" customFormat="1" ht="15.75">
      <c r="A89" s="58">
        <v>41487</v>
      </c>
      <c r="B89" s="59" t="s">
        <v>84</v>
      </c>
      <c r="C89" s="11">
        <f>SUM(D89:N89)</f>
        <v>0</v>
      </c>
      <c r="D89" s="248">
        <v>0</v>
      </c>
      <c r="E89" s="248">
        <v>0</v>
      </c>
      <c r="F89" s="249">
        <v>0</v>
      </c>
      <c r="G89" s="249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2" t="s">
        <v>209</v>
      </c>
      <c r="R89" s="393" t="s">
        <v>207</v>
      </c>
      <c r="S89" s="335">
        <f>IF(SUM(C89:C92)&gt;0,C89+C90+C92+C91,0)</f>
        <v>0</v>
      </c>
      <c r="T89" s="337">
        <f>IF(SUM(C89:C92)&lt;0,C89+C90+C92+C91,0)</f>
        <v>-1302.47</v>
      </c>
    </row>
    <row r="90" spans="1:20" s="356" customFormat="1" ht="15.75">
      <c r="A90" s="62"/>
      <c r="B90" s="59" t="s">
        <v>148</v>
      </c>
      <c r="C90" s="11">
        <f>SUM(D90:N90)</f>
        <v>0</v>
      </c>
      <c r="D90" s="249"/>
      <c r="E90" s="249">
        <v>0</v>
      </c>
      <c r="F90" s="249"/>
      <c r="G90" s="250"/>
      <c r="H90" s="60"/>
      <c r="I90" s="50"/>
      <c r="J90" s="87"/>
      <c r="K90" s="87"/>
      <c r="L90" s="50"/>
      <c r="M90" s="50"/>
      <c r="N90" s="50"/>
      <c r="O90" s="106"/>
      <c r="P90" s="50"/>
      <c r="Q90" s="347" t="s">
        <v>11</v>
      </c>
      <c r="R90" s="348" t="s">
        <v>62</v>
      </c>
      <c r="S90" s="335">
        <v>0</v>
      </c>
      <c r="T90" s="337">
        <v>0</v>
      </c>
    </row>
    <row r="91" spans="1:20" s="356" customFormat="1" ht="15.75">
      <c r="A91" s="62"/>
      <c r="B91" s="59" t="s">
        <v>144</v>
      </c>
      <c r="C91" s="11">
        <f>SUM(D91:N91)</f>
        <v>0</v>
      </c>
      <c r="D91" s="247">
        <v>0</v>
      </c>
      <c r="E91" s="247"/>
      <c r="F91" s="247"/>
      <c r="G91" s="249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0" t="s">
        <v>80</v>
      </c>
      <c r="R91" s="339" t="s">
        <v>59</v>
      </c>
      <c r="S91" s="112">
        <f>IF(SUM(C89)&lt;0,-C89,0)</f>
        <v>0</v>
      </c>
      <c r="T91" s="337">
        <f>IF(SUM(C89)&gt;0,-C89,0)</f>
        <v>0</v>
      </c>
    </row>
    <row r="92" spans="1:20" s="356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2" t="s">
        <v>154</v>
      </c>
      <c r="R92" s="339" t="s">
        <v>77</v>
      </c>
      <c r="S92" s="344">
        <v>0</v>
      </c>
      <c r="T92" s="337">
        <f>IF(SUM(C92)&gt;0,-C92,0)</f>
        <v>0</v>
      </c>
    </row>
    <row r="93" spans="1:20" s="356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3" t="s">
        <v>83</v>
      </c>
      <c r="R93" s="341" t="s">
        <v>78</v>
      </c>
      <c r="S93" s="116">
        <f>IF(SUM(C92)&lt;0,-C92,0)</f>
        <v>1302.47</v>
      </c>
      <c r="T93" s="391">
        <v>0</v>
      </c>
    </row>
    <row r="94" spans="1:20" s="356" customFormat="1" ht="15.75" thickTop="1">
      <c r="A94" s="5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38">
        <f>SUM(S89:T93)</f>
        <v>0</v>
      </c>
    </row>
    <row r="95" spans="1:20" s="356" customFormat="1" ht="16.5" thickBot="1">
      <c r="A95" s="372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71"/>
      <c r="R95" s="373"/>
      <c r="S95" s="369"/>
      <c r="T95" s="369"/>
    </row>
    <row r="96" spans="1:20" s="356" customFormat="1" ht="15.75" thickBot="1">
      <c r="A96" s="53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36" t="s">
        <v>107</v>
      </c>
      <c r="R96" s="332"/>
      <c r="S96" s="332"/>
      <c r="T96" s="228"/>
    </row>
    <row r="97" spans="1:20" s="356" customFormat="1" ht="15.75">
      <c r="A97" s="58">
        <v>41518</v>
      </c>
      <c r="B97" s="59" t="s">
        <v>84</v>
      </c>
      <c r="C97" s="11">
        <f>SUM(D97:N97)</f>
        <v>0</v>
      </c>
      <c r="D97" s="248">
        <v>0</v>
      </c>
      <c r="E97" s="248">
        <v>0</v>
      </c>
      <c r="F97" s="249">
        <v>0</v>
      </c>
      <c r="G97" s="249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2" t="s">
        <v>209</v>
      </c>
      <c r="R97" s="393" t="s">
        <v>207</v>
      </c>
      <c r="S97" s="335">
        <f>IF(SUM(C97:C100)&gt;0,C97+C98+C100+C99,0)</f>
        <v>0</v>
      </c>
      <c r="T97" s="337">
        <f>IF(SUM(C97:C100)&lt;0,C97+C98+C100+C99,0)</f>
        <v>-1303.56</v>
      </c>
    </row>
    <row r="98" spans="1:20" s="356" customFormat="1" ht="15.75">
      <c r="A98" s="62"/>
      <c r="B98" s="59" t="s">
        <v>148</v>
      </c>
      <c r="C98" s="11">
        <f>SUM(D98:N98)</f>
        <v>0</v>
      </c>
      <c r="D98" s="249"/>
      <c r="E98" s="249">
        <v>0</v>
      </c>
      <c r="F98" s="249"/>
      <c r="G98" s="250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335">
        <v>0</v>
      </c>
      <c r="T98" s="337">
        <v>0</v>
      </c>
    </row>
    <row r="99" spans="1:20" s="356" customFormat="1" ht="15.75">
      <c r="A99" s="62"/>
      <c r="B99" s="59" t="s">
        <v>144</v>
      </c>
      <c r="C99" s="11">
        <f>SUM(D99:N99)</f>
        <v>0</v>
      </c>
      <c r="D99" s="247">
        <v>0</v>
      </c>
      <c r="E99" s="247"/>
      <c r="F99" s="247"/>
      <c r="G99" s="249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0" t="s">
        <v>80</v>
      </c>
      <c r="R99" s="339" t="s">
        <v>59</v>
      </c>
      <c r="S99" s="112">
        <f>IF(SUM(C97)&lt;0,-C97,0)</f>
        <v>0</v>
      </c>
      <c r="T99" s="337">
        <f>IF(SUM(C97)&gt;0,-C97,0)</f>
        <v>0</v>
      </c>
    </row>
    <row r="100" spans="1:20" s="356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154</v>
      </c>
      <c r="R100" s="339" t="s">
        <v>77</v>
      </c>
      <c r="S100" s="344">
        <v>0</v>
      </c>
      <c r="T100" s="337">
        <f>IF(SUM(C100)&gt;0,-C100,0)</f>
        <v>0</v>
      </c>
    </row>
    <row r="101" spans="1:20" s="356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3" t="s">
        <v>83</v>
      </c>
      <c r="R101" s="341" t="s">
        <v>78</v>
      </c>
      <c r="S101" s="116">
        <f>IF(SUM(C100)&lt;0,-C100,0)</f>
        <v>1303.56</v>
      </c>
      <c r="T101" s="391">
        <v>0</v>
      </c>
    </row>
    <row r="102" spans="1:20" s="356" customFormat="1" ht="15.75" thickTop="1">
      <c r="A102" s="5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38">
        <f>SUM(S97:T101)</f>
        <v>0</v>
      </c>
    </row>
    <row r="103" spans="1:20" s="410" customFormat="1" ht="15.75">
      <c r="A103" s="459"/>
      <c r="B103" s="388" t="s">
        <v>224</v>
      </c>
      <c r="T103" s="435"/>
    </row>
    <row r="104" spans="1:20" s="356" customFormat="1">
      <c r="A104" s="355"/>
      <c r="T104" s="369"/>
    </row>
    <row r="105" spans="1:20" s="356" customFormat="1">
      <c r="A105" s="355"/>
      <c r="Q105" s="357"/>
      <c r="T105" s="369"/>
    </row>
    <row r="106" spans="1:20" s="356" customFormat="1" ht="15.75">
      <c r="A106" s="358"/>
      <c r="B106" s="359"/>
      <c r="C106" s="316"/>
      <c r="D106" s="352"/>
      <c r="E106" s="352"/>
      <c r="F106" s="353"/>
      <c r="G106" s="353"/>
      <c r="H106" s="316"/>
      <c r="I106" s="316"/>
      <c r="J106" s="316"/>
      <c r="K106" s="316"/>
      <c r="L106" s="316"/>
      <c r="M106" s="316"/>
      <c r="N106" s="316"/>
      <c r="O106" s="360"/>
      <c r="P106" s="316"/>
      <c r="Q106" s="361"/>
      <c r="R106" s="362"/>
      <c r="S106" s="363"/>
      <c r="T106" s="369"/>
    </row>
    <row r="107" spans="1:20" s="356" customFormat="1" ht="15.75">
      <c r="A107" s="364"/>
      <c r="B107" s="359"/>
      <c r="C107" s="316"/>
      <c r="D107" s="353"/>
      <c r="E107" s="353"/>
      <c r="F107" s="353"/>
      <c r="G107" s="354"/>
      <c r="H107" s="353"/>
      <c r="I107" s="316"/>
      <c r="J107" s="354"/>
      <c r="K107" s="354"/>
      <c r="L107" s="316"/>
      <c r="M107" s="316"/>
      <c r="N107" s="316"/>
      <c r="O107" s="360"/>
      <c r="P107" s="316"/>
      <c r="Q107" s="365"/>
      <c r="R107" s="366"/>
      <c r="S107" s="363"/>
      <c r="T107" s="369"/>
    </row>
    <row r="108" spans="1:20" s="356" customFormat="1" ht="15.75">
      <c r="A108" s="364"/>
      <c r="B108" s="359"/>
      <c r="C108" s="316"/>
      <c r="D108" s="316"/>
      <c r="E108" s="316"/>
      <c r="F108" s="316"/>
      <c r="G108" s="353"/>
      <c r="H108" s="367"/>
      <c r="I108" s="316"/>
      <c r="J108" s="354"/>
      <c r="K108" s="316"/>
      <c r="L108" s="316"/>
      <c r="M108" s="316"/>
      <c r="N108" s="316"/>
      <c r="O108" s="360"/>
      <c r="P108" s="316"/>
      <c r="Q108" s="368"/>
      <c r="R108" s="362"/>
      <c r="S108" s="369"/>
      <c r="T108" s="369"/>
    </row>
    <row r="109" spans="1:20" s="356" customFormat="1" ht="15.75">
      <c r="A109" s="364"/>
      <c r="B109" s="359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70"/>
      <c r="P109" s="316"/>
      <c r="Q109" s="371"/>
      <c r="R109" s="362"/>
      <c r="S109" s="369"/>
      <c r="T109" s="369"/>
    </row>
    <row r="110" spans="1:20" s="356" customFormat="1" ht="15.75">
      <c r="A110" s="372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71"/>
      <c r="R110" s="373"/>
      <c r="S110" s="369"/>
      <c r="T110" s="369"/>
    </row>
    <row r="111" spans="1:20" s="356" customFormat="1">
      <c r="A111" s="355"/>
      <c r="T111" s="369"/>
    </row>
    <row r="112" spans="1:20" s="356" customFormat="1">
      <c r="A112" s="355"/>
      <c r="T112" s="369"/>
    </row>
    <row r="113" spans="1:20" s="356" customFormat="1">
      <c r="A113" s="355"/>
      <c r="Q113" s="357"/>
      <c r="T113" s="369"/>
    </row>
    <row r="114" spans="1:20" s="356" customFormat="1" ht="15.75">
      <c r="A114" s="358"/>
      <c r="B114" s="359"/>
      <c r="C114" s="316"/>
      <c r="D114" s="352"/>
      <c r="E114" s="352"/>
      <c r="F114" s="353"/>
      <c r="G114" s="353"/>
      <c r="H114" s="316"/>
      <c r="I114" s="316"/>
      <c r="J114" s="316"/>
      <c r="K114" s="316"/>
      <c r="L114" s="316"/>
      <c r="M114" s="316"/>
      <c r="N114" s="316"/>
      <c r="O114" s="360"/>
      <c r="P114" s="316"/>
      <c r="Q114" s="361"/>
      <c r="R114" s="362"/>
      <c r="S114" s="363"/>
      <c r="T114" s="369"/>
    </row>
    <row r="115" spans="1:20" s="356" customFormat="1" ht="15.75">
      <c r="A115" s="364"/>
      <c r="B115" s="359"/>
      <c r="C115" s="316"/>
      <c r="D115" s="353"/>
      <c r="E115" s="353"/>
      <c r="F115" s="353"/>
      <c r="G115" s="354"/>
      <c r="H115" s="353"/>
      <c r="I115" s="316"/>
      <c r="J115" s="354"/>
      <c r="K115" s="354"/>
      <c r="L115" s="316"/>
      <c r="M115" s="316"/>
      <c r="N115" s="316"/>
      <c r="O115" s="360"/>
      <c r="P115" s="316"/>
      <c r="Q115" s="365"/>
      <c r="R115" s="366"/>
      <c r="S115" s="363"/>
      <c r="T115" s="369"/>
    </row>
    <row r="116" spans="1:20" s="356" customFormat="1" ht="15.75">
      <c r="A116" s="364"/>
      <c r="B116" s="359"/>
      <c r="C116" s="316"/>
      <c r="D116" s="316"/>
      <c r="E116" s="316"/>
      <c r="F116" s="316"/>
      <c r="G116" s="353"/>
      <c r="H116" s="367"/>
      <c r="I116" s="316"/>
      <c r="J116" s="354"/>
      <c r="K116" s="316"/>
      <c r="L116" s="316"/>
      <c r="M116" s="316"/>
      <c r="N116" s="316"/>
      <c r="O116" s="360"/>
      <c r="P116" s="316"/>
      <c r="Q116" s="368"/>
      <c r="R116" s="362"/>
      <c r="S116" s="369"/>
      <c r="T116" s="369"/>
    </row>
    <row r="117" spans="1:20" s="356" customFormat="1" ht="15.75">
      <c r="A117" s="364"/>
      <c r="B117" s="359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70"/>
      <c r="P117" s="316"/>
      <c r="Q117" s="371"/>
      <c r="R117" s="362"/>
      <c r="S117" s="369"/>
      <c r="T117" s="369"/>
    </row>
    <row r="118" spans="1:20" s="356" customFormat="1" ht="15.75">
      <c r="A118" s="372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71"/>
      <c r="R118" s="373"/>
      <c r="S118" s="369"/>
      <c r="T118" s="369"/>
    </row>
    <row r="119" spans="1:20" s="356" customFormat="1" ht="15.75">
      <c r="A119" s="372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71"/>
      <c r="R119" s="373"/>
      <c r="S119" s="369"/>
      <c r="T119" s="369"/>
    </row>
    <row r="120" spans="1:20" s="356" customFormat="1" ht="15.75">
      <c r="A120" s="372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71"/>
      <c r="R120" s="373"/>
      <c r="S120" s="369"/>
      <c r="T120" s="369"/>
    </row>
    <row r="121" spans="1:20" s="356" customFormat="1">
      <c r="A121" s="355"/>
      <c r="Q121" s="357"/>
      <c r="T121" s="369"/>
    </row>
    <row r="122" spans="1:20" s="356" customFormat="1" ht="15.75">
      <c r="A122" s="358"/>
      <c r="B122" s="359"/>
      <c r="C122" s="316"/>
      <c r="D122" s="352"/>
      <c r="E122" s="352"/>
      <c r="F122" s="353"/>
      <c r="G122" s="353"/>
      <c r="H122" s="316"/>
      <c r="I122" s="316"/>
      <c r="J122" s="316"/>
      <c r="K122" s="316"/>
      <c r="L122" s="316"/>
      <c r="M122" s="316"/>
      <c r="N122" s="316"/>
      <c r="O122" s="360"/>
      <c r="P122" s="316"/>
      <c r="Q122" s="361"/>
      <c r="R122" s="362"/>
      <c r="S122" s="363"/>
      <c r="T122" s="369"/>
    </row>
    <row r="123" spans="1:20" s="356" customFormat="1" ht="15.75">
      <c r="A123" s="364"/>
      <c r="B123" s="359"/>
      <c r="C123" s="316"/>
      <c r="D123" s="353"/>
      <c r="E123" s="353"/>
      <c r="F123" s="353"/>
      <c r="G123" s="354"/>
      <c r="H123" s="353"/>
      <c r="I123" s="316"/>
      <c r="J123" s="354"/>
      <c r="K123" s="354"/>
      <c r="L123" s="316"/>
      <c r="M123" s="316"/>
      <c r="N123" s="316"/>
      <c r="O123" s="360"/>
      <c r="P123" s="316"/>
      <c r="Q123" s="365"/>
      <c r="R123" s="366"/>
      <c r="S123" s="363"/>
      <c r="T123" s="369"/>
    </row>
    <row r="124" spans="1:20" s="356" customFormat="1" ht="15.75">
      <c r="A124" s="364"/>
      <c r="B124" s="359"/>
      <c r="C124" s="316"/>
      <c r="D124" s="316"/>
      <c r="E124" s="316"/>
      <c r="F124" s="316"/>
      <c r="G124" s="353"/>
      <c r="H124" s="367"/>
      <c r="I124" s="316"/>
      <c r="J124" s="354"/>
      <c r="K124" s="316"/>
      <c r="L124" s="316"/>
      <c r="M124" s="316"/>
      <c r="N124" s="316"/>
      <c r="O124" s="360"/>
      <c r="P124" s="316"/>
      <c r="Q124" s="368"/>
      <c r="R124" s="362"/>
      <c r="S124" s="369"/>
      <c r="T124" s="369"/>
    </row>
    <row r="125" spans="1:20" s="356" customFormat="1" ht="15.75">
      <c r="A125" s="364"/>
      <c r="B125" s="359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70"/>
      <c r="P125" s="316"/>
      <c r="Q125" s="371"/>
      <c r="R125" s="362"/>
      <c r="S125" s="369"/>
      <c r="T125" s="369"/>
    </row>
    <row r="126" spans="1:20" s="356" customFormat="1" ht="15.75">
      <c r="A126" s="372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71"/>
      <c r="R126" s="373"/>
      <c r="S126" s="369"/>
      <c r="T126" s="369"/>
    </row>
    <row r="127" spans="1:20" s="356" customFormat="1" ht="15.75">
      <c r="A127" s="372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71"/>
      <c r="R127" s="373"/>
      <c r="S127" s="369"/>
      <c r="T127" s="369"/>
    </row>
    <row r="128" spans="1:20" s="356" customFormat="1" ht="15.75">
      <c r="A128" s="372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75"/>
      <c r="N128" s="376"/>
      <c r="O128" s="377"/>
      <c r="P128" s="316"/>
      <c r="Q128" s="371"/>
      <c r="R128" s="373"/>
      <c r="S128" s="369"/>
      <c r="T128" s="369"/>
    </row>
    <row r="129" spans="1:20" s="356" customFormat="1" ht="15.75">
      <c r="A129" s="372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75"/>
      <c r="N129" s="376"/>
      <c r="P129" s="316"/>
      <c r="Q129" s="371"/>
      <c r="R129" s="373"/>
      <c r="S129" s="369"/>
      <c r="T129" s="369"/>
    </row>
    <row r="130" spans="1:20" s="356" customFormat="1" ht="15.75">
      <c r="A130" s="372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75"/>
      <c r="N130" s="376"/>
      <c r="P130" s="316"/>
      <c r="Q130" s="371"/>
      <c r="R130" s="373"/>
      <c r="S130" s="369"/>
      <c r="T130" s="369"/>
    </row>
    <row r="131" spans="1:20" s="356" customFormat="1" ht="15.75">
      <c r="A131" s="37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71"/>
      <c r="R131" s="373"/>
      <c r="S131" s="369"/>
      <c r="T131" s="369"/>
    </row>
    <row r="132" spans="1:20" s="356" customFormat="1">
      <c r="A132" s="355"/>
      <c r="Q132" s="357"/>
      <c r="T132" s="369"/>
    </row>
    <row r="133" spans="1:20" s="356" customFormat="1" ht="15.75">
      <c r="A133" s="358"/>
      <c r="B133" s="359"/>
      <c r="C133" s="316"/>
      <c r="D133" s="352"/>
      <c r="E133" s="352"/>
      <c r="F133" s="353"/>
      <c r="G133" s="353"/>
      <c r="H133" s="316"/>
      <c r="I133" s="316"/>
      <c r="J133" s="316"/>
      <c r="K133" s="316"/>
      <c r="L133" s="316"/>
      <c r="M133" s="316"/>
      <c r="N133" s="316"/>
      <c r="O133" s="360"/>
      <c r="P133" s="316"/>
      <c r="Q133" s="361"/>
      <c r="R133" s="362"/>
      <c r="S133" s="363"/>
      <c r="T133" s="369"/>
    </row>
    <row r="134" spans="1:20" s="356" customFormat="1" ht="15.75">
      <c r="A134" s="364"/>
      <c r="B134" s="359"/>
      <c r="C134" s="316"/>
      <c r="D134" s="353"/>
      <c r="E134" s="353"/>
      <c r="F134" s="353"/>
      <c r="G134" s="354"/>
      <c r="H134" s="353"/>
      <c r="I134" s="316"/>
      <c r="J134" s="354"/>
      <c r="K134" s="354"/>
      <c r="L134" s="316"/>
      <c r="M134" s="316"/>
      <c r="N134" s="316"/>
      <c r="O134" s="360"/>
      <c r="P134" s="316"/>
      <c r="Q134" s="365"/>
      <c r="R134" s="366"/>
      <c r="S134" s="363"/>
      <c r="T134" s="369"/>
    </row>
    <row r="135" spans="1:20" s="356" customFormat="1" ht="15.75">
      <c r="A135" s="364"/>
      <c r="B135" s="359"/>
      <c r="C135" s="316"/>
      <c r="D135" s="316"/>
      <c r="E135" s="316"/>
      <c r="F135" s="316"/>
      <c r="G135" s="353"/>
      <c r="H135" s="367"/>
      <c r="I135" s="316"/>
      <c r="J135" s="354"/>
      <c r="K135" s="316"/>
      <c r="L135" s="316"/>
      <c r="M135" s="316"/>
      <c r="N135" s="316"/>
      <c r="O135" s="360"/>
      <c r="P135" s="316"/>
      <c r="Q135" s="368"/>
      <c r="R135" s="362"/>
      <c r="S135" s="369"/>
      <c r="T135" s="369"/>
    </row>
    <row r="136" spans="1:20" s="356" customFormat="1" ht="15.75">
      <c r="A136" s="364"/>
      <c r="B136" s="359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70"/>
      <c r="P136" s="316"/>
      <c r="Q136" s="371"/>
      <c r="R136" s="362"/>
      <c r="S136" s="369"/>
      <c r="T136" s="369"/>
    </row>
    <row r="137" spans="1:20" s="356" customFormat="1" ht="15.75">
      <c r="A137" s="372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71"/>
      <c r="R137" s="373"/>
      <c r="S137" s="369"/>
      <c r="T137" s="369"/>
    </row>
    <row r="138" spans="1:20" s="356" customFormat="1">
      <c r="A138" s="355"/>
      <c r="T138" s="369"/>
    </row>
    <row r="139" spans="1:20" s="356" customFormat="1">
      <c r="A139" s="355"/>
      <c r="Q139" s="357"/>
      <c r="T139" s="369"/>
    </row>
    <row r="140" spans="1:20" s="356" customFormat="1">
      <c r="A140" s="355"/>
      <c r="Q140" s="361"/>
      <c r="R140" s="362"/>
      <c r="S140" s="378"/>
      <c r="T140" s="369"/>
    </row>
    <row r="141" spans="1:20" s="356" customFormat="1">
      <c r="A141" s="355"/>
      <c r="Q141" s="365"/>
      <c r="R141" s="366"/>
      <c r="S141" s="378"/>
      <c r="T141" s="369"/>
    </row>
    <row r="142" spans="1:20" s="356" customFormat="1">
      <c r="A142" s="355"/>
      <c r="Q142" s="368"/>
      <c r="R142" s="362"/>
      <c r="S142" s="361"/>
      <c r="T142" s="369"/>
    </row>
    <row r="143" spans="1:20" s="356" customFormat="1">
      <c r="A143" s="355"/>
      <c r="Q143" s="371"/>
      <c r="R143" s="362"/>
      <c r="S143" s="361"/>
      <c r="T143" s="369"/>
    </row>
    <row r="144" spans="1:20" s="356" customFormat="1">
      <c r="A144" s="355"/>
      <c r="Q144" s="371"/>
      <c r="R144" s="373"/>
      <c r="S144" s="361"/>
      <c r="T144" s="369"/>
    </row>
    <row r="145" spans="1:20" s="356" customFormat="1">
      <c r="A145" s="355"/>
      <c r="T145" s="369"/>
    </row>
    <row r="146" spans="1:20" s="356" customFormat="1">
      <c r="A146" s="355"/>
      <c r="Q146" s="357"/>
      <c r="T146" s="369"/>
    </row>
    <row r="147" spans="1:20" s="356" customFormat="1">
      <c r="A147" s="355"/>
      <c r="Q147" s="361"/>
      <c r="R147" s="362"/>
      <c r="S147" s="363"/>
      <c r="T147" s="369"/>
    </row>
    <row r="148" spans="1:20" s="356" customFormat="1">
      <c r="A148" s="355"/>
      <c r="Q148" s="365"/>
      <c r="R148" s="366"/>
      <c r="S148" s="363"/>
      <c r="T148" s="369"/>
    </row>
    <row r="149" spans="1:20" s="356" customFormat="1">
      <c r="A149" s="355"/>
      <c r="Q149" s="368"/>
      <c r="R149" s="362"/>
      <c r="S149" s="369"/>
      <c r="T149" s="369"/>
    </row>
    <row r="150" spans="1:20" s="356" customFormat="1">
      <c r="A150" s="355"/>
      <c r="N150" s="379"/>
      <c r="Q150" s="371"/>
      <c r="R150" s="362"/>
      <c r="S150" s="369"/>
      <c r="T150" s="369"/>
    </row>
    <row r="151" spans="1:20" s="356" customFormat="1">
      <c r="A151" s="355"/>
      <c r="Q151" s="371"/>
      <c r="R151" s="373"/>
      <c r="S151" s="369"/>
      <c r="T151" s="369"/>
    </row>
    <row r="152" spans="1:20" s="356" customFormat="1">
      <c r="A152" s="355"/>
      <c r="T152" s="369"/>
    </row>
    <row r="153" spans="1:20" s="356" customFormat="1">
      <c r="A153" s="355"/>
      <c r="Q153" s="357"/>
      <c r="T153" s="369"/>
    </row>
    <row r="154" spans="1:20" s="356" customFormat="1" ht="15.75">
      <c r="A154" s="358"/>
      <c r="B154" s="359"/>
      <c r="C154" s="316"/>
      <c r="D154" s="352"/>
      <c r="E154" s="352"/>
      <c r="F154" s="353"/>
      <c r="G154" s="353"/>
      <c r="H154" s="316"/>
      <c r="I154" s="316"/>
      <c r="J154" s="316"/>
      <c r="K154" s="316"/>
      <c r="L154" s="316"/>
      <c r="M154" s="316"/>
      <c r="N154" s="316"/>
      <c r="O154" s="360"/>
      <c r="P154" s="316"/>
      <c r="Q154" s="361"/>
      <c r="R154" s="362"/>
      <c r="S154" s="363"/>
      <c r="T154" s="369"/>
    </row>
    <row r="155" spans="1:20" s="356" customFormat="1" ht="15.75">
      <c r="A155" s="364"/>
      <c r="B155" s="359"/>
      <c r="C155" s="316"/>
      <c r="D155" s="353"/>
      <c r="E155" s="353"/>
      <c r="F155" s="353"/>
      <c r="G155" s="354"/>
      <c r="H155" s="353"/>
      <c r="I155" s="316"/>
      <c r="J155" s="354"/>
      <c r="K155" s="354"/>
      <c r="L155" s="316"/>
      <c r="M155" s="316"/>
      <c r="N155" s="316"/>
      <c r="O155" s="360"/>
      <c r="P155" s="316"/>
      <c r="Q155" s="365"/>
      <c r="R155" s="366"/>
      <c r="S155" s="363"/>
      <c r="T155" s="369"/>
    </row>
    <row r="156" spans="1:20" s="356" customFormat="1" ht="15.75">
      <c r="A156" s="364"/>
      <c r="B156" s="359"/>
      <c r="C156" s="316"/>
      <c r="D156" s="316"/>
      <c r="E156" s="316"/>
      <c r="F156" s="316"/>
      <c r="G156" s="353"/>
      <c r="H156" s="367"/>
      <c r="I156" s="316"/>
      <c r="J156" s="354"/>
      <c r="K156" s="316"/>
      <c r="L156" s="316"/>
      <c r="M156" s="316"/>
      <c r="N156" s="316"/>
      <c r="O156" s="360"/>
      <c r="P156" s="316"/>
      <c r="Q156" s="368"/>
      <c r="R156" s="362"/>
      <c r="S156" s="369"/>
      <c r="T156" s="369"/>
    </row>
    <row r="157" spans="1:20" s="356" customFormat="1" ht="15.75">
      <c r="A157" s="364"/>
      <c r="B157" s="359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70"/>
      <c r="P157" s="316"/>
      <c r="Q157" s="371"/>
      <c r="R157" s="362"/>
      <c r="S157" s="369"/>
      <c r="T157" s="369"/>
    </row>
    <row r="158" spans="1:20" s="356" customFormat="1" ht="15.75">
      <c r="A158" s="372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71"/>
      <c r="R158" s="373"/>
      <c r="S158" s="369"/>
      <c r="T158" s="369"/>
    </row>
    <row r="159" spans="1:20" s="356" customFormat="1">
      <c r="A159" s="355"/>
      <c r="T159" s="369"/>
    </row>
    <row r="160" spans="1:20" s="356" customFormat="1">
      <c r="A160" s="355"/>
      <c r="Q160" s="357"/>
      <c r="T160" s="369"/>
    </row>
    <row r="161" spans="1:20" s="356" customFormat="1" ht="15.75">
      <c r="A161" s="358"/>
      <c r="B161" s="359"/>
      <c r="C161" s="316"/>
      <c r="D161" s="352"/>
      <c r="E161" s="352"/>
      <c r="F161" s="353"/>
      <c r="G161" s="353"/>
      <c r="H161" s="316"/>
      <c r="I161" s="316"/>
      <c r="J161" s="316"/>
      <c r="K161" s="316"/>
      <c r="L161" s="316"/>
      <c r="M161" s="316"/>
      <c r="N161" s="316"/>
      <c r="O161" s="360"/>
      <c r="P161" s="316"/>
      <c r="Q161" s="361"/>
      <c r="R161" s="362"/>
      <c r="S161" s="363"/>
      <c r="T161" s="369"/>
    </row>
    <row r="162" spans="1:20" s="356" customFormat="1" ht="15.75">
      <c r="A162" s="364"/>
      <c r="B162" s="359"/>
      <c r="C162" s="316"/>
      <c r="D162" s="353"/>
      <c r="E162" s="353"/>
      <c r="F162" s="353"/>
      <c r="G162" s="354"/>
      <c r="H162" s="353"/>
      <c r="I162" s="316"/>
      <c r="J162" s="354"/>
      <c r="K162" s="354"/>
      <c r="L162" s="316"/>
      <c r="M162" s="316"/>
      <c r="N162" s="316"/>
      <c r="O162" s="360"/>
      <c r="P162" s="316"/>
      <c r="Q162" s="365"/>
      <c r="R162" s="366"/>
      <c r="S162" s="363"/>
      <c r="T162" s="369"/>
    </row>
    <row r="163" spans="1:20" s="356" customFormat="1" ht="15.75">
      <c r="A163" s="364"/>
      <c r="B163" s="359"/>
      <c r="C163" s="316"/>
      <c r="D163" s="316"/>
      <c r="E163" s="316"/>
      <c r="F163" s="316"/>
      <c r="G163" s="353"/>
      <c r="H163" s="367"/>
      <c r="I163" s="316"/>
      <c r="J163" s="354"/>
      <c r="K163" s="316"/>
      <c r="L163" s="316"/>
      <c r="M163" s="316"/>
      <c r="N163" s="316"/>
      <c r="O163" s="360"/>
      <c r="P163" s="316"/>
      <c r="Q163" s="368"/>
      <c r="R163" s="362"/>
      <c r="S163" s="369"/>
      <c r="T163" s="369"/>
    </row>
    <row r="164" spans="1:20" s="356" customFormat="1" ht="15.75">
      <c r="A164" s="364"/>
      <c r="B164" s="359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70"/>
      <c r="P164" s="316"/>
      <c r="Q164" s="371"/>
      <c r="R164" s="362"/>
      <c r="S164" s="369"/>
      <c r="T164" s="369"/>
    </row>
    <row r="165" spans="1:20" s="356" customFormat="1" ht="15.75">
      <c r="A165" s="372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71"/>
      <c r="R165" s="373"/>
      <c r="S165" s="369"/>
      <c r="T165" s="369"/>
    </row>
    <row r="166" spans="1:20" s="356" customFormat="1">
      <c r="A166" s="355"/>
      <c r="T166" s="369"/>
    </row>
    <row r="167" spans="1:20" s="356" customFormat="1" ht="15.75">
      <c r="A167" s="358"/>
      <c r="Q167" s="357"/>
      <c r="T167" s="369"/>
    </row>
    <row r="168" spans="1:20" s="356" customFormat="1" ht="15.75">
      <c r="A168" s="358"/>
      <c r="B168" s="359"/>
      <c r="C168" s="316"/>
      <c r="D168" s="352"/>
      <c r="E168" s="352"/>
      <c r="F168" s="353"/>
      <c r="G168" s="353"/>
      <c r="H168" s="316"/>
      <c r="I168" s="316"/>
      <c r="J168" s="316"/>
      <c r="K168" s="316"/>
      <c r="L168" s="316"/>
      <c r="M168" s="316"/>
      <c r="N168" s="316"/>
      <c r="O168" s="360"/>
      <c r="P168" s="316"/>
      <c r="Q168" s="361"/>
      <c r="R168" s="362"/>
      <c r="S168" s="363"/>
      <c r="T168" s="369"/>
    </row>
    <row r="169" spans="1:20" s="356" customFormat="1" ht="15.75">
      <c r="A169" s="364"/>
      <c r="B169" s="359"/>
      <c r="C169" s="316"/>
      <c r="D169" s="353"/>
      <c r="E169" s="353"/>
      <c r="F169" s="353"/>
      <c r="G169" s="354"/>
      <c r="H169" s="353"/>
      <c r="I169" s="316"/>
      <c r="J169" s="354"/>
      <c r="K169" s="354"/>
      <c r="L169" s="316"/>
      <c r="M169" s="316"/>
      <c r="N169" s="316"/>
      <c r="O169" s="360"/>
      <c r="P169" s="316"/>
      <c r="Q169" s="365"/>
      <c r="R169" s="366"/>
      <c r="S169" s="363"/>
      <c r="T169" s="369"/>
    </row>
    <row r="170" spans="1:20" s="356" customFormat="1" ht="15.75">
      <c r="A170" s="364"/>
      <c r="B170" s="359"/>
      <c r="C170" s="316"/>
      <c r="D170" s="316"/>
      <c r="E170" s="316"/>
      <c r="F170" s="316"/>
      <c r="G170" s="353"/>
      <c r="H170" s="367"/>
      <c r="I170" s="316"/>
      <c r="J170" s="354"/>
      <c r="K170" s="316"/>
      <c r="L170" s="316"/>
      <c r="M170" s="316"/>
      <c r="N170" s="316"/>
      <c r="O170" s="360"/>
      <c r="P170" s="316"/>
      <c r="Q170" s="368"/>
      <c r="R170" s="362"/>
      <c r="S170" s="369"/>
      <c r="T170" s="369"/>
    </row>
    <row r="171" spans="1:20" s="356" customFormat="1" ht="15.75">
      <c r="A171" s="364"/>
      <c r="B171" s="359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70"/>
      <c r="P171" s="316"/>
      <c r="Q171" s="371"/>
      <c r="R171" s="362"/>
      <c r="S171" s="369"/>
      <c r="T171" s="369"/>
    </row>
    <row r="172" spans="1:20" s="356" customFormat="1" ht="15.75">
      <c r="A172" s="372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71"/>
      <c r="R172" s="373"/>
      <c r="S172" s="369"/>
      <c r="T172" s="369"/>
    </row>
    <row r="173" spans="1:20" s="356" customFormat="1">
      <c r="A173" s="355"/>
      <c r="T173" s="369"/>
    </row>
    <row r="174" spans="1:20" s="356" customFormat="1" ht="15.75">
      <c r="A174" s="358"/>
      <c r="Q174" s="357"/>
      <c r="T174" s="369"/>
    </row>
    <row r="175" spans="1:20" s="356" customFormat="1" ht="15.75">
      <c r="A175" s="358"/>
      <c r="B175" s="359"/>
      <c r="C175" s="316"/>
      <c r="D175" s="352"/>
      <c r="E175" s="352"/>
      <c r="F175" s="353"/>
      <c r="G175" s="353"/>
      <c r="H175" s="316"/>
      <c r="I175" s="316"/>
      <c r="J175" s="316"/>
      <c r="K175" s="316"/>
      <c r="L175" s="316"/>
      <c r="M175" s="316"/>
      <c r="N175" s="316"/>
      <c r="O175" s="360"/>
      <c r="P175" s="316"/>
      <c r="Q175" s="361"/>
      <c r="R175" s="362"/>
      <c r="S175" s="363"/>
      <c r="T175" s="369"/>
    </row>
    <row r="176" spans="1:20" s="356" customFormat="1" ht="15.75">
      <c r="A176" s="364"/>
      <c r="B176" s="359"/>
      <c r="C176" s="316"/>
      <c r="D176" s="353"/>
      <c r="E176" s="353"/>
      <c r="F176" s="353"/>
      <c r="G176" s="354"/>
      <c r="H176" s="353"/>
      <c r="I176" s="316"/>
      <c r="J176" s="354"/>
      <c r="K176" s="354"/>
      <c r="L176" s="316"/>
      <c r="M176" s="316"/>
      <c r="N176" s="316"/>
      <c r="O176" s="360"/>
      <c r="P176" s="316"/>
      <c r="Q176" s="365"/>
      <c r="R176" s="366"/>
      <c r="S176" s="363"/>
      <c r="T176" s="369"/>
    </row>
    <row r="177" spans="1:20" s="356" customFormat="1" ht="15.75">
      <c r="A177" s="364"/>
      <c r="B177" s="359"/>
      <c r="C177" s="316"/>
      <c r="D177" s="316"/>
      <c r="E177" s="316"/>
      <c r="F177" s="316"/>
      <c r="G177" s="353"/>
      <c r="H177" s="367"/>
      <c r="I177" s="316"/>
      <c r="J177" s="354"/>
      <c r="K177" s="316"/>
      <c r="L177" s="316"/>
      <c r="M177" s="316"/>
      <c r="N177" s="316"/>
      <c r="O177" s="360"/>
      <c r="P177" s="316"/>
      <c r="Q177" s="368"/>
      <c r="R177" s="362"/>
      <c r="S177" s="369"/>
      <c r="T177" s="369"/>
    </row>
    <row r="178" spans="1:20" s="356" customFormat="1" ht="15.75">
      <c r="A178" s="364"/>
      <c r="B178" s="359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70"/>
      <c r="P178" s="316"/>
      <c r="Q178" s="371"/>
      <c r="R178" s="362"/>
      <c r="S178" s="369"/>
      <c r="T178" s="369"/>
    </row>
    <row r="179" spans="1:20" s="356" customFormat="1" ht="15.75">
      <c r="A179" s="372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71"/>
      <c r="R179" s="373"/>
      <c r="S179" s="369"/>
      <c r="T179" s="369"/>
    </row>
    <row r="180" spans="1:20" s="356" customFormat="1">
      <c r="A180" s="355"/>
      <c r="T180" s="369"/>
    </row>
    <row r="181" spans="1:20" s="356" customFormat="1">
      <c r="A181" s="355"/>
      <c r="T181" s="369"/>
    </row>
    <row r="182" spans="1:20" s="356" customFormat="1">
      <c r="A182" s="355"/>
      <c r="T182" s="369"/>
    </row>
    <row r="183" spans="1:20" s="356" customFormat="1">
      <c r="A183" s="355"/>
      <c r="T183" s="369"/>
    </row>
    <row r="184" spans="1:20" s="356" customFormat="1">
      <c r="A184" s="355"/>
      <c r="T184" s="369"/>
    </row>
    <row r="185" spans="1:20" s="356" customFormat="1">
      <c r="A185" s="355"/>
      <c r="T185" s="369"/>
    </row>
    <row r="186" spans="1:20" s="356" customFormat="1">
      <c r="A186" s="355"/>
      <c r="T186" s="369"/>
    </row>
    <row r="187" spans="1:20" s="356" customFormat="1">
      <c r="A187" s="355"/>
      <c r="T187" s="369"/>
    </row>
    <row r="188" spans="1:20" s="356" customFormat="1">
      <c r="A188" s="355"/>
      <c r="T188" s="369"/>
    </row>
    <row r="189" spans="1:20" s="356" customFormat="1">
      <c r="A189" s="355"/>
      <c r="T189" s="369"/>
    </row>
    <row r="190" spans="1:20" s="356" customFormat="1">
      <c r="A190" s="355"/>
      <c r="T190" s="369"/>
    </row>
    <row r="191" spans="1:20" s="356" customFormat="1">
      <c r="A191" s="355"/>
      <c r="T191" s="369"/>
    </row>
    <row r="192" spans="1:20" s="356" customFormat="1">
      <c r="A192" s="355"/>
      <c r="T192" s="369"/>
    </row>
    <row r="193" spans="1:20" s="356" customFormat="1">
      <c r="A193" s="355"/>
      <c r="T193" s="369"/>
    </row>
    <row r="194" spans="1:20" s="356" customFormat="1">
      <c r="A194" s="355"/>
      <c r="T194" s="369"/>
    </row>
    <row r="195" spans="1:20" s="356" customFormat="1">
      <c r="A195" s="355"/>
      <c r="T195" s="369"/>
    </row>
    <row r="196" spans="1:20" s="356" customFormat="1">
      <c r="A196" s="355"/>
      <c r="T196" s="369"/>
    </row>
    <row r="197" spans="1:20" s="356" customFormat="1">
      <c r="A197" s="355"/>
      <c r="T197" s="369"/>
    </row>
    <row r="198" spans="1:20" s="356" customFormat="1">
      <c r="A198" s="355"/>
      <c r="T198" s="369"/>
    </row>
    <row r="199" spans="1:20" s="356" customFormat="1">
      <c r="A199" s="355"/>
      <c r="T199" s="369"/>
    </row>
    <row r="200" spans="1:20" s="356" customFormat="1">
      <c r="A200" s="355"/>
      <c r="T200" s="369"/>
    </row>
    <row r="201" spans="1:20" s="356" customFormat="1">
      <c r="A201" s="355"/>
      <c r="T201" s="369"/>
    </row>
    <row r="202" spans="1:20" s="356" customFormat="1">
      <c r="A202" s="355"/>
      <c r="T202" s="369"/>
    </row>
    <row r="203" spans="1:20" s="356" customFormat="1">
      <c r="A203" s="355"/>
      <c r="T203" s="369"/>
    </row>
    <row r="204" spans="1:20" s="356" customFormat="1">
      <c r="A204" s="355"/>
      <c r="T204" s="369"/>
    </row>
    <row r="205" spans="1:20" s="356" customFormat="1">
      <c r="A205" s="355"/>
      <c r="T205" s="369"/>
    </row>
    <row r="206" spans="1:20" s="356" customFormat="1">
      <c r="A206" s="355"/>
      <c r="T206" s="369"/>
    </row>
    <row r="207" spans="1:20" s="356" customFormat="1">
      <c r="A207" s="355"/>
      <c r="T207" s="369"/>
    </row>
    <row r="208" spans="1:20" s="356" customFormat="1">
      <c r="A208" s="355"/>
      <c r="T208" s="369"/>
    </row>
    <row r="209" spans="1:20" s="356" customFormat="1">
      <c r="A209" s="355"/>
      <c r="T209" s="369"/>
    </row>
    <row r="210" spans="1:20" s="356" customFormat="1">
      <c r="A210" s="355"/>
      <c r="T210" s="369"/>
    </row>
    <row r="211" spans="1:20" s="356" customFormat="1">
      <c r="A211" s="355"/>
      <c r="T211" s="369"/>
    </row>
    <row r="212" spans="1:20" s="356" customFormat="1">
      <c r="A212" s="355"/>
      <c r="T212" s="369"/>
    </row>
    <row r="213" spans="1:20" s="356" customFormat="1">
      <c r="A213" s="355"/>
      <c r="T213" s="369"/>
    </row>
    <row r="214" spans="1:20" s="356" customFormat="1">
      <c r="A214" s="355"/>
      <c r="T214" s="369"/>
    </row>
    <row r="215" spans="1:20" s="356" customFormat="1">
      <c r="A215" s="355"/>
      <c r="T215" s="369"/>
    </row>
    <row r="216" spans="1:20" s="356" customFormat="1">
      <c r="A216" s="355"/>
      <c r="T216" s="369"/>
    </row>
    <row r="217" spans="1:20" s="356" customFormat="1">
      <c r="A217" s="355"/>
      <c r="T217" s="369"/>
    </row>
    <row r="218" spans="1:20" s="356" customFormat="1">
      <c r="A218" s="355"/>
      <c r="T218" s="369"/>
    </row>
    <row r="219" spans="1:20" s="356" customFormat="1">
      <c r="A219" s="355"/>
      <c r="T219" s="369"/>
    </row>
    <row r="220" spans="1:20" s="356" customFormat="1">
      <c r="A220" s="355"/>
      <c r="T220" s="369"/>
    </row>
    <row r="221" spans="1:20" s="356" customFormat="1">
      <c r="A221" s="355"/>
      <c r="T221" s="369"/>
    </row>
    <row r="222" spans="1:20" s="356" customFormat="1">
      <c r="A222" s="355"/>
      <c r="T222" s="369"/>
    </row>
    <row r="223" spans="1:20" s="356" customFormat="1">
      <c r="A223" s="355"/>
      <c r="T223" s="369"/>
    </row>
    <row r="224" spans="1:20" s="356" customFormat="1">
      <c r="A224" s="355"/>
      <c r="T224" s="369"/>
    </row>
    <row r="225" spans="1:20" s="356" customFormat="1">
      <c r="A225" s="355"/>
      <c r="T225" s="369"/>
    </row>
    <row r="226" spans="1:20" s="356" customFormat="1">
      <c r="A226" s="355"/>
      <c r="T226" s="369"/>
    </row>
    <row r="227" spans="1:20" s="356" customFormat="1">
      <c r="A227" s="355"/>
      <c r="T227" s="369"/>
    </row>
    <row r="228" spans="1:20" s="356" customFormat="1">
      <c r="A228" s="355"/>
      <c r="T228" s="369"/>
    </row>
    <row r="229" spans="1:20" s="356" customFormat="1">
      <c r="A229" s="355"/>
      <c r="T229" s="369"/>
    </row>
    <row r="230" spans="1:20" s="356" customFormat="1">
      <c r="A230" s="355"/>
      <c r="T230" s="369"/>
    </row>
    <row r="231" spans="1:20" s="356" customFormat="1">
      <c r="A231" s="355"/>
      <c r="T231" s="369"/>
    </row>
    <row r="232" spans="1:20" s="356" customFormat="1">
      <c r="A232" s="355"/>
      <c r="T232" s="369"/>
    </row>
    <row r="233" spans="1:20" s="356" customFormat="1">
      <c r="A233" s="355"/>
      <c r="T233" s="369"/>
    </row>
    <row r="234" spans="1:20" s="356" customFormat="1">
      <c r="A234" s="355"/>
      <c r="T234" s="369"/>
    </row>
    <row r="235" spans="1:20" s="356" customFormat="1">
      <c r="A235" s="355"/>
      <c r="T235" s="369"/>
    </row>
    <row r="236" spans="1:20" s="356" customFormat="1">
      <c r="A236" s="355"/>
      <c r="T236" s="369"/>
    </row>
    <row r="237" spans="1:20" s="356" customFormat="1">
      <c r="A237" s="355"/>
      <c r="T237" s="369"/>
    </row>
    <row r="238" spans="1:20" s="356" customFormat="1">
      <c r="A238" s="355"/>
      <c r="T238" s="369"/>
    </row>
    <row r="239" spans="1:20" s="356" customFormat="1">
      <c r="A239" s="355"/>
      <c r="T239" s="369"/>
    </row>
    <row r="240" spans="1:20" s="356" customFormat="1">
      <c r="A240" s="355"/>
      <c r="T240" s="369"/>
    </row>
    <row r="241" spans="1:20" s="356" customFormat="1">
      <c r="A241" s="355"/>
      <c r="T241" s="369"/>
    </row>
    <row r="242" spans="1:20" s="356" customFormat="1">
      <c r="A242" s="355"/>
      <c r="T242" s="369"/>
    </row>
    <row r="243" spans="1:20" s="356" customFormat="1">
      <c r="A243" s="355"/>
      <c r="T243" s="369"/>
    </row>
    <row r="244" spans="1:20" s="356" customFormat="1">
      <c r="A244" s="355"/>
      <c r="T244" s="369"/>
    </row>
    <row r="245" spans="1:20" s="356" customFormat="1">
      <c r="A245" s="355"/>
      <c r="T245" s="369"/>
    </row>
    <row r="246" spans="1:20" s="356" customFormat="1">
      <c r="A246" s="355"/>
      <c r="T246" s="369"/>
    </row>
    <row r="247" spans="1:20" s="356" customFormat="1">
      <c r="A247" s="355"/>
      <c r="T247" s="369"/>
    </row>
    <row r="248" spans="1:20" s="356" customFormat="1">
      <c r="A248" s="355"/>
      <c r="T248" s="369"/>
    </row>
    <row r="249" spans="1:20" s="356" customFormat="1">
      <c r="A249" s="355"/>
      <c r="T249" s="369"/>
    </row>
    <row r="250" spans="1:20" s="356" customFormat="1">
      <c r="A250" s="355"/>
      <c r="T250" s="369"/>
    </row>
    <row r="251" spans="1:20" s="356" customFormat="1">
      <c r="A251" s="355"/>
      <c r="T251" s="369"/>
    </row>
    <row r="252" spans="1:20" s="356" customFormat="1">
      <c r="A252" s="355"/>
      <c r="T252" s="369"/>
    </row>
    <row r="253" spans="1:20" s="356" customFormat="1">
      <c r="A253" s="355"/>
      <c r="T253" s="369"/>
    </row>
    <row r="254" spans="1:20" s="356" customFormat="1">
      <c r="A254" s="355"/>
      <c r="T254" s="369"/>
    </row>
    <row r="255" spans="1:20" s="356" customFormat="1">
      <c r="A255" s="355"/>
      <c r="T255" s="369"/>
    </row>
    <row r="256" spans="1:20" s="356" customFormat="1">
      <c r="A256" s="355"/>
      <c r="T256" s="369"/>
    </row>
    <row r="257" spans="1:20" s="356" customFormat="1">
      <c r="A257" s="355"/>
      <c r="T257" s="369"/>
    </row>
    <row r="258" spans="1:20" s="356" customFormat="1">
      <c r="A258" s="355"/>
      <c r="T258" s="369"/>
    </row>
    <row r="259" spans="1:20" s="356" customFormat="1">
      <c r="A259" s="355"/>
      <c r="T259" s="369"/>
    </row>
    <row r="260" spans="1:20" s="356" customFormat="1">
      <c r="A260" s="355"/>
      <c r="T260" s="369"/>
    </row>
    <row r="261" spans="1:20" s="356" customFormat="1">
      <c r="A261" s="355"/>
      <c r="T261" s="369"/>
    </row>
    <row r="262" spans="1:20" s="356" customFormat="1">
      <c r="A262" s="355"/>
      <c r="T262" s="369"/>
    </row>
    <row r="263" spans="1:20" s="356" customFormat="1">
      <c r="A263" s="355"/>
      <c r="T263" s="369"/>
    </row>
    <row r="264" spans="1:20" s="356" customFormat="1">
      <c r="A264" s="355"/>
      <c r="T264" s="369"/>
    </row>
    <row r="265" spans="1:20" s="356" customFormat="1">
      <c r="A265" s="355"/>
      <c r="T265" s="369"/>
    </row>
    <row r="266" spans="1:20" s="356" customFormat="1">
      <c r="A266" s="355"/>
      <c r="T266" s="369"/>
    </row>
    <row r="267" spans="1:20" s="356" customFormat="1">
      <c r="A267" s="355"/>
      <c r="T267" s="369"/>
    </row>
    <row r="268" spans="1:20" s="356" customFormat="1">
      <c r="A268" s="355"/>
      <c r="T268" s="369"/>
    </row>
    <row r="269" spans="1:20" s="356" customFormat="1">
      <c r="A269" s="355"/>
      <c r="T269" s="369"/>
    </row>
    <row r="270" spans="1:20" s="356" customFormat="1">
      <c r="A270" s="355"/>
      <c r="T270" s="369"/>
    </row>
    <row r="271" spans="1:20" s="356" customFormat="1">
      <c r="A271" s="355"/>
      <c r="T271" s="369"/>
    </row>
    <row r="272" spans="1:20" s="356" customFormat="1">
      <c r="A272" s="355"/>
      <c r="T272" s="369"/>
    </row>
    <row r="273" spans="1:20" s="356" customFormat="1">
      <c r="A273" s="355"/>
      <c r="T273" s="369"/>
    </row>
    <row r="274" spans="1:20" s="356" customFormat="1">
      <c r="A274" s="355"/>
      <c r="T274" s="369"/>
    </row>
    <row r="275" spans="1:20" s="356" customFormat="1">
      <c r="A275" s="355"/>
      <c r="T275" s="369"/>
    </row>
    <row r="276" spans="1:20" s="356" customFormat="1">
      <c r="A276" s="355"/>
      <c r="T276" s="369"/>
    </row>
    <row r="277" spans="1:20" s="356" customFormat="1">
      <c r="A277" s="355"/>
      <c r="T277" s="369"/>
    </row>
    <row r="278" spans="1:20" s="356" customFormat="1">
      <c r="A278" s="355"/>
      <c r="T278" s="369"/>
    </row>
    <row r="279" spans="1:20" s="356" customFormat="1">
      <c r="A279" s="355"/>
      <c r="T279" s="369"/>
    </row>
    <row r="280" spans="1:20" s="356" customFormat="1">
      <c r="A280" s="355"/>
      <c r="T280" s="369"/>
    </row>
    <row r="281" spans="1:20" s="356" customFormat="1">
      <c r="A281" s="355"/>
      <c r="T281" s="369"/>
    </row>
    <row r="282" spans="1:20" s="356" customFormat="1">
      <c r="A282" s="355"/>
      <c r="T282" s="369"/>
    </row>
    <row r="283" spans="1:20" s="356" customFormat="1">
      <c r="A283" s="355"/>
      <c r="T283" s="369"/>
    </row>
    <row r="284" spans="1:20" s="356" customFormat="1">
      <c r="A284" s="355"/>
      <c r="T284" s="369"/>
    </row>
    <row r="285" spans="1:20" s="356" customFormat="1">
      <c r="A285" s="355"/>
      <c r="T285" s="369"/>
    </row>
    <row r="286" spans="1:20" s="356" customFormat="1">
      <c r="A286" s="355"/>
      <c r="T286" s="369"/>
    </row>
    <row r="287" spans="1:20" s="356" customFormat="1">
      <c r="A287" s="355"/>
      <c r="T287" s="369"/>
    </row>
    <row r="288" spans="1:20" s="356" customFormat="1">
      <c r="A288" s="355"/>
      <c r="T288" s="369"/>
    </row>
    <row r="289" spans="1:20" s="356" customFormat="1">
      <c r="A289" s="355"/>
      <c r="T289" s="369"/>
    </row>
    <row r="290" spans="1:20" s="356" customFormat="1">
      <c r="A290" s="355"/>
      <c r="T290" s="369"/>
    </row>
    <row r="291" spans="1:20" s="356" customFormat="1">
      <c r="A291" s="355"/>
      <c r="T291" s="369"/>
    </row>
    <row r="292" spans="1:20" s="356" customFormat="1">
      <c r="A292" s="355"/>
      <c r="T292" s="369"/>
    </row>
    <row r="293" spans="1:20" s="356" customFormat="1">
      <c r="A293" s="355"/>
      <c r="T293" s="369"/>
    </row>
    <row r="294" spans="1:20" s="356" customFormat="1">
      <c r="A294" s="355"/>
      <c r="T294" s="369"/>
    </row>
    <row r="295" spans="1:20" s="356" customFormat="1">
      <c r="A295" s="355"/>
      <c r="T295" s="369"/>
    </row>
    <row r="296" spans="1:20" s="356" customFormat="1">
      <c r="A296" s="355"/>
      <c r="T296" s="369"/>
    </row>
    <row r="297" spans="1:20" s="356" customFormat="1">
      <c r="A297" s="355"/>
      <c r="T297" s="369"/>
    </row>
    <row r="298" spans="1:20" s="356" customFormat="1">
      <c r="A298" s="355"/>
      <c r="T298" s="369"/>
    </row>
    <row r="299" spans="1:20" s="356" customFormat="1">
      <c r="A299" s="355"/>
      <c r="T299" s="369"/>
    </row>
    <row r="300" spans="1:20">
      <c r="T300" s="369"/>
    </row>
    <row r="301" spans="1:20">
      <c r="T301" s="369"/>
    </row>
    <row r="302" spans="1:20">
      <c r="T302" s="369"/>
    </row>
    <row r="303" spans="1:20">
      <c r="T303" s="369"/>
    </row>
    <row r="304" spans="1:20">
      <c r="T304" s="369"/>
    </row>
    <row r="305" spans="20:20">
      <c r="T305" s="369"/>
    </row>
    <row r="306" spans="20:20">
      <c r="T306" s="369"/>
    </row>
    <row r="307" spans="20:20">
      <c r="T307" s="369"/>
    </row>
    <row r="308" spans="20:20">
      <c r="T308" s="369"/>
    </row>
    <row r="309" spans="20:20">
      <c r="T309" s="369"/>
    </row>
    <row r="310" spans="20:20">
      <c r="T310" s="369"/>
    </row>
    <row r="311" spans="20:20">
      <c r="T311" s="369"/>
    </row>
    <row r="312" spans="20:20">
      <c r="T312" s="369"/>
    </row>
    <row r="313" spans="20:20">
      <c r="T313" s="369"/>
    </row>
    <row r="314" spans="20:20">
      <c r="T314" s="369"/>
    </row>
    <row r="315" spans="20:20">
      <c r="T315" s="369"/>
    </row>
    <row r="316" spans="20:20">
      <c r="T316" s="369"/>
    </row>
    <row r="317" spans="20:20">
      <c r="T317" s="369"/>
    </row>
    <row r="318" spans="20:20">
      <c r="T318" s="369"/>
    </row>
    <row r="319" spans="20:20">
      <c r="T319" s="369"/>
    </row>
    <row r="320" spans="20:20">
      <c r="T320" s="369"/>
    </row>
    <row r="321" spans="20:20">
      <c r="T321" s="369"/>
    </row>
    <row r="322" spans="20:20">
      <c r="T322" s="369"/>
    </row>
    <row r="323" spans="20:20">
      <c r="T323" s="369"/>
    </row>
    <row r="324" spans="20:20">
      <c r="T324" s="369"/>
    </row>
    <row r="325" spans="20:20">
      <c r="T325" s="369"/>
    </row>
    <row r="326" spans="20:20">
      <c r="T326" s="369"/>
    </row>
    <row r="327" spans="20:20">
      <c r="T327" s="369"/>
    </row>
    <row r="328" spans="20:20">
      <c r="T328" s="369"/>
    </row>
    <row r="329" spans="20:20">
      <c r="T329" s="369"/>
    </row>
    <row r="330" spans="20:20">
      <c r="T330" s="369"/>
    </row>
    <row r="331" spans="20:20">
      <c r="T331" s="369"/>
    </row>
    <row r="332" spans="20:20">
      <c r="T332" s="369"/>
    </row>
    <row r="333" spans="20:20">
      <c r="T333" s="369"/>
    </row>
    <row r="334" spans="20:20">
      <c r="T334" s="369"/>
    </row>
    <row r="335" spans="20:20">
      <c r="T335" s="369"/>
    </row>
    <row r="336" spans="20:20">
      <c r="T336" s="369"/>
    </row>
    <row r="337" spans="20:20">
      <c r="T337" s="369"/>
    </row>
    <row r="338" spans="20:20">
      <c r="T338" s="369"/>
    </row>
    <row r="339" spans="20:20">
      <c r="T339" s="369"/>
    </row>
    <row r="340" spans="20:20">
      <c r="T340" s="369"/>
    </row>
    <row r="341" spans="20:20">
      <c r="T341" s="369"/>
    </row>
    <row r="342" spans="20:20">
      <c r="T342" s="369"/>
    </row>
    <row r="343" spans="20:20">
      <c r="T343" s="369"/>
    </row>
    <row r="344" spans="20:20">
      <c r="T344" s="369"/>
    </row>
    <row r="345" spans="20:20">
      <c r="T345" s="369"/>
    </row>
    <row r="346" spans="20:20">
      <c r="T346" s="369"/>
    </row>
    <row r="347" spans="20:20">
      <c r="T347" s="369"/>
    </row>
    <row r="348" spans="20:20">
      <c r="T348" s="369"/>
    </row>
    <row r="349" spans="20:20">
      <c r="T349" s="369"/>
    </row>
    <row r="350" spans="20:20">
      <c r="T350" s="369"/>
    </row>
    <row r="351" spans="20:20">
      <c r="T351" s="369"/>
    </row>
    <row r="352" spans="20:20">
      <c r="T352" s="369"/>
    </row>
    <row r="353" spans="20:20">
      <c r="T353" s="369"/>
    </row>
    <row r="354" spans="20:20">
      <c r="T354" s="369"/>
    </row>
    <row r="355" spans="20:20">
      <c r="T355" s="369"/>
    </row>
    <row r="356" spans="20:20">
      <c r="T356" s="369"/>
    </row>
    <row r="357" spans="20:20">
      <c r="T357" s="369"/>
    </row>
    <row r="358" spans="20:20">
      <c r="T358" s="369"/>
    </row>
    <row r="359" spans="20:20">
      <c r="T359" s="369"/>
    </row>
    <row r="360" spans="20:20">
      <c r="T360" s="369"/>
    </row>
    <row r="361" spans="20:20">
      <c r="T361" s="369"/>
    </row>
    <row r="362" spans="20:20">
      <c r="T362" s="369"/>
    </row>
    <row r="363" spans="20:20">
      <c r="T363" s="369"/>
    </row>
    <row r="364" spans="20:20">
      <c r="T364" s="369"/>
    </row>
    <row r="365" spans="20:20">
      <c r="T365" s="369"/>
    </row>
    <row r="366" spans="20:20">
      <c r="T366" s="369"/>
    </row>
    <row r="367" spans="20:20">
      <c r="T367" s="369"/>
    </row>
    <row r="368" spans="20:20">
      <c r="T368" s="369"/>
    </row>
    <row r="369" spans="20:20">
      <c r="T369" s="369"/>
    </row>
    <row r="370" spans="20:20">
      <c r="T370" s="369"/>
    </row>
    <row r="371" spans="20:20">
      <c r="T371" s="369"/>
    </row>
    <row r="372" spans="20:20">
      <c r="T372" s="369"/>
    </row>
    <row r="373" spans="20:20">
      <c r="T373" s="369"/>
    </row>
    <row r="374" spans="20:20">
      <c r="T374" s="369"/>
    </row>
    <row r="375" spans="20:20">
      <c r="T375" s="369"/>
    </row>
    <row r="376" spans="20:20">
      <c r="T376" s="369"/>
    </row>
    <row r="377" spans="20:20">
      <c r="T377" s="369"/>
    </row>
    <row r="378" spans="20:20">
      <c r="T378" s="369"/>
    </row>
    <row r="379" spans="20:20">
      <c r="T379" s="369"/>
    </row>
    <row r="380" spans="20:20">
      <c r="T380" s="369"/>
    </row>
    <row r="381" spans="20:20">
      <c r="T381" s="369"/>
    </row>
    <row r="382" spans="20:20">
      <c r="T382" s="369"/>
    </row>
    <row r="383" spans="20:20">
      <c r="T383" s="369"/>
    </row>
    <row r="384" spans="20:20">
      <c r="T384" s="369"/>
    </row>
    <row r="385" spans="20:20">
      <c r="T385" s="369"/>
    </row>
    <row r="386" spans="20:20">
      <c r="T386" s="369"/>
    </row>
    <row r="387" spans="20:20">
      <c r="T387" s="369"/>
    </row>
    <row r="388" spans="20:20">
      <c r="T388" s="369"/>
    </row>
    <row r="389" spans="20:20">
      <c r="T389" s="369"/>
    </row>
    <row r="390" spans="20:20">
      <c r="T390" s="369"/>
    </row>
    <row r="391" spans="20:20">
      <c r="T391" s="369"/>
    </row>
    <row r="392" spans="20:20">
      <c r="T392" s="369"/>
    </row>
    <row r="393" spans="20:20">
      <c r="T393" s="369"/>
    </row>
    <row r="394" spans="20:20">
      <c r="T394" s="369"/>
    </row>
    <row r="395" spans="20:20">
      <c r="T395" s="369"/>
    </row>
    <row r="396" spans="20:20">
      <c r="T396" s="369"/>
    </row>
    <row r="397" spans="20:20">
      <c r="T397" s="369"/>
    </row>
    <row r="398" spans="20:20">
      <c r="T398" s="369"/>
    </row>
    <row r="399" spans="20:20">
      <c r="T399" s="369"/>
    </row>
    <row r="400" spans="20:20">
      <c r="T400" s="369"/>
    </row>
    <row r="401" spans="20:20">
      <c r="T401" s="369"/>
    </row>
    <row r="402" spans="20:20">
      <c r="T402" s="369"/>
    </row>
    <row r="403" spans="20:20">
      <c r="T403" s="369"/>
    </row>
    <row r="404" spans="20:20">
      <c r="T404" s="369"/>
    </row>
    <row r="405" spans="20:20">
      <c r="T405" s="369"/>
    </row>
    <row r="406" spans="20:20">
      <c r="T406" s="369"/>
    </row>
    <row r="407" spans="20:20">
      <c r="T407" s="369"/>
    </row>
    <row r="408" spans="20:20">
      <c r="T408" s="369"/>
    </row>
    <row r="409" spans="20:20">
      <c r="T409" s="369"/>
    </row>
    <row r="410" spans="20:20">
      <c r="T410" s="369"/>
    </row>
    <row r="411" spans="20:20">
      <c r="T411" s="369"/>
    </row>
    <row r="412" spans="20:20">
      <c r="T412" s="369"/>
    </row>
    <row r="413" spans="20:20">
      <c r="T413" s="369"/>
    </row>
    <row r="414" spans="20:20">
      <c r="T414" s="369"/>
    </row>
    <row r="415" spans="20:20">
      <c r="T415" s="369"/>
    </row>
    <row r="416" spans="20:20">
      <c r="T416" s="369"/>
    </row>
    <row r="417" spans="20:20">
      <c r="T417" s="369"/>
    </row>
    <row r="418" spans="20:20">
      <c r="T418" s="369"/>
    </row>
    <row r="419" spans="20:20">
      <c r="T419" s="369"/>
    </row>
    <row r="420" spans="20:20">
      <c r="T420" s="369"/>
    </row>
    <row r="421" spans="20:20">
      <c r="T421" s="369"/>
    </row>
    <row r="422" spans="20:20">
      <c r="T422" s="369"/>
    </row>
    <row r="423" spans="20:20">
      <c r="T423" s="369"/>
    </row>
    <row r="424" spans="20:20">
      <c r="T424" s="369"/>
    </row>
    <row r="425" spans="20:20">
      <c r="T425" s="369"/>
    </row>
    <row r="426" spans="20:20">
      <c r="T426" s="369"/>
    </row>
    <row r="427" spans="20:20">
      <c r="T427" s="369"/>
    </row>
    <row r="428" spans="20:20">
      <c r="T428" s="369"/>
    </row>
    <row r="429" spans="20:20">
      <c r="T429" s="369"/>
    </row>
    <row r="430" spans="20:20">
      <c r="T430" s="369"/>
    </row>
    <row r="431" spans="20:20">
      <c r="T431" s="369"/>
    </row>
    <row r="432" spans="20:20">
      <c r="T432" s="369"/>
    </row>
    <row r="433" spans="20:20">
      <c r="T433" s="369"/>
    </row>
    <row r="434" spans="20:20">
      <c r="T434" s="369"/>
    </row>
    <row r="435" spans="20:20">
      <c r="T435" s="369"/>
    </row>
    <row r="436" spans="20:20">
      <c r="T436" s="369"/>
    </row>
    <row r="437" spans="20:20">
      <c r="T437" s="369"/>
    </row>
    <row r="438" spans="20:20">
      <c r="T438" s="369"/>
    </row>
    <row r="439" spans="20:20">
      <c r="T439" s="369"/>
    </row>
    <row r="440" spans="20:20">
      <c r="T440" s="369"/>
    </row>
    <row r="441" spans="20:20">
      <c r="T441" s="369"/>
    </row>
    <row r="442" spans="20:20">
      <c r="T442" s="369"/>
    </row>
    <row r="443" spans="20:20">
      <c r="T443" s="369"/>
    </row>
    <row r="444" spans="20:20">
      <c r="T444" s="369"/>
    </row>
    <row r="445" spans="20:20">
      <c r="T445" s="369"/>
    </row>
    <row r="446" spans="20:20">
      <c r="T446" s="369"/>
    </row>
    <row r="447" spans="20:20">
      <c r="T447" s="369"/>
    </row>
    <row r="448" spans="20:20">
      <c r="T448" s="369"/>
    </row>
    <row r="449" spans="20:20">
      <c r="T449" s="369"/>
    </row>
    <row r="1145" spans="3:3">
      <c r="C1145" s="331">
        <v>-2130</v>
      </c>
    </row>
    <row r="1153" spans="3:3">
      <c r="C1153" s="331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5" customWidth="1"/>
    <col min="2" max="2" width="6.85546875" style="275" bestFit="1" customWidth="1"/>
    <col min="3" max="3" width="15.85546875" style="275" bestFit="1" customWidth="1"/>
    <col min="4" max="4" width="14.85546875" style="275" bestFit="1" customWidth="1"/>
    <col min="5" max="5" width="16.140625" style="275" bestFit="1" customWidth="1"/>
    <col min="6" max="6" width="9.140625" style="275"/>
    <col min="7" max="7" width="36.28515625" style="275" bestFit="1" customWidth="1"/>
    <col min="8" max="8" width="17.5703125" style="275" bestFit="1" customWidth="1"/>
    <col min="9" max="10" width="15.140625" style="275" bestFit="1" customWidth="1"/>
    <col min="11" max="16384" width="9.140625" style="275"/>
  </cols>
  <sheetData>
    <row r="1" spans="1:10" ht="15.75">
      <c r="A1" s="274" t="s">
        <v>200</v>
      </c>
    </row>
    <row r="2" spans="1:10" ht="15.75">
      <c r="A2" s="447"/>
    </row>
    <row r="3" spans="1:10" ht="15.75">
      <c r="A3" s="274"/>
    </row>
    <row r="4" spans="1:10" ht="15.75" hidden="1">
      <c r="A4" s="290"/>
      <c r="B4" s="290"/>
      <c r="C4" s="284" t="s">
        <v>1</v>
      </c>
      <c r="D4" s="308">
        <v>41274</v>
      </c>
      <c r="E4" s="309">
        <v>280640.39010999998</v>
      </c>
    </row>
    <row r="5" spans="1:10" ht="15.75" hidden="1" thickBot="1"/>
    <row r="6" spans="1:10" ht="15.75" hidden="1">
      <c r="A6" s="658" t="s">
        <v>195</v>
      </c>
      <c r="B6" s="659"/>
      <c r="C6" s="659"/>
      <c r="D6" s="659"/>
      <c r="E6" s="660"/>
      <c r="G6" s="290"/>
      <c r="H6" s="290"/>
      <c r="I6" s="290"/>
    </row>
    <row r="7" spans="1:10" ht="15.75" hidden="1">
      <c r="A7" s="219">
        <v>41305</v>
      </c>
      <c r="B7" s="276"/>
      <c r="C7" s="277" t="s">
        <v>101</v>
      </c>
      <c r="D7" s="278"/>
      <c r="E7" s="279"/>
    </row>
    <row r="8" spans="1:10" ht="16.5" hidden="1" thickBot="1">
      <c r="A8" s="280"/>
      <c r="B8" s="281"/>
      <c r="C8" s="282" t="s">
        <v>21</v>
      </c>
      <c r="D8" s="282" t="s">
        <v>22</v>
      </c>
      <c r="E8" s="283" t="s">
        <v>23</v>
      </c>
    </row>
    <row r="9" spans="1:10" ht="15.75" hidden="1">
      <c r="A9" s="284" t="s">
        <v>24</v>
      </c>
      <c r="B9" s="285">
        <v>101</v>
      </c>
      <c r="C9" s="286">
        <v>22136409</v>
      </c>
      <c r="D9" s="287">
        <v>-2.1900000000000001E-3</v>
      </c>
      <c r="E9" s="288">
        <f>C9*D9</f>
        <v>-48478.735710000001</v>
      </c>
    </row>
    <row r="10" spans="1:10" ht="16.5" hidden="1" thickBot="1">
      <c r="A10" s="284" t="s">
        <v>24</v>
      </c>
      <c r="B10" s="285">
        <v>111</v>
      </c>
      <c r="C10" s="286">
        <v>7525225</v>
      </c>
      <c r="D10" s="287">
        <v>-2.1900000000000001E-3</v>
      </c>
      <c r="E10" s="288">
        <f t="shared" ref="E10:E16" si="0">C10*D10</f>
        <v>-16480.242750000001</v>
      </c>
      <c r="G10" s="289">
        <f>A7</f>
        <v>41305</v>
      </c>
      <c r="H10" s="290"/>
      <c r="I10" s="290"/>
      <c r="J10" s="290"/>
    </row>
    <row r="11" spans="1:10" ht="16.5" hidden="1" thickBot="1">
      <c r="A11" s="284" t="s">
        <v>24</v>
      </c>
      <c r="B11" s="285">
        <v>112</v>
      </c>
      <c r="C11" s="286">
        <v>0</v>
      </c>
      <c r="D11" s="287">
        <v>-2.1900000000000001E-3</v>
      </c>
      <c r="E11" s="288">
        <f t="shared" si="0"/>
        <v>0</v>
      </c>
      <c r="G11" s="291" t="s">
        <v>25</v>
      </c>
      <c r="H11" s="292"/>
      <c r="I11" s="293" t="s">
        <v>18</v>
      </c>
      <c r="J11" s="293" t="s">
        <v>19</v>
      </c>
    </row>
    <row r="12" spans="1:10" ht="15.75" hidden="1">
      <c r="A12" s="284" t="s">
        <v>24</v>
      </c>
      <c r="B12" s="285">
        <v>121</v>
      </c>
      <c r="C12" s="286">
        <v>606431</v>
      </c>
      <c r="D12" s="287">
        <v>-2.1900000000000001E-3</v>
      </c>
      <c r="E12" s="288">
        <f t="shared" si="0"/>
        <v>-1328.0838900000001</v>
      </c>
      <c r="G12" s="294" t="s">
        <v>97</v>
      </c>
      <c r="H12" s="295" t="s">
        <v>26</v>
      </c>
      <c r="I12" s="296">
        <f>-E17</f>
        <v>67542.528509999989</v>
      </c>
      <c r="J12" s="297">
        <v>0</v>
      </c>
    </row>
    <row r="13" spans="1:10" ht="16.5" hidden="1" thickBot="1">
      <c r="A13" s="284" t="s">
        <v>24</v>
      </c>
      <c r="B13" s="285">
        <v>122</v>
      </c>
      <c r="C13" s="286">
        <v>85748</v>
      </c>
      <c r="D13" s="287">
        <v>-2.1900000000000001E-3</v>
      </c>
      <c r="E13" s="288">
        <f t="shared" si="0"/>
        <v>-187.78812000000002</v>
      </c>
      <c r="G13" s="298" t="s">
        <v>196</v>
      </c>
      <c r="H13" s="299" t="s">
        <v>197</v>
      </c>
      <c r="I13" s="300">
        <v>0</v>
      </c>
      <c r="J13" s="301">
        <f>-I12</f>
        <v>-67542.528509999989</v>
      </c>
    </row>
    <row r="14" spans="1:10" ht="15.75" hidden="1">
      <c r="A14" s="284" t="s">
        <v>24</v>
      </c>
      <c r="B14" s="285">
        <v>131</v>
      </c>
      <c r="C14" s="286">
        <v>0</v>
      </c>
      <c r="D14" s="287">
        <v>-2.1900000000000001E-3</v>
      </c>
      <c r="E14" s="288">
        <f t="shared" si="0"/>
        <v>0</v>
      </c>
      <c r="G14" s="290"/>
      <c r="H14" s="290"/>
      <c r="I14" s="290"/>
      <c r="J14" s="302">
        <f>SUM(I12:J13)</f>
        <v>0</v>
      </c>
    </row>
    <row r="15" spans="1:10" ht="15.75" hidden="1">
      <c r="A15" s="284" t="s">
        <v>24</v>
      </c>
      <c r="B15" s="285">
        <v>132</v>
      </c>
      <c r="C15" s="286">
        <v>151236</v>
      </c>
      <c r="D15" s="287">
        <v>-2.1900000000000001E-3</v>
      </c>
      <c r="E15" s="288">
        <f t="shared" si="0"/>
        <v>-331.20684</v>
      </c>
    </row>
    <row r="16" spans="1:10" ht="15.75" hidden="1">
      <c r="A16" s="284" t="s">
        <v>24</v>
      </c>
      <c r="B16" s="285">
        <v>146</v>
      </c>
      <c r="C16" s="286">
        <v>3682356</v>
      </c>
      <c r="D16" s="287">
        <v>-2.0000000000000001E-4</v>
      </c>
      <c r="E16" s="303">
        <f t="shared" si="0"/>
        <v>-736.47120000000007</v>
      </c>
    </row>
    <row r="17" spans="1:10" ht="16.5" hidden="1" thickBot="1">
      <c r="A17" s="284" t="s">
        <v>198</v>
      </c>
      <c r="B17" s="285"/>
      <c r="C17" s="304">
        <f>SUM(C9:C16)</f>
        <v>34187405</v>
      </c>
      <c r="D17" s="305"/>
      <c r="E17" s="306">
        <f>SUM(E9:E16)</f>
        <v>-67542.528509999989</v>
      </c>
    </row>
    <row r="18" spans="1:10" ht="16.5" hidden="1" thickTop="1">
      <c r="A18" s="284"/>
      <c r="B18" s="285"/>
      <c r="C18" s="310">
        <v>34187405</v>
      </c>
      <c r="D18" s="305"/>
      <c r="E18" s="306"/>
    </row>
    <row r="19" spans="1:10" ht="15.75" hidden="1">
      <c r="A19" s="284"/>
      <c r="B19" s="285"/>
      <c r="C19" s="307">
        <f>C18-C17</f>
        <v>0</v>
      </c>
      <c r="D19" s="305"/>
      <c r="E19" s="306"/>
    </row>
    <row r="20" spans="1:10" ht="15.75" hidden="1">
      <c r="A20" s="290"/>
      <c r="B20" s="290"/>
      <c r="C20" s="284" t="s">
        <v>1</v>
      </c>
      <c r="D20" s="308">
        <f>A7</f>
        <v>41305</v>
      </c>
      <c r="E20" s="309">
        <f>E4+E17</f>
        <v>213097.8616</v>
      </c>
    </row>
    <row r="21" spans="1:10" ht="15.75" hidden="1" thickBot="1"/>
    <row r="22" spans="1:10" ht="15.75" hidden="1">
      <c r="A22" s="658" t="s">
        <v>195</v>
      </c>
      <c r="B22" s="659"/>
      <c r="C22" s="659"/>
      <c r="D22" s="659"/>
      <c r="E22" s="660"/>
      <c r="G22" s="290"/>
      <c r="H22" s="290"/>
      <c r="I22" s="290"/>
    </row>
    <row r="23" spans="1:10" ht="15.75" hidden="1">
      <c r="A23" s="219">
        <v>41333</v>
      </c>
      <c r="B23" s="276"/>
      <c r="C23" s="277" t="s">
        <v>101</v>
      </c>
      <c r="D23" s="278"/>
      <c r="E23" s="279"/>
    </row>
    <row r="24" spans="1:10" ht="16.5" hidden="1" thickBot="1">
      <c r="A24" s="280"/>
      <c r="B24" s="281"/>
      <c r="C24" s="282" t="s">
        <v>21</v>
      </c>
      <c r="D24" s="282" t="s">
        <v>22</v>
      </c>
      <c r="E24" s="283" t="s">
        <v>23</v>
      </c>
    </row>
    <row r="25" spans="1:10" ht="15.75" hidden="1">
      <c r="A25" s="284" t="s">
        <v>24</v>
      </c>
      <c r="B25" s="285">
        <v>101</v>
      </c>
      <c r="C25" s="286">
        <v>16585315</v>
      </c>
      <c r="D25" s="287">
        <v>-2.1900000000000001E-3</v>
      </c>
      <c r="E25" s="288">
        <v>-36321.839850000004</v>
      </c>
    </row>
    <row r="26" spans="1:10" ht="16.5" hidden="1" thickBot="1">
      <c r="A26" s="284" t="s">
        <v>24</v>
      </c>
      <c r="B26" s="285">
        <v>111</v>
      </c>
      <c r="C26" s="286">
        <v>5716465</v>
      </c>
      <c r="D26" s="287">
        <v>-2.1900000000000001E-3</v>
      </c>
      <c r="E26" s="288">
        <v>-12519.058350000001</v>
      </c>
      <c r="G26" s="289">
        <f>A23</f>
        <v>41333</v>
      </c>
      <c r="H26" s="290"/>
      <c r="I26" s="290"/>
      <c r="J26" s="290"/>
    </row>
    <row r="27" spans="1:10" ht="16.5" hidden="1" thickBot="1">
      <c r="A27" s="284" t="s">
        <v>24</v>
      </c>
      <c r="B27" s="285">
        <v>112</v>
      </c>
      <c r="C27" s="286">
        <v>0</v>
      </c>
      <c r="D27" s="287">
        <v>-2.1900000000000001E-3</v>
      </c>
      <c r="E27" s="288">
        <v>0</v>
      </c>
      <c r="G27" s="291" t="s">
        <v>25</v>
      </c>
      <c r="H27" s="292"/>
      <c r="I27" s="293" t="s">
        <v>18</v>
      </c>
      <c r="J27" s="293" t="s">
        <v>19</v>
      </c>
    </row>
    <row r="28" spans="1:10" ht="15.75" hidden="1">
      <c r="A28" s="284" t="s">
        <v>24</v>
      </c>
      <c r="B28" s="285">
        <v>121</v>
      </c>
      <c r="C28" s="286">
        <v>416479</v>
      </c>
      <c r="D28" s="287">
        <v>-2.1900000000000001E-3</v>
      </c>
      <c r="E28" s="288">
        <v>-912.08901000000003</v>
      </c>
      <c r="G28" s="294" t="s">
        <v>97</v>
      </c>
      <c r="H28" s="295" t="s">
        <v>26</v>
      </c>
      <c r="I28" s="296">
        <f>-E33</f>
        <v>50910.051820000008</v>
      </c>
      <c r="J28" s="297">
        <v>0</v>
      </c>
    </row>
    <row r="29" spans="1:10" ht="16.5" hidden="1" thickBot="1">
      <c r="A29" s="284" t="s">
        <v>24</v>
      </c>
      <c r="B29" s="285">
        <v>122</v>
      </c>
      <c r="C29" s="286">
        <v>94568</v>
      </c>
      <c r="D29" s="287">
        <v>-2.1900000000000001E-3</v>
      </c>
      <c r="E29" s="288">
        <v>-207.10392000000002</v>
      </c>
      <c r="G29" s="298" t="s">
        <v>196</v>
      </c>
      <c r="H29" s="299" t="s">
        <v>197</v>
      </c>
      <c r="I29" s="300">
        <v>0</v>
      </c>
      <c r="J29" s="301">
        <f>-I28</f>
        <v>-50910.051820000008</v>
      </c>
    </row>
    <row r="30" spans="1:10" ht="15.75" hidden="1">
      <c r="A30" s="284" t="s">
        <v>24</v>
      </c>
      <c r="B30" s="285">
        <v>131</v>
      </c>
      <c r="C30" s="286">
        <v>0</v>
      </c>
      <c r="D30" s="287">
        <v>-2.1900000000000001E-3</v>
      </c>
      <c r="E30" s="288">
        <v>0</v>
      </c>
      <c r="G30" s="290"/>
      <c r="H30" s="290"/>
      <c r="I30" s="290"/>
      <c r="J30" s="302">
        <f>SUM(I28:J29)</f>
        <v>0</v>
      </c>
    </row>
    <row r="31" spans="1:10" ht="15.75" hidden="1">
      <c r="A31" s="284" t="s">
        <v>24</v>
      </c>
      <c r="B31" s="285">
        <v>132</v>
      </c>
      <c r="C31" s="286">
        <v>172051</v>
      </c>
      <c r="D31" s="287">
        <v>-2.1900000000000001E-3</v>
      </c>
      <c r="E31" s="288">
        <v>-376.79169000000002</v>
      </c>
    </row>
    <row r="32" spans="1:10" ht="15.75" hidden="1">
      <c r="A32" s="284" t="s">
        <v>24</v>
      </c>
      <c r="B32" s="285">
        <v>146</v>
      </c>
      <c r="C32" s="286">
        <v>2865845</v>
      </c>
      <c r="D32" s="287">
        <v>-2.0000000000000001E-4</v>
      </c>
      <c r="E32" s="303">
        <v>-573.16899999999998</v>
      </c>
    </row>
    <row r="33" spans="1:10" ht="16.5" hidden="1" thickBot="1">
      <c r="A33" s="284" t="s">
        <v>198</v>
      </c>
      <c r="B33" s="285"/>
      <c r="C33" s="304">
        <f>SUM(C25:C32)</f>
        <v>25850723</v>
      </c>
      <c r="D33" s="305"/>
      <c r="E33" s="306">
        <f>SUM(E25:E32)</f>
        <v>-50910.051820000008</v>
      </c>
    </row>
    <row r="34" spans="1:10" ht="16.5" hidden="1" thickTop="1">
      <c r="A34" s="284"/>
      <c r="B34" s="285"/>
      <c r="C34" s="310">
        <v>25850723</v>
      </c>
      <c r="D34" s="305"/>
      <c r="E34" s="306"/>
    </row>
    <row r="35" spans="1:10" ht="15.75" hidden="1">
      <c r="A35" s="284"/>
      <c r="B35" s="285"/>
      <c r="C35" s="307">
        <f>C34-C33</f>
        <v>0</v>
      </c>
      <c r="D35" s="305"/>
      <c r="E35" s="306"/>
    </row>
    <row r="36" spans="1:10" ht="15.75" hidden="1">
      <c r="A36" s="290"/>
      <c r="B36" s="290"/>
      <c r="C36" s="284" t="s">
        <v>1</v>
      </c>
      <c r="D36" s="308">
        <f>A23</f>
        <v>41333</v>
      </c>
      <c r="E36" s="309">
        <f>E20+E33</f>
        <v>162187.80978000001</v>
      </c>
    </row>
    <row r="37" spans="1:10" ht="15.75" hidden="1" thickBot="1"/>
    <row r="38" spans="1:10" ht="15.75" hidden="1">
      <c r="A38" s="658" t="s">
        <v>195</v>
      </c>
      <c r="B38" s="659"/>
      <c r="C38" s="659"/>
      <c r="D38" s="659"/>
      <c r="E38" s="660"/>
      <c r="G38" s="290"/>
      <c r="H38" s="290"/>
      <c r="I38" s="290"/>
    </row>
    <row r="39" spans="1:10" ht="15.75" hidden="1">
      <c r="A39" s="219">
        <v>41364</v>
      </c>
      <c r="B39" s="276"/>
      <c r="C39" s="277" t="s">
        <v>101</v>
      </c>
      <c r="D39" s="278"/>
      <c r="E39" s="279"/>
    </row>
    <row r="40" spans="1:10" ht="16.5" hidden="1" thickBot="1">
      <c r="A40" s="280"/>
      <c r="B40" s="281"/>
      <c r="C40" s="282" t="s">
        <v>21</v>
      </c>
      <c r="D40" s="282" t="s">
        <v>22</v>
      </c>
      <c r="E40" s="283" t="s">
        <v>23</v>
      </c>
    </row>
    <row r="41" spans="1:10" ht="15.75" hidden="1">
      <c r="A41" s="284" t="s">
        <v>24</v>
      </c>
      <c r="B41" s="285">
        <v>101</v>
      </c>
      <c r="C41" s="286">
        <v>12776328</v>
      </c>
      <c r="D41" s="287">
        <v>-2.1900000000000001E-3</v>
      </c>
      <c r="E41" s="288">
        <v>-27980.158320000002</v>
      </c>
    </row>
    <row r="42" spans="1:10" ht="16.5" hidden="1" thickBot="1">
      <c r="A42" s="284" t="s">
        <v>24</v>
      </c>
      <c r="B42" s="285">
        <v>111</v>
      </c>
      <c r="C42" s="286">
        <v>4890087</v>
      </c>
      <c r="D42" s="287">
        <v>-2.1900000000000001E-3</v>
      </c>
      <c r="E42" s="288">
        <v>-10709.29053</v>
      </c>
      <c r="G42" s="289">
        <f>A39</f>
        <v>41364</v>
      </c>
      <c r="H42" s="290"/>
      <c r="I42" s="290"/>
      <c r="J42" s="290"/>
    </row>
    <row r="43" spans="1:10" ht="16.5" hidden="1" thickBot="1">
      <c r="A43" s="284" t="s">
        <v>24</v>
      </c>
      <c r="B43" s="285">
        <v>112</v>
      </c>
      <c r="C43" s="286">
        <v>0</v>
      </c>
      <c r="D43" s="287">
        <v>-2.1900000000000001E-3</v>
      </c>
      <c r="E43" s="288">
        <v>0</v>
      </c>
      <c r="G43" s="291" t="s">
        <v>25</v>
      </c>
      <c r="H43" s="292"/>
      <c r="I43" s="293" t="s">
        <v>18</v>
      </c>
      <c r="J43" s="293" t="s">
        <v>19</v>
      </c>
    </row>
    <row r="44" spans="1:10" ht="15.75" hidden="1">
      <c r="A44" s="284" t="s">
        <v>24</v>
      </c>
      <c r="B44" s="285">
        <v>121</v>
      </c>
      <c r="C44" s="286">
        <v>526218</v>
      </c>
      <c r="D44" s="287">
        <v>-2.1900000000000001E-3</v>
      </c>
      <c r="E44" s="288">
        <v>-1152.41742</v>
      </c>
      <c r="G44" s="294" t="s">
        <v>97</v>
      </c>
      <c r="H44" s="295" t="s">
        <v>26</v>
      </c>
      <c r="I44" s="296">
        <f>-E49</f>
        <v>40849.65926</v>
      </c>
      <c r="J44" s="297">
        <v>0</v>
      </c>
    </row>
    <row r="45" spans="1:10" ht="16.5" hidden="1" thickBot="1">
      <c r="A45" s="284" t="s">
        <v>24</v>
      </c>
      <c r="B45" s="285">
        <v>122</v>
      </c>
      <c r="C45" s="286">
        <v>71767</v>
      </c>
      <c r="D45" s="287">
        <v>-2.1900000000000001E-3</v>
      </c>
      <c r="E45" s="288">
        <v>-157.16973000000002</v>
      </c>
      <c r="G45" s="298" t="s">
        <v>196</v>
      </c>
      <c r="H45" s="299" t="s">
        <v>197</v>
      </c>
      <c r="I45" s="300">
        <v>0</v>
      </c>
      <c r="J45" s="301">
        <f>-I44</f>
        <v>-40849.65926</v>
      </c>
    </row>
    <row r="46" spans="1:10" ht="15.75" hidden="1">
      <c r="A46" s="284" t="s">
        <v>24</v>
      </c>
      <c r="B46" s="285">
        <v>131</v>
      </c>
      <c r="C46" s="286">
        <v>0</v>
      </c>
      <c r="D46" s="287">
        <v>-2.1900000000000001E-3</v>
      </c>
      <c r="E46" s="288">
        <v>0</v>
      </c>
      <c r="G46" s="290"/>
      <c r="H46" s="290"/>
      <c r="I46" s="290"/>
      <c r="J46" s="302">
        <f>SUM(I44:J45)</f>
        <v>0</v>
      </c>
    </row>
    <row r="47" spans="1:10" ht="15.75" hidden="1">
      <c r="A47" s="284" t="s">
        <v>24</v>
      </c>
      <c r="B47" s="285">
        <v>132</v>
      </c>
      <c r="C47" s="286">
        <v>135254</v>
      </c>
      <c r="D47" s="287">
        <v>-2.1900000000000001E-3</v>
      </c>
      <c r="E47" s="288">
        <v>-296.20625999999999</v>
      </c>
    </row>
    <row r="48" spans="1:10" ht="15.75" hidden="1">
      <c r="A48" s="284" t="s">
        <v>24</v>
      </c>
      <c r="B48" s="285">
        <v>146</v>
      </c>
      <c r="C48" s="286">
        <v>2772085</v>
      </c>
      <c r="D48" s="287">
        <v>-2.0000000000000001E-4</v>
      </c>
      <c r="E48" s="303">
        <v>-554.41700000000003</v>
      </c>
    </row>
    <row r="49" spans="1:10" ht="16.5" hidden="1" thickBot="1">
      <c r="A49" s="284" t="s">
        <v>198</v>
      </c>
      <c r="B49" s="285"/>
      <c r="C49" s="304">
        <f>SUM(C41:C48)</f>
        <v>21171739</v>
      </c>
      <c r="D49" s="305"/>
      <c r="E49" s="306">
        <f>SUM(E41:E48)</f>
        <v>-40849.65926</v>
      </c>
    </row>
    <row r="50" spans="1:10" ht="16.5" hidden="1" thickTop="1">
      <c r="A50" s="284"/>
      <c r="B50" s="285"/>
      <c r="C50" s="310">
        <v>21171739</v>
      </c>
      <c r="D50" s="305"/>
      <c r="E50" s="306"/>
    </row>
    <row r="51" spans="1:10" ht="15.75" hidden="1">
      <c r="A51" s="284"/>
      <c r="B51" s="285"/>
      <c r="C51" s="307">
        <f>C50-C49</f>
        <v>0</v>
      </c>
      <c r="D51" s="305"/>
      <c r="E51" s="306"/>
    </row>
    <row r="52" spans="1:10" ht="15.75" hidden="1">
      <c r="A52" s="290"/>
      <c r="B52" s="290"/>
      <c r="C52" s="284" t="s">
        <v>1</v>
      </c>
      <c r="D52" s="308">
        <f>A39</f>
        <v>41364</v>
      </c>
      <c r="E52" s="309">
        <f>E36+E49</f>
        <v>121338.15052000001</v>
      </c>
    </row>
    <row r="53" spans="1:10" ht="15.75" hidden="1" thickBot="1"/>
    <row r="54" spans="1:10" ht="15.75" hidden="1">
      <c r="A54" s="658" t="s">
        <v>195</v>
      </c>
      <c r="B54" s="659"/>
      <c r="C54" s="659"/>
      <c r="D54" s="659"/>
      <c r="E54" s="660"/>
      <c r="G54" s="290"/>
      <c r="H54" s="290"/>
      <c r="I54" s="290"/>
    </row>
    <row r="55" spans="1:10" ht="15.75" hidden="1">
      <c r="A55" s="219">
        <v>41394</v>
      </c>
      <c r="B55" s="276"/>
      <c r="C55" s="277" t="s">
        <v>101</v>
      </c>
      <c r="D55" s="278"/>
      <c r="E55" s="279"/>
    </row>
    <row r="56" spans="1:10" ht="16.5" hidden="1" thickBot="1">
      <c r="A56" s="280"/>
      <c r="B56" s="281"/>
      <c r="C56" s="282" t="s">
        <v>21</v>
      </c>
      <c r="D56" s="282" t="s">
        <v>22</v>
      </c>
      <c r="E56" s="283" t="s">
        <v>23</v>
      </c>
    </row>
    <row r="57" spans="1:10" ht="15.75" hidden="1">
      <c r="A57" s="284" t="s">
        <v>24</v>
      </c>
      <c r="B57" s="285">
        <v>101</v>
      </c>
      <c r="C57" s="286">
        <v>8689955</v>
      </c>
      <c r="D57" s="287">
        <v>-2.1900000000000001E-3</v>
      </c>
      <c r="E57" s="288">
        <v>-19031.00145</v>
      </c>
    </row>
    <row r="58" spans="1:10" ht="16.5" hidden="1" thickBot="1">
      <c r="A58" s="284" t="s">
        <v>24</v>
      </c>
      <c r="B58" s="285">
        <v>111</v>
      </c>
      <c r="C58" s="286">
        <v>3665435</v>
      </c>
      <c r="D58" s="287">
        <v>-2.1900000000000001E-3</v>
      </c>
      <c r="E58" s="288">
        <v>-8027.3026500000005</v>
      </c>
      <c r="G58" s="289">
        <f>A55</f>
        <v>41394</v>
      </c>
      <c r="H58" s="290"/>
      <c r="I58" s="290"/>
      <c r="J58" s="290"/>
    </row>
    <row r="59" spans="1:10" ht="16.5" hidden="1" thickBot="1">
      <c r="A59" s="284" t="s">
        <v>24</v>
      </c>
      <c r="B59" s="285">
        <v>112</v>
      </c>
      <c r="C59" s="286">
        <v>0</v>
      </c>
      <c r="D59" s="287">
        <v>-2.1900000000000001E-3</v>
      </c>
      <c r="E59" s="288">
        <v>0</v>
      </c>
      <c r="G59" s="291" t="s">
        <v>25</v>
      </c>
      <c r="H59" s="292"/>
      <c r="I59" s="293" t="s">
        <v>18</v>
      </c>
      <c r="J59" s="293" t="s">
        <v>19</v>
      </c>
    </row>
    <row r="60" spans="1:10" ht="15.75" hidden="1">
      <c r="A60" s="284" t="s">
        <v>24</v>
      </c>
      <c r="B60" s="285">
        <v>121</v>
      </c>
      <c r="C60" s="286">
        <v>375679</v>
      </c>
      <c r="D60" s="287">
        <v>-2.1900000000000001E-3</v>
      </c>
      <c r="E60" s="288">
        <v>-822.73701000000005</v>
      </c>
      <c r="G60" s="294" t="s">
        <v>97</v>
      </c>
      <c r="H60" s="295" t="s">
        <v>26</v>
      </c>
      <c r="I60" s="296">
        <f>-E65</f>
        <v>28792.572810000001</v>
      </c>
      <c r="J60" s="297">
        <v>0</v>
      </c>
    </row>
    <row r="61" spans="1:10" ht="16.5" hidden="1" thickBot="1">
      <c r="A61" s="284" t="s">
        <v>24</v>
      </c>
      <c r="B61" s="285">
        <v>122</v>
      </c>
      <c r="C61" s="286">
        <v>67054</v>
      </c>
      <c r="D61" s="287">
        <v>-2.1900000000000001E-3</v>
      </c>
      <c r="E61" s="288">
        <v>-146.84826000000001</v>
      </c>
      <c r="G61" s="298" t="s">
        <v>196</v>
      </c>
      <c r="H61" s="299" t="s">
        <v>197</v>
      </c>
      <c r="I61" s="300">
        <v>0</v>
      </c>
      <c r="J61" s="301">
        <f>-I60</f>
        <v>-28792.572810000001</v>
      </c>
    </row>
    <row r="62" spans="1:10" ht="15.75" hidden="1">
      <c r="A62" s="284" t="s">
        <v>24</v>
      </c>
      <c r="B62" s="285">
        <v>131</v>
      </c>
      <c r="C62" s="286">
        <v>0</v>
      </c>
      <c r="D62" s="287">
        <v>-2.1900000000000001E-3</v>
      </c>
      <c r="E62" s="288">
        <v>0</v>
      </c>
      <c r="G62" s="290"/>
      <c r="H62" s="290"/>
      <c r="I62" s="290"/>
      <c r="J62" s="302">
        <f>SUM(I60:J61)</f>
        <v>0</v>
      </c>
    </row>
    <row r="63" spans="1:10" ht="15.75" hidden="1">
      <c r="A63" s="284" t="s">
        <v>24</v>
      </c>
      <c r="B63" s="285">
        <v>132</v>
      </c>
      <c r="C63" s="286">
        <v>126416</v>
      </c>
      <c r="D63" s="287">
        <v>-2.1900000000000001E-3</v>
      </c>
      <c r="E63" s="288">
        <v>-276.85104000000001</v>
      </c>
    </row>
    <row r="64" spans="1:10" ht="15.75" hidden="1">
      <c r="A64" s="284" t="s">
        <v>24</v>
      </c>
      <c r="B64" s="285">
        <v>146</v>
      </c>
      <c r="C64" s="286">
        <v>2439162</v>
      </c>
      <c r="D64" s="287">
        <v>-2.0000000000000001E-4</v>
      </c>
      <c r="E64" s="303">
        <v>-487.83240000000001</v>
      </c>
    </row>
    <row r="65" spans="1:10" ht="16.5" hidden="1" thickBot="1">
      <c r="A65" s="284" t="s">
        <v>198</v>
      </c>
      <c r="B65" s="285"/>
      <c r="C65" s="304">
        <f>SUM(C57:C64)</f>
        <v>15363701</v>
      </c>
      <c r="D65" s="305"/>
      <c r="E65" s="306">
        <f>SUM(E57:E64)</f>
        <v>-28792.572810000001</v>
      </c>
    </row>
    <row r="66" spans="1:10" ht="16.5" hidden="1" thickTop="1">
      <c r="A66" s="284"/>
      <c r="B66" s="285"/>
      <c r="C66" s="310">
        <v>15363701</v>
      </c>
      <c r="D66" s="305"/>
      <c r="E66" s="306"/>
    </row>
    <row r="67" spans="1:10" ht="15.75" hidden="1">
      <c r="A67" s="284"/>
      <c r="B67" s="285"/>
      <c r="C67" s="307">
        <f>C66-C65</f>
        <v>0</v>
      </c>
      <c r="D67" s="305"/>
      <c r="E67" s="306"/>
    </row>
    <row r="68" spans="1:10" ht="15.75" hidden="1">
      <c r="A68" s="290"/>
      <c r="B68" s="290"/>
      <c r="C68" s="284" t="s">
        <v>1</v>
      </c>
      <c r="D68" s="308">
        <f>A55</f>
        <v>41394</v>
      </c>
      <c r="E68" s="309">
        <f>E52+E65</f>
        <v>92545.577710000012</v>
      </c>
      <c r="G68" s="385"/>
    </row>
    <row r="69" spans="1:10" ht="15.75" hidden="1" thickBot="1"/>
    <row r="70" spans="1:10" ht="15.75" hidden="1">
      <c r="A70" s="658" t="s">
        <v>195</v>
      </c>
      <c r="B70" s="659"/>
      <c r="C70" s="659"/>
      <c r="D70" s="659"/>
      <c r="E70" s="660"/>
      <c r="G70" s="290"/>
      <c r="H70" s="290"/>
      <c r="I70" s="290"/>
    </row>
    <row r="71" spans="1:10" ht="15.75" hidden="1">
      <c r="A71" s="219">
        <v>41425</v>
      </c>
      <c r="B71" s="276"/>
      <c r="C71" s="277" t="s">
        <v>101</v>
      </c>
      <c r="D71" s="278"/>
      <c r="E71" s="279"/>
    </row>
    <row r="72" spans="1:10" ht="16.5" hidden="1" thickBot="1">
      <c r="A72" s="280"/>
      <c r="B72" s="281"/>
      <c r="C72" s="282" t="s">
        <v>21</v>
      </c>
      <c r="D72" s="282" t="s">
        <v>22</v>
      </c>
      <c r="E72" s="283" t="s">
        <v>23</v>
      </c>
    </row>
    <row r="73" spans="1:10" ht="15.75" hidden="1">
      <c r="A73" s="284" t="s">
        <v>24</v>
      </c>
      <c r="B73" s="285">
        <v>101</v>
      </c>
      <c r="C73" s="286">
        <v>4182901</v>
      </c>
      <c r="D73" s="287">
        <v>-2.1900000000000001E-3</v>
      </c>
      <c r="E73" s="288">
        <v>-9160.5531900000005</v>
      </c>
    </row>
    <row r="74" spans="1:10" ht="16.5" hidden="1" thickBot="1">
      <c r="A74" s="284" t="s">
        <v>24</v>
      </c>
      <c r="B74" s="285">
        <v>111</v>
      </c>
      <c r="C74" s="286">
        <v>1970725</v>
      </c>
      <c r="D74" s="287">
        <v>-2.1900000000000001E-3</v>
      </c>
      <c r="E74" s="288">
        <v>-4315.8877499999999</v>
      </c>
      <c r="G74" s="289">
        <f>A71</f>
        <v>41425</v>
      </c>
      <c r="H74" s="290"/>
      <c r="I74" s="290"/>
      <c r="J74" s="290"/>
    </row>
    <row r="75" spans="1:10" ht="16.5" hidden="1" thickBot="1">
      <c r="A75" s="284" t="s">
        <v>24</v>
      </c>
      <c r="B75" s="285">
        <v>112</v>
      </c>
      <c r="C75" s="286">
        <v>0</v>
      </c>
      <c r="D75" s="287">
        <v>-2.1900000000000001E-3</v>
      </c>
      <c r="E75" s="288">
        <v>0</v>
      </c>
      <c r="G75" s="291" t="s">
        <v>25</v>
      </c>
      <c r="H75" s="292"/>
      <c r="I75" s="293" t="s">
        <v>18</v>
      </c>
      <c r="J75" s="293" t="s">
        <v>19</v>
      </c>
    </row>
    <row r="76" spans="1:10" ht="15.75" hidden="1">
      <c r="A76" s="284" t="s">
        <v>24</v>
      </c>
      <c r="B76" s="285">
        <v>121</v>
      </c>
      <c r="C76" s="286">
        <v>339319</v>
      </c>
      <c r="D76" s="287">
        <v>-2.1900000000000001E-3</v>
      </c>
      <c r="E76" s="288">
        <v>-743.10861</v>
      </c>
      <c r="G76" s="294" t="s">
        <v>97</v>
      </c>
      <c r="H76" s="295" t="s">
        <v>26</v>
      </c>
      <c r="I76" s="296">
        <f>-E81</f>
        <v>14976.37256</v>
      </c>
      <c r="J76" s="297">
        <v>0</v>
      </c>
    </row>
    <row r="77" spans="1:10" ht="16.5" hidden="1" thickBot="1">
      <c r="A77" s="284" t="s">
        <v>24</v>
      </c>
      <c r="B77" s="285">
        <v>122</v>
      </c>
      <c r="C77" s="286">
        <v>57247</v>
      </c>
      <c r="D77" s="287">
        <v>-2.1900000000000001E-3</v>
      </c>
      <c r="E77" s="288">
        <v>-125.37093</v>
      </c>
      <c r="G77" s="298" t="s">
        <v>196</v>
      </c>
      <c r="H77" s="299" t="s">
        <v>197</v>
      </c>
      <c r="I77" s="300">
        <v>0</v>
      </c>
      <c r="J77" s="301">
        <f>-I76</f>
        <v>-14976.37256</v>
      </c>
    </row>
    <row r="78" spans="1:10" ht="15.75" hidden="1">
      <c r="A78" s="284" t="s">
        <v>24</v>
      </c>
      <c r="B78" s="285">
        <v>131</v>
      </c>
      <c r="C78" s="286">
        <v>0</v>
      </c>
      <c r="D78" s="287">
        <v>-2.1900000000000001E-3</v>
      </c>
      <c r="E78" s="288">
        <v>0</v>
      </c>
      <c r="G78" s="290"/>
      <c r="H78" s="290"/>
      <c r="I78" s="290"/>
      <c r="J78" s="302">
        <f>SUM(I76:J77)</f>
        <v>0</v>
      </c>
    </row>
    <row r="79" spans="1:10" ht="15.75" hidden="1">
      <c r="A79" s="284" t="s">
        <v>24</v>
      </c>
      <c r="B79" s="285">
        <v>132</v>
      </c>
      <c r="C79" s="286">
        <v>107592</v>
      </c>
      <c r="D79" s="287">
        <v>-2.1900000000000001E-3</v>
      </c>
      <c r="E79" s="288">
        <v>-235.62648000000002</v>
      </c>
    </row>
    <row r="80" spans="1:10" ht="15.75" hidden="1">
      <c r="A80" s="284" t="s">
        <v>24</v>
      </c>
      <c r="B80" s="285">
        <v>146</v>
      </c>
      <c r="C80" s="286">
        <v>1979128</v>
      </c>
      <c r="D80" s="287">
        <v>-2.0000000000000001E-4</v>
      </c>
      <c r="E80" s="303">
        <v>-395.82560000000001</v>
      </c>
    </row>
    <row r="81" spans="1:10" ht="16.5" hidden="1" thickBot="1">
      <c r="A81" s="284" t="s">
        <v>198</v>
      </c>
      <c r="B81" s="285"/>
      <c r="C81" s="304">
        <f>SUM(C73:C80)</f>
        <v>8636912</v>
      </c>
      <c r="D81" s="305"/>
      <c r="E81" s="306">
        <f>SUM(E73:E80)</f>
        <v>-14976.37256</v>
      </c>
    </row>
    <row r="82" spans="1:10" ht="16.5" hidden="1" thickTop="1">
      <c r="A82" s="284"/>
      <c r="B82" s="285"/>
      <c r="C82" s="310">
        <v>8636912</v>
      </c>
      <c r="D82" s="305"/>
      <c r="E82" s="306"/>
    </row>
    <row r="83" spans="1:10" ht="15.75" hidden="1">
      <c r="A83" s="284"/>
      <c r="B83" s="285"/>
      <c r="C83" s="307">
        <f>C82-C81</f>
        <v>0</v>
      </c>
      <c r="D83" s="305"/>
      <c r="E83" s="306"/>
    </row>
    <row r="84" spans="1:10" ht="15.75">
      <c r="A84" s="290"/>
      <c r="B84" s="290"/>
      <c r="C84" s="284" t="s">
        <v>1</v>
      </c>
      <c r="D84" s="308">
        <f>EOMONTH(D68,1)</f>
        <v>41425</v>
      </c>
      <c r="E84" s="309">
        <f>E68+E81</f>
        <v>77569.205150000009</v>
      </c>
    </row>
    <row r="85" spans="1:10" ht="15.75" thickBot="1"/>
    <row r="86" spans="1:10" ht="15.75">
      <c r="A86" s="658" t="s">
        <v>195</v>
      </c>
      <c r="B86" s="659"/>
      <c r="C86" s="659"/>
      <c r="D86" s="659"/>
      <c r="E86" s="660"/>
      <c r="G86" s="290"/>
      <c r="H86" s="290"/>
      <c r="I86" s="290"/>
    </row>
    <row r="87" spans="1:10" ht="15.75">
      <c r="A87" s="219">
        <v>41426</v>
      </c>
      <c r="B87" s="276"/>
      <c r="C87" s="277" t="s">
        <v>101</v>
      </c>
      <c r="D87" s="278"/>
      <c r="E87" s="279"/>
    </row>
    <row r="88" spans="1:10" ht="16.5" thickBot="1">
      <c r="A88" s="280"/>
      <c r="B88" s="281"/>
      <c r="C88" s="282" t="s">
        <v>21</v>
      </c>
      <c r="D88" s="282" t="s">
        <v>22</v>
      </c>
      <c r="E88" s="283" t="s">
        <v>23</v>
      </c>
    </row>
    <row r="89" spans="1:10" ht="15.75">
      <c r="A89" s="284" t="s">
        <v>24</v>
      </c>
      <c r="B89" s="285">
        <v>101</v>
      </c>
      <c r="C89" s="286">
        <v>2800295</v>
      </c>
      <c r="D89" s="287">
        <v>-2.1900000000000001E-3</v>
      </c>
      <c r="E89" s="288">
        <v>-6132.6460500000003</v>
      </c>
    </row>
    <row r="90" spans="1:10" ht="16.5" thickBot="1">
      <c r="A90" s="284" t="s">
        <v>24</v>
      </c>
      <c r="B90" s="285">
        <v>111</v>
      </c>
      <c r="C90" s="286">
        <v>1678252</v>
      </c>
      <c r="D90" s="287">
        <v>-2.1900000000000001E-3</v>
      </c>
      <c r="E90" s="288">
        <v>-3675.3718800000001</v>
      </c>
      <c r="G90" s="289">
        <f>A87</f>
        <v>41426</v>
      </c>
      <c r="H90" s="290"/>
      <c r="I90" s="290"/>
      <c r="J90" s="290"/>
    </row>
    <row r="91" spans="1:10" ht="16.5" thickBot="1">
      <c r="A91" s="284" t="s">
        <v>24</v>
      </c>
      <c r="B91" s="285">
        <v>112</v>
      </c>
      <c r="C91" s="286">
        <v>0</v>
      </c>
      <c r="D91" s="287">
        <v>-2.1900000000000001E-3</v>
      </c>
      <c r="E91" s="288">
        <v>0</v>
      </c>
      <c r="G91" s="291" t="s">
        <v>25</v>
      </c>
      <c r="H91" s="292"/>
      <c r="I91" s="293" t="s">
        <v>18</v>
      </c>
      <c r="J91" s="293" t="s">
        <v>19</v>
      </c>
    </row>
    <row r="92" spans="1:10" ht="15.75">
      <c r="A92" s="284" t="s">
        <v>24</v>
      </c>
      <c r="B92" s="285">
        <v>121</v>
      </c>
      <c r="C92" s="286">
        <v>339158</v>
      </c>
      <c r="D92" s="287">
        <v>-2.1900000000000001E-3</v>
      </c>
      <c r="E92" s="288">
        <v>-742.75602000000003</v>
      </c>
      <c r="G92" s="294" t="s">
        <v>97</v>
      </c>
      <c r="H92" s="295" t="s">
        <v>26</v>
      </c>
      <c r="I92" s="296">
        <f>-E97</f>
        <v>11131.53289</v>
      </c>
      <c r="J92" s="297">
        <v>0</v>
      </c>
    </row>
    <row r="93" spans="1:10" ht="16.5" thickBot="1">
      <c r="A93" s="284" t="s">
        <v>24</v>
      </c>
      <c r="B93" s="285">
        <v>122</v>
      </c>
      <c r="C93" s="286">
        <v>42891</v>
      </c>
      <c r="D93" s="287">
        <v>-2.1900000000000001E-3</v>
      </c>
      <c r="E93" s="288">
        <v>-93.931290000000004</v>
      </c>
      <c r="G93" s="298" t="s">
        <v>196</v>
      </c>
      <c r="H93" s="299" t="s">
        <v>197</v>
      </c>
      <c r="I93" s="300">
        <v>0</v>
      </c>
      <c r="J93" s="301">
        <f>-I92</f>
        <v>-11131.53289</v>
      </c>
    </row>
    <row r="94" spans="1:10" ht="15.75">
      <c r="A94" s="284" t="s">
        <v>24</v>
      </c>
      <c r="B94" s="285">
        <v>131</v>
      </c>
      <c r="C94" s="286">
        <v>0</v>
      </c>
      <c r="D94" s="287">
        <v>-2.1900000000000001E-3</v>
      </c>
      <c r="E94" s="288">
        <v>0</v>
      </c>
      <c r="G94" s="290"/>
      <c r="H94" s="290"/>
      <c r="I94" s="290"/>
      <c r="J94" s="302">
        <f>SUM(I92:J93)</f>
        <v>0</v>
      </c>
    </row>
    <row r="95" spans="1:10" ht="15.75">
      <c r="A95" s="284" t="s">
        <v>24</v>
      </c>
      <c r="B95" s="285">
        <v>132</v>
      </c>
      <c r="C95" s="286">
        <v>77535</v>
      </c>
      <c r="D95" s="287">
        <v>-2.1900000000000001E-3</v>
      </c>
      <c r="E95" s="288">
        <v>-169.80165</v>
      </c>
    </row>
    <row r="96" spans="1:10" ht="15.75">
      <c r="A96" s="284" t="s">
        <v>24</v>
      </c>
      <c r="B96" s="285">
        <v>146</v>
      </c>
      <c r="C96" s="286">
        <v>1585130</v>
      </c>
      <c r="D96" s="287">
        <v>-2.0000000000000001E-4</v>
      </c>
      <c r="E96" s="303">
        <v>-317.02600000000001</v>
      </c>
    </row>
    <row r="97" spans="1:10" ht="16.5" thickBot="1">
      <c r="A97" s="284" t="s">
        <v>198</v>
      </c>
      <c r="B97" s="285"/>
      <c r="C97" s="304">
        <f>SUM(C89:C96)</f>
        <v>6523261</v>
      </c>
      <c r="D97" s="305"/>
      <c r="E97" s="306">
        <f>SUM(E89:E96)</f>
        <v>-11131.53289</v>
      </c>
    </row>
    <row r="98" spans="1:10" ht="16.5" thickTop="1">
      <c r="A98" s="284"/>
      <c r="B98" s="285"/>
      <c r="C98" s="310">
        <v>6523261</v>
      </c>
      <c r="D98" s="305"/>
      <c r="E98" s="306"/>
    </row>
    <row r="99" spans="1:10" ht="15.75">
      <c r="A99" s="284"/>
      <c r="B99" s="285"/>
      <c r="C99" s="307">
        <f>C98-C97</f>
        <v>0</v>
      </c>
      <c r="D99" s="305"/>
      <c r="E99" s="306"/>
    </row>
    <row r="100" spans="1:10" ht="15.75">
      <c r="A100" s="290"/>
      <c r="B100" s="290"/>
      <c r="C100" s="284" t="s">
        <v>1</v>
      </c>
      <c r="D100" s="308">
        <f>EOMONTH(D84,1)</f>
        <v>41455</v>
      </c>
      <c r="E100" s="309">
        <f>E84+E97</f>
        <v>66437.672260000007</v>
      </c>
    </row>
    <row r="101" spans="1:10" ht="15.75" thickBot="1"/>
    <row r="102" spans="1:10" ht="15.75">
      <c r="A102" s="658" t="s">
        <v>195</v>
      </c>
      <c r="B102" s="659"/>
      <c r="C102" s="659"/>
      <c r="D102" s="659"/>
      <c r="E102" s="660"/>
      <c r="G102" s="290"/>
      <c r="H102" s="290"/>
      <c r="I102" s="290"/>
    </row>
    <row r="103" spans="1:10" ht="15.75">
      <c r="A103" s="219">
        <v>41456</v>
      </c>
      <c r="B103" s="276"/>
      <c r="C103" s="277" t="s">
        <v>101</v>
      </c>
      <c r="D103" s="278"/>
      <c r="E103" s="279"/>
    </row>
    <row r="104" spans="1:10" ht="16.5" thickBot="1">
      <c r="A104" s="280"/>
      <c r="B104" s="281"/>
      <c r="C104" s="282" t="s">
        <v>21</v>
      </c>
      <c r="D104" s="282" t="s">
        <v>22</v>
      </c>
      <c r="E104" s="283" t="s">
        <v>23</v>
      </c>
    </row>
    <row r="105" spans="1:10" ht="15.75">
      <c r="A105" s="284" t="s">
        <v>24</v>
      </c>
      <c r="B105" s="285">
        <v>101</v>
      </c>
      <c r="C105" s="286">
        <v>2082299</v>
      </c>
      <c r="D105" s="287">
        <v>-2.1900000000000001E-3</v>
      </c>
      <c r="E105" s="288">
        <v>-4560.2348099999999</v>
      </c>
    </row>
    <row r="106" spans="1:10" ht="16.5" thickBot="1">
      <c r="A106" s="284" t="s">
        <v>24</v>
      </c>
      <c r="B106" s="285">
        <v>111</v>
      </c>
      <c r="C106" s="286">
        <v>1140112</v>
      </c>
      <c r="D106" s="287">
        <v>-2.1900000000000001E-3</v>
      </c>
      <c r="E106" s="288">
        <v>-2496.84528</v>
      </c>
      <c r="G106" s="289">
        <f>A103</f>
        <v>41456</v>
      </c>
      <c r="H106" s="290"/>
      <c r="I106" s="290"/>
      <c r="J106" s="290"/>
    </row>
    <row r="107" spans="1:10" ht="16.5" thickBot="1">
      <c r="A107" s="284" t="s">
        <v>24</v>
      </c>
      <c r="B107" s="285">
        <v>112</v>
      </c>
      <c r="C107" s="286">
        <v>0</v>
      </c>
      <c r="D107" s="287">
        <v>-2.1900000000000001E-3</v>
      </c>
      <c r="E107" s="288">
        <v>0</v>
      </c>
      <c r="G107" s="291" t="s">
        <v>25</v>
      </c>
      <c r="H107" s="292"/>
      <c r="I107" s="293" t="s">
        <v>18</v>
      </c>
      <c r="J107" s="293" t="s">
        <v>19</v>
      </c>
    </row>
    <row r="108" spans="1:10" ht="15.75">
      <c r="A108" s="284" t="s">
        <v>24</v>
      </c>
      <c r="B108" s="285">
        <v>121</v>
      </c>
      <c r="C108" s="286">
        <v>304732</v>
      </c>
      <c r="D108" s="287">
        <v>-2.1900000000000001E-3</v>
      </c>
      <c r="E108" s="288">
        <v>-667.36308000000008</v>
      </c>
      <c r="G108" s="294" t="s">
        <v>97</v>
      </c>
      <c r="H108" s="295" t="s">
        <v>26</v>
      </c>
      <c r="I108" s="296">
        <f>-E113</f>
        <v>8287.0303600000007</v>
      </c>
      <c r="J108" s="297">
        <v>0</v>
      </c>
    </row>
    <row r="109" spans="1:10" ht="16.5" thickBot="1">
      <c r="A109" s="284" t="s">
        <v>24</v>
      </c>
      <c r="B109" s="285">
        <v>122</v>
      </c>
      <c r="C109" s="286">
        <v>30928</v>
      </c>
      <c r="D109" s="287">
        <v>-2.1900000000000001E-3</v>
      </c>
      <c r="E109" s="288">
        <v>-67.732320000000001</v>
      </c>
      <c r="G109" s="298" t="s">
        <v>196</v>
      </c>
      <c r="H109" s="299" t="s">
        <v>197</v>
      </c>
      <c r="I109" s="300">
        <v>0</v>
      </c>
      <c r="J109" s="301">
        <f>-I108</f>
        <v>-8287.0303600000007</v>
      </c>
    </row>
    <row r="110" spans="1:10" ht="15.75">
      <c r="A110" s="284" t="s">
        <v>24</v>
      </c>
      <c r="B110" s="285">
        <v>131</v>
      </c>
      <c r="C110" s="286">
        <v>0</v>
      </c>
      <c r="D110" s="287">
        <v>-2.1900000000000001E-3</v>
      </c>
      <c r="E110" s="288">
        <v>0</v>
      </c>
      <c r="G110" s="290"/>
      <c r="H110" s="290"/>
      <c r="I110" s="290"/>
      <c r="J110" s="302">
        <f>SUM(I108:J109)</f>
        <v>0</v>
      </c>
    </row>
    <row r="111" spans="1:10" ht="15.75">
      <c r="A111" s="284" t="s">
        <v>24</v>
      </c>
      <c r="B111" s="285">
        <v>132</v>
      </c>
      <c r="C111" s="286">
        <v>74633</v>
      </c>
      <c r="D111" s="287">
        <v>-2.1900000000000001E-3</v>
      </c>
      <c r="E111" s="288">
        <v>-163.44627</v>
      </c>
    </row>
    <row r="112" spans="1:10" ht="15.75">
      <c r="A112" s="284" t="s">
        <v>24</v>
      </c>
      <c r="B112" s="285">
        <v>146</v>
      </c>
      <c r="C112" s="286">
        <v>1657043</v>
      </c>
      <c r="D112" s="287">
        <v>-2.0000000000000001E-4</v>
      </c>
      <c r="E112" s="303">
        <v>-331.40860000000004</v>
      </c>
    </row>
    <row r="113" spans="1:10" ht="16.5" thickBot="1">
      <c r="A113" s="284" t="s">
        <v>198</v>
      </c>
      <c r="B113" s="285"/>
      <c r="C113" s="304">
        <f>SUM(C105:C112)</f>
        <v>5289747</v>
      </c>
      <c r="D113" s="305"/>
      <c r="E113" s="306">
        <f>SUM(E105:E112)</f>
        <v>-8287.0303600000007</v>
      </c>
    </row>
    <row r="114" spans="1:10" ht="16.5" thickTop="1">
      <c r="A114" s="284"/>
      <c r="B114" s="285"/>
      <c r="C114" s="310">
        <v>5289747</v>
      </c>
      <c r="D114" s="305"/>
      <c r="E114" s="306"/>
    </row>
    <row r="115" spans="1:10" ht="15.75">
      <c r="A115" s="284"/>
      <c r="B115" s="285"/>
      <c r="C115" s="307">
        <f>C114-C113</f>
        <v>0</v>
      </c>
      <c r="D115" s="305"/>
      <c r="E115" s="306"/>
    </row>
    <row r="116" spans="1:10" ht="15.75">
      <c r="A116" s="290"/>
      <c r="B116" s="290"/>
      <c r="C116" s="284" t="s">
        <v>1</v>
      </c>
      <c r="D116" s="308">
        <f>EOMONTH(D100,1)</f>
        <v>41486</v>
      </c>
      <c r="E116" s="309">
        <f>E100+E113</f>
        <v>58150.641900000002</v>
      </c>
    </row>
    <row r="117" spans="1:10" ht="15.75" thickBot="1"/>
    <row r="118" spans="1:10" ht="15.75">
      <c r="A118" s="658" t="s">
        <v>195</v>
      </c>
      <c r="B118" s="659"/>
      <c r="C118" s="659"/>
      <c r="D118" s="659"/>
      <c r="E118" s="660"/>
      <c r="G118" s="290"/>
      <c r="H118" s="290"/>
      <c r="I118" s="290"/>
    </row>
    <row r="119" spans="1:10" ht="15.75">
      <c r="A119" s="219">
        <v>41487</v>
      </c>
      <c r="B119" s="276"/>
      <c r="C119" s="277" t="s">
        <v>101</v>
      </c>
      <c r="D119" s="278"/>
      <c r="E119" s="279"/>
    </row>
    <row r="120" spans="1:10" ht="16.5" thickBot="1">
      <c r="A120" s="280"/>
      <c r="B120" s="281"/>
      <c r="C120" s="282" t="s">
        <v>21</v>
      </c>
      <c r="D120" s="282" t="s">
        <v>22</v>
      </c>
      <c r="E120" s="283" t="s">
        <v>23</v>
      </c>
    </row>
    <row r="121" spans="1:10" ht="15.75">
      <c r="A121" s="284" t="s">
        <v>24</v>
      </c>
      <c r="B121" s="285">
        <v>101</v>
      </c>
      <c r="C121" s="286">
        <v>2046635</v>
      </c>
      <c r="D121" s="287">
        <v>-2.1900000000000001E-3</v>
      </c>
      <c r="E121" s="288">
        <v>-4482.1306500000001</v>
      </c>
    </row>
    <row r="122" spans="1:10" ht="16.5" thickBot="1">
      <c r="A122" s="284" t="s">
        <v>24</v>
      </c>
      <c r="B122" s="285">
        <v>111</v>
      </c>
      <c r="C122" s="286">
        <v>1287109</v>
      </c>
      <c r="D122" s="287">
        <v>-2.1900000000000001E-3</v>
      </c>
      <c r="E122" s="288">
        <v>-2818.7687100000003</v>
      </c>
      <c r="G122" s="289">
        <f>A119</f>
        <v>41487</v>
      </c>
      <c r="H122" s="290"/>
      <c r="I122" s="290"/>
      <c r="J122" s="290"/>
    </row>
    <row r="123" spans="1:10" ht="16.5" thickBot="1">
      <c r="A123" s="284" t="s">
        <v>24</v>
      </c>
      <c r="B123" s="285">
        <v>112</v>
      </c>
      <c r="C123" s="286">
        <v>0</v>
      </c>
      <c r="D123" s="287">
        <v>-2.1900000000000001E-3</v>
      </c>
      <c r="E123" s="288">
        <v>0</v>
      </c>
      <c r="G123" s="291" t="s">
        <v>25</v>
      </c>
      <c r="H123" s="292"/>
      <c r="I123" s="293" t="s">
        <v>18</v>
      </c>
      <c r="J123" s="293" t="s">
        <v>19</v>
      </c>
    </row>
    <row r="124" spans="1:10" ht="15.75">
      <c r="A124" s="284" t="s">
        <v>24</v>
      </c>
      <c r="B124" s="285">
        <v>121</v>
      </c>
      <c r="C124" s="286">
        <v>364418</v>
      </c>
      <c r="D124" s="287">
        <v>-2.1900000000000001E-3</v>
      </c>
      <c r="E124" s="288">
        <v>-798.07542000000001</v>
      </c>
      <c r="G124" s="294" t="s">
        <v>97</v>
      </c>
      <c r="H124" s="295" t="s">
        <v>26</v>
      </c>
      <c r="I124" s="296">
        <f>-E129</f>
        <v>8611.5948700000008</v>
      </c>
      <c r="J124" s="297">
        <v>0</v>
      </c>
    </row>
    <row r="125" spans="1:10" ht="16.5" thickBot="1">
      <c r="A125" s="284" t="s">
        <v>24</v>
      </c>
      <c r="B125" s="285">
        <v>122</v>
      </c>
      <c r="C125" s="286">
        <v>28500</v>
      </c>
      <c r="D125" s="287">
        <v>-2.1900000000000001E-3</v>
      </c>
      <c r="E125" s="288">
        <v>-62.415000000000006</v>
      </c>
      <c r="G125" s="298" t="s">
        <v>196</v>
      </c>
      <c r="H125" s="299" t="s">
        <v>197</v>
      </c>
      <c r="I125" s="300">
        <v>0</v>
      </c>
      <c r="J125" s="301">
        <f>-I124</f>
        <v>-8611.5948700000008</v>
      </c>
    </row>
    <row r="126" spans="1:10" ht="15.75">
      <c r="A126" s="284" t="s">
        <v>24</v>
      </c>
      <c r="B126" s="285">
        <v>131</v>
      </c>
      <c r="C126" s="286">
        <v>0</v>
      </c>
      <c r="D126" s="287">
        <v>-2.1900000000000001E-3</v>
      </c>
      <c r="E126" s="288">
        <v>0</v>
      </c>
      <c r="G126" s="290"/>
      <c r="H126" s="290"/>
      <c r="I126" s="290"/>
      <c r="J126" s="302">
        <f>SUM(I124:J125)</f>
        <v>0</v>
      </c>
    </row>
    <row r="127" spans="1:10" ht="15.75">
      <c r="A127" s="284" t="s">
        <v>24</v>
      </c>
      <c r="B127" s="285">
        <v>132</v>
      </c>
      <c r="C127" s="286">
        <v>49431</v>
      </c>
      <c r="D127" s="287">
        <v>-2.1900000000000001E-3</v>
      </c>
      <c r="E127" s="288">
        <v>-108.25389</v>
      </c>
    </row>
    <row r="128" spans="1:10" ht="15.75">
      <c r="A128" s="284" t="s">
        <v>24</v>
      </c>
      <c r="B128" s="285">
        <v>146</v>
      </c>
      <c r="C128" s="286">
        <v>1709756</v>
      </c>
      <c r="D128" s="287">
        <v>-2.0000000000000001E-4</v>
      </c>
      <c r="E128" s="303">
        <v>-341.95120000000003</v>
      </c>
    </row>
    <row r="129" spans="1:10" ht="16.5" thickBot="1">
      <c r="A129" s="284" t="s">
        <v>198</v>
      </c>
      <c r="B129" s="285"/>
      <c r="C129" s="304">
        <f>SUM(C121:C128)</f>
        <v>5485849</v>
      </c>
      <c r="D129" s="305"/>
      <c r="E129" s="306">
        <f>SUM(E121:E128)</f>
        <v>-8611.5948700000008</v>
      </c>
    </row>
    <row r="130" spans="1:10" ht="16.5" thickTop="1">
      <c r="A130" s="284"/>
      <c r="B130" s="285"/>
      <c r="C130" s="310">
        <v>5485849</v>
      </c>
      <c r="D130" s="305"/>
      <c r="E130" s="306"/>
    </row>
    <row r="131" spans="1:10" ht="15.75">
      <c r="A131" s="284"/>
      <c r="B131" s="285"/>
      <c r="C131" s="307">
        <f>C130-C129</f>
        <v>0</v>
      </c>
      <c r="D131" s="305"/>
      <c r="E131" s="306"/>
    </row>
    <row r="132" spans="1:10" ht="15.75">
      <c r="A132" s="290"/>
      <c r="B132" s="290"/>
      <c r="C132" s="284" t="s">
        <v>1</v>
      </c>
      <c r="D132" s="308">
        <f>EOMONTH(D116,1)</f>
        <v>41517</v>
      </c>
      <c r="E132" s="309">
        <f>E116+E129</f>
        <v>49539.047030000002</v>
      </c>
    </row>
    <row r="133" spans="1:10" ht="15.75" thickBot="1"/>
    <row r="134" spans="1:10" ht="15.75">
      <c r="A134" s="658" t="s">
        <v>195</v>
      </c>
      <c r="B134" s="659"/>
      <c r="C134" s="659"/>
      <c r="D134" s="659"/>
      <c r="E134" s="660"/>
      <c r="G134" s="290"/>
      <c r="H134" s="290"/>
      <c r="I134" s="290"/>
    </row>
    <row r="135" spans="1:10" ht="15.75">
      <c r="A135" s="219">
        <v>41518</v>
      </c>
      <c r="B135" s="276"/>
      <c r="C135" s="277" t="s">
        <v>101</v>
      </c>
      <c r="D135" s="278"/>
      <c r="E135" s="279"/>
    </row>
    <row r="136" spans="1:10" ht="16.5" thickBot="1">
      <c r="A136" s="280"/>
      <c r="B136" s="281"/>
      <c r="C136" s="282" t="s">
        <v>21</v>
      </c>
      <c r="D136" s="282" t="s">
        <v>22</v>
      </c>
      <c r="E136" s="283" t="s">
        <v>23</v>
      </c>
    </row>
    <row r="137" spans="1:10" ht="15.75">
      <c r="A137" s="284" t="s">
        <v>24</v>
      </c>
      <c r="B137" s="285">
        <v>101</v>
      </c>
      <c r="C137" s="286">
        <v>2647538</v>
      </c>
      <c r="D137" s="287">
        <v>-2.1900000000000001E-3</v>
      </c>
      <c r="E137" s="288">
        <v>-5798.1082200000001</v>
      </c>
    </row>
    <row r="138" spans="1:10" ht="16.5" thickBot="1">
      <c r="A138" s="284" t="s">
        <v>24</v>
      </c>
      <c r="B138" s="285">
        <v>111</v>
      </c>
      <c r="C138" s="286">
        <v>1599551</v>
      </c>
      <c r="D138" s="287">
        <v>-2.1900000000000001E-3</v>
      </c>
      <c r="E138" s="288">
        <v>-3503.0166900000004</v>
      </c>
      <c r="G138" s="289">
        <f>A135</f>
        <v>41518</v>
      </c>
      <c r="H138" s="290"/>
      <c r="I138" s="290"/>
      <c r="J138" s="290"/>
    </row>
    <row r="139" spans="1:10" ht="16.5" thickBot="1">
      <c r="A139" s="284" t="s">
        <v>24</v>
      </c>
      <c r="B139" s="285">
        <v>112</v>
      </c>
      <c r="C139" s="286">
        <v>0</v>
      </c>
      <c r="D139" s="287">
        <v>-2.1900000000000001E-3</v>
      </c>
      <c r="E139" s="288">
        <v>0</v>
      </c>
      <c r="G139" s="291" t="s">
        <v>25</v>
      </c>
      <c r="H139" s="292"/>
      <c r="I139" s="293" t="s">
        <v>18</v>
      </c>
      <c r="J139" s="293" t="s">
        <v>19</v>
      </c>
    </row>
    <row r="140" spans="1:10" ht="15.75">
      <c r="A140" s="284" t="s">
        <v>24</v>
      </c>
      <c r="B140" s="285">
        <v>121</v>
      </c>
      <c r="C140" s="286">
        <v>344046</v>
      </c>
      <c r="D140" s="287">
        <v>-2.1900000000000001E-3</v>
      </c>
      <c r="E140" s="288">
        <v>-753.46073999999999</v>
      </c>
      <c r="G140" s="294" t="s">
        <v>97</v>
      </c>
      <c r="H140" s="295" t="s">
        <v>26</v>
      </c>
      <c r="I140" s="296">
        <f>-E145</f>
        <v>10606.31724</v>
      </c>
      <c r="J140" s="297">
        <v>0</v>
      </c>
    </row>
    <row r="141" spans="1:10" ht="16.5" thickBot="1">
      <c r="A141" s="284" t="s">
        <v>24</v>
      </c>
      <c r="B141" s="285">
        <v>122</v>
      </c>
      <c r="C141" s="286">
        <v>31388</v>
      </c>
      <c r="D141" s="287">
        <v>-2.1900000000000001E-3</v>
      </c>
      <c r="E141" s="288">
        <v>-68.739720000000005</v>
      </c>
      <c r="G141" s="298" t="s">
        <v>196</v>
      </c>
      <c r="H141" s="299" t="s">
        <v>197</v>
      </c>
      <c r="I141" s="300">
        <v>0</v>
      </c>
      <c r="J141" s="301">
        <f>-I140</f>
        <v>-10606.31724</v>
      </c>
    </row>
    <row r="142" spans="1:10" ht="15.75">
      <c r="A142" s="284" t="s">
        <v>24</v>
      </c>
      <c r="B142" s="285">
        <v>131</v>
      </c>
      <c r="C142" s="286">
        <v>0</v>
      </c>
      <c r="D142" s="287">
        <v>-2.1900000000000001E-3</v>
      </c>
      <c r="E142" s="288">
        <v>0</v>
      </c>
      <c r="G142" s="290"/>
      <c r="H142" s="290"/>
      <c r="I142" s="290"/>
      <c r="J142" s="302">
        <f>SUM(I140:J141)</f>
        <v>0</v>
      </c>
    </row>
    <row r="143" spans="1:10" ht="15.75">
      <c r="A143" s="284" t="s">
        <v>24</v>
      </c>
      <c r="B143" s="285">
        <v>132</v>
      </c>
      <c r="C143" s="286">
        <v>54453</v>
      </c>
      <c r="D143" s="287">
        <v>-2.1900000000000001E-3</v>
      </c>
      <c r="E143" s="288">
        <v>-119.25207</v>
      </c>
    </row>
    <row r="144" spans="1:10" ht="15.75">
      <c r="A144" s="284" t="s">
        <v>24</v>
      </c>
      <c r="B144" s="285">
        <v>146</v>
      </c>
      <c r="C144" s="286">
        <v>1818699</v>
      </c>
      <c r="D144" s="287">
        <v>-2.0000000000000001E-4</v>
      </c>
      <c r="E144" s="303">
        <v>-363.7398</v>
      </c>
    </row>
    <row r="145" spans="1:10" ht="16.5" thickBot="1">
      <c r="A145" s="284" t="s">
        <v>198</v>
      </c>
      <c r="B145" s="285"/>
      <c r="C145" s="304">
        <f>SUM(C137:C144)</f>
        <v>6495675</v>
      </c>
      <c r="D145" s="305"/>
      <c r="E145" s="306">
        <f>SUM(E137:E144)</f>
        <v>-10606.31724</v>
      </c>
    </row>
    <row r="146" spans="1:10" ht="16.5" thickTop="1">
      <c r="A146" s="284"/>
      <c r="B146" s="285"/>
      <c r="C146" s="310">
        <v>6495675</v>
      </c>
      <c r="D146" s="305"/>
      <c r="E146" s="306"/>
    </row>
    <row r="147" spans="1:10" ht="15.75">
      <c r="A147" s="284"/>
      <c r="B147" s="285"/>
      <c r="C147" s="307">
        <f>C146-C145</f>
        <v>0</v>
      </c>
      <c r="D147" s="305"/>
      <c r="E147" s="306"/>
    </row>
    <row r="148" spans="1:10" ht="15.75">
      <c r="A148" s="290"/>
      <c r="B148" s="290"/>
      <c r="C148" s="284" t="s">
        <v>1</v>
      </c>
      <c r="D148" s="308">
        <f>EOMONTH(D132,1)</f>
        <v>41547</v>
      </c>
      <c r="E148" s="309">
        <f>E132+E145</f>
        <v>38932.729789999998</v>
      </c>
    </row>
    <row r="149" spans="1:10" ht="15.75" thickBot="1"/>
    <row r="150" spans="1:10" ht="15.75">
      <c r="A150" s="658" t="s">
        <v>195</v>
      </c>
      <c r="B150" s="659"/>
      <c r="C150" s="659"/>
      <c r="D150" s="659"/>
      <c r="E150" s="660"/>
      <c r="G150" s="290"/>
      <c r="H150" s="290"/>
      <c r="I150" s="290"/>
    </row>
    <row r="151" spans="1:10" ht="15.75">
      <c r="A151" s="219">
        <v>41578</v>
      </c>
      <c r="B151" s="276"/>
      <c r="C151" s="277" t="s">
        <v>101</v>
      </c>
      <c r="D151" s="278"/>
      <c r="E151" s="279"/>
    </row>
    <row r="152" spans="1:10" ht="16.5" thickBot="1">
      <c r="A152" s="280"/>
      <c r="B152" s="281"/>
      <c r="C152" s="282" t="s">
        <v>21</v>
      </c>
      <c r="D152" s="282" t="s">
        <v>22</v>
      </c>
      <c r="E152" s="283" t="s">
        <v>23</v>
      </c>
    </row>
    <row r="153" spans="1:10" ht="15.75">
      <c r="A153" s="284" t="s">
        <v>24</v>
      </c>
      <c r="B153" s="285">
        <v>101</v>
      </c>
      <c r="C153" s="286">
        <v>9244353</v>
      </c>
      <c r="D153" s="287">
        <v>-2.1900000000000001E-3</v>
      </c>
      <c r="E153" s="288">
        <v>-20245.13307</v>
      </c>
    </row>
    <row r="154" spans="1:10" ht="16.5" thickBot="1">
      <c r="A154" s="284" t="s">
        <v>24</v>
      </c>
      <c r="B154" s="285">
        <v>111</v>
      </c>
      <c r="C154" s="286">
        <v>3880001</v>
      </c>
      <c r="D154" s="287">
        <v>-2.1900000000000001E-3</v>
      </c>
      <c r="E154" s="288">
        <v>-8497.20219</v>
      </c>
      <c r="G154" s="289">
        <f>A151</f>
        <v>41578</v>
      </c>
      <c r="H154" s="290"/>
      <c r="I154" s="290"/>
      <c r="J154" s="290"/>
    </row>
    <row r="155" spans="1:10" ht="16.5" thickBot="1">
      <c r="A155" s="284" t="s">
        <v>24</v>
      </c>
      <c r="B155" s="285">
        <v>112</v>
      </c>
      <c r="C155" s="286">
        <v>0</v>
      </c>
      <c r="D155" s="287">
        <v>-2.1900000000000001E-3</v>
      </c>
      <c r="E155" s="288">
        <v>0</v>
      </c>
      <c r="G155" s="291" t="s">
        <v>25</v>
      </c>
      <c r="H155" s="292"/>
      <c r="I155" s="293" t="s">
        <v>18</v>
      </c>
      <c r="J155" s="293" t="s">
        <v>19</v>
      </c>
    </row>
    <row r="156" spans="1:10" ht="15.75">
      <c r="A156" s="284" t="s">
        <v>24</v>
      </c>
      <c r="B156" s="285">
        <v>121</v>
      </c>
      <c r="C156" s="286">
        <v>595792</v>
      </c>
      <c r="D156" s="287">
        <v>-2.1900000000000001E-3</v>
      </c>
      <c r="E156" s="288">
        <v>-1304.78448</v>
      </c>
      <c r="G156" s="294" t="s">
        <v>97</v>
      </c>
      <c r="H156" s="295" t="s">
        <v>26</v>
      </c>
      <c r="I156" s="296">
        <f>-E161</f>
        <v>30792.491249999999</v>
      </c>
      <c r="J156" s="297">
        <v>0</v>
      </c>
    </row>
    <row r="157" spans="1:10" ht="16.5" thickBot="1">
      <c r="A157" s="284" t="s">
        <v>24</v>
      </c>
      <c r="B157" s="285">
        <v>122</v>
      </c>
      <c r="C157" s="286">
        <v>40500</v>
      </c>
      <c r="D157" s="287">
        <v>-2.1900000000000001E-3</v>
      </c>
      <c r="E157" s="288">
        <v>-88.695000000000007</v>
      </c>
      <c r="G157" s="298" t="s">
        <v>196</v>
      </c>
      <c r="H157" s="299" t="s">
        <v>197</v>
      </c>
      <c r="I157" s="300">
        <v>0</v>
      </c>
      <c r="J157" s="301">
        <f>-I156</f>
        <v>-30792.491249999999</v>
      </c>
    </row>
    <row r="158" spans="1:10" ht="15.75">
      <c r="A158" s="284" t="s">
        <v>24</v>
      </c>
      <c r="B158" s="285">
        <v>131</v>
      </c>
      <c r="C158" s="286">
        <v>0</v>
      </c>
      <c r="D158" s="287">
        <v>-2.1900000000000001E-3</v>
      </c>
      <c r="E158" s="288">
        <v>0</v>
      </c>
      <c r="G158" s="290"/>
      <c r="H158" s="290"/>
      <c r="I158" s="290"/>
      <c r="J158" s="302">
        <f>SUM(I156:J157)</f>
        <v>0</v>
      </c>
    </row>
    <row r="159" spans="1:10" ht="15.75">
      <c r="A159" s="284" t="s">
        <v>24</v>
      </c>
      <c r="B159" s="285">
        <v>132</v>
      </c>
      <c r="C159" s="286">
        <v>68629</v>
      </c>
      <c r="D159" s="287">
        <v>-2.1900000000000001E-3</v>
      </c>
      <c r="E159" s="288">
        <v>-150.29751000000002</v>
      </c>
    </row>
    <row r="160" spans="1:10" ht="15.75">
      <c r="A160" s="284" t="s">
        <v>24</v>
      </c>
      <c r="B160" s="285">
        <v>146</v>
      </c>
      <c r="C160" s="286">
        <v>2531895</v>
      </c>
      <c r="D160" s="287">
        <v>-2.0000000000000001E-4</v>
      </c>
      <c r="E160" s="303">
        <v>-506.37900000000002</v>
      </c>
    </row>
    <row r="161" spans="1:10" ht="16.5" thickBot="1">
      <c r="A161" s="284" t="s">
        <v>198</v>
      </c>
      <c r="B161" s="285"/>
      <c r="C161" s="304">
        <f>SUM(C153:C160)</f>
        <v>16361170</v>
      </c>
      <c r="D161" s="305"/>
      <c r="E161" s="306">
        <f>SUM(E153:E160)</f>
        <v>-30792.491249999999</v>
      </c>
    </row>
    <row r="162" spans="1:10" ht="16.5" thickTop="1">
      <c r="A162" s="284"/>
      <c r="B162" s="285"/>
      <c r="C162" s="310">
        <v>16361170</v>
      </c>
      <c r="D162" s="305"/>
      <c r="E162" s="306"/>
    </row>
    <row r="163" spans="1:10" ht="15.75">
      <c r="A163" s="284"/>
      <c r="B163" s="285"/>
      <c r="C163" s="307">
        <f>C162-C161</f>
        <v>0</v>
      </c>
      <c r="D163" s="305"/>
      <c r="E163" s="306"/>
    </row>
    <row r="164" spans="1:10" ht="15.75">
      <c r="A164" s="290"/>
      <c r="B164" s="290"/>
      <c r="C164" s="284" t="s">
        <v>1</v>
      </c>
      <c r="D164" s="308">
        <f>EOMONTH(D148,1)</f>
        <v>41578</v>
      </c>
      <c r="E164" s="309">
        <f>E148+E161</f>
        <v>8140.2385399999985</v>
      </c>
    </row>
    <row r="165" spans="1:10" ht="15.75" thickBot="1"/>
    <row r="166" spans="1:10" ht="15.75">
      <c r="A166" s="658" t="s">
        <v>195</v>
      </c>
      <c r="B166" s="659"/>
      <c r="C166" s="659"/>
      <c r="D166" s="659"/>
      <c r="E166" s="660"/>
      <c r="G166" s="290"/>
      <c r="H166" s="290"/>
      <c r="I166" s="290"/>
    </row>
    <row r="167" spans="1:10" ht="15.75">
      <c r="A167" s="219">
        <f>EOMONTH(A151,1)</f>
        <v>41608</v>
      </c>
      <c r="B167" s="276"/>
      <c r="C167" s="277" t="s">
        <v>101</v>
      </c>
      <c r="D167" s="278"/>
      <c r="E167" s="279"/>
    </row>
    <row r="168" spans="1:10" ht="16.5" thickBot="1">
      <c r="A168" s="280"/>
      <c r="B168" s="281"/>
      <c r="C168" s="282" t="s">
        <v>21</v>
      </c>
      <c r="D168" s="282" t="s">
        <v>22</v>
      </c>
      <c r="E168" s="283" t="s">
        <v>23</v>
      </c>
    </row>
    <row r="169" spans="1:10" ht="15.75">
      <c r="A169" s="284" t="s">
        <v>24</v>
      </c>
      <c r="B169" s="285">
        <v>101</v>
      </c>
      <c r="C169" s="286">
        <v>15070678</v>
      </c>
      <c r="D169" s="287" t="s">
        <v>187</v>
      </c>
      <c r="E169" s="288">
        <v>0</v>
      </c>
    </row>
    <row r="170" spans="1:10" ht="16.5" thickBot="1">
      <c r="A170" s="284" t="s">
        <v>24</v>
      </c>
      <c r="B170" s="285">
        <v>111</v>
      </c>
      <c r="C170" s="286">
        <v>5651303</v>
      </c>
      <c r="D170" s="287" t="s">
        <v>187</v>
      </c>
      <c r="E170" s="288">
        <v>0</v>
      </c>
      <c r="G170" s="289">
        <f>A167</f>
        <v>41608</v>
      </c>
      <c r="H170" s="290"/>
      <c r="I170" s="290"/>
      <c r="J170" s="290"/>
    </row>
    <row r="171" spans="1:10" ht="16.5" thickBot="1">
      <c r="A171" s="284" t="s">
        <v>24</v>
      </c>
      <c r="B171" s="285">
        <v>112</v>
      </c>
      <c r="C171" s="286">
        <v>0</v>
      </c>
      <c r="D171" s="287" t="s">
        <v>187</v>
      </c>
      <c r="E171" s="288">
        <v>0</v>
      </c>
      <c r="G171" s="291" t="s">
        <v>25</v>
      </c>
      <c r="H171" s="292"/>
      <c r="I171" s="293" t="s">
        <v>18</v>
      </c>
      <c r="J171" s="293" t="s">
        <v>19</v>
      </c>
    </row>
    <row r="172" spans="1:10" ht="15.75">
      <c r="A172" s="284" t="s">
        <v>24</v>
      </c>
      <c r="B172" s="285">
        <v>121</v>
      </c>
      <c r="C172" s="286">
        <v>396185</v>
      </c>
      <c r="D172" s="287" t="s">
        <v>187</v>
      </c>
      <c r="E172" s="288">
        <v>0</v>
      </c>
      <c r="G172" s="294" t="s">
        <v>97</v>
      </c>
      <c r="H172" s="295" t="s">
        <v>26</v>
      </c>
      <c r="I172" s="296">
        <f>-E177</f>
        <v>8833.92</v>
      </c>
      <c r="J172" s="297">
        <v>0</v>
      </c>
    </row>
    <row r="173" spans="1:10" ht="16.5" thickBot="1">
      <c r="A173" s="284" t="s">
        <v>24</v>
      </c>
      <c r="B173" s="285">
        <v>122</v>
      </c>
      <c r="C173" s="286">
        <v>51667</v>
      </c>
      <c r="D173" s="287" t="s">
        <v>187</v>
      </c>
      <c r="E173" s="288">
        <v>0</v>
      </c>
      <c r="G173" s="298" t="s">
        <v>196</v>
      </c>
      <c r="H173" s="299" t="s">
        <v>197</v>
      </c>
      <c r="I173" s="300">
        <v>0</v>
      </c>
      <c r="J173" s="301">
        <f>-I172</f>
        <v>-8833.92</v>
      </c>
    </row>
    <row r="174" spans="1:10" ht="15.75">
      <c r="A174" s="284" t="s">
        <v>24</v>
      </c>
      <c r="B174" s="285">
        <v>131</v>
      </c>
      <c r="C174" s="286">
        <v>0</v>
      </c>
      <c r="D174" s="287" t="s">
        <v>187</v>
      </c>
      <c r="E174" s="288">
        <v>0</v>
      </c>
      <c r="G174" s="290"/>
      <c r="H174" s="290"/>
      <c r="I174" s="290"/>
      <c r="J174" s="302">
        <f>SUM(I172:J173)</f>
        <v>0</v>
      </c>
    </row>
    <row r="175" spans="1:10" ht="15.75">
      <c r="A175" s="284" t="s">
        <v>24</v>
      </c>
      <c r="B175" s="285">
        <v>132</v>
      </c>
      <c r="C175" s="286">
        <v>142001</v>
      </c>
      <c r="D175" s="287" t="s">
        <v>187</v>
      </c>
      <c r="E175" s="288">
        <v>0</v>
      </c>
    </row>
    <row r="176" spans="1:10" ht="15.75">
      <c r="A176" s="284" t="s">
        <v>24</v>
      </c>
      <c r="B176" s="285">
        <v>146</v>
      </c>
      <c r="C176" s="286">
        <v>2936207</v>
      </c>
      <c r="D176" s="287" t="s">
        <v>187</v>
      </c>
      <c r="E176" s="303">
        <v>0</v>
      </c>
    </row>
    <row r="177" spans="1:10" ht="16.5" thickBot="1">
      <c r="A177" s="284" t="s">
        <v>198</v>
      </c>
      <c r="B177" s="285"/>
      <c r="C177" s="304">
        <f>SUM(C169:C176)</f>
        <v>24248041</v>
      </c>
      <c r="D177" s="305"/>
      <c r="E177" s="306">
        <v>-8833.92</v>
      </c>
    </row>
    <row r="178" spans="1:10" ht="16.5" thickTop="1">
      <c r="A178" s="284"/>
      <c r="B178" s="285"/>
      <c r="C178" s="310">
        <v>24248041</v>
      </c>
      <c r="D178" s="305"/>
      <c r="E178" s="306"/>
    </row>
    <row r="179" spans="1:10" ht="15.75">
      <c r="A179" s="284"/>
      <c r="B179" s="285"/>
      <c r="C179" s="307">
        <f>C178-C177</f>
        <v>0</v>
      </c>
      <c r="D179" s="305"/>
      <c r="E179" s="306"/>
    </row>
    <row r="180" spans="1:10" ht="15.75">
      <c r="A180" s="290"/>
      <c r="B180" s="290"/>
      <c r="C180" s="284" t="s">
        <v>1</v>
      </c>
      <c r="D180" s="308">
        <f>EOMONTH(D164,1)</f>
        <v>41608</v>
      </c>
      <c r="E180" s="309">
        <f>E164+E177</f>
        <v>-693.68146000000161</v>
      </c>
    </row>
    <row r="181" spans="1:10" ht="15.75" thickBot="1"/>
    <row r="182" spans="1:10" ht="15.75">
      <c r="A182" s="658" t="s">
        <v>195</v>
      </c>
      <c r="B182" s="659"/>
      <c r="C182" s="659"/>
      <c r="D182" s="659"/>
      <c r="E182" s="660"/>
      <c r="G182" s="290"/>
      <c r="H182" s="290"/>
      <c r="I182" s="290"/>
    </row>
    <row r="183" spans="1:10" ht="15.75">
      <c r="A183" s="219">
        <f>EOMONTH(A167,1)</f>
        <v>41639</v>
      </c>
      <c r="B183" s="276"/>
      <c r="C183" s="277" t="s">
        <v>101</v>
      </c>
      <c r="D183" s="278"/>
      <c r="E183" s="279"/>
    </row>
    <row r="184" spans="1:10" ht="16.5" thickBot="1">
      <c r="A184" s="280"/>
      <c r="B184" s="281"/>
      <c r="C184" s="282" t="s">
        <v>21</v>
      </c>
      <c r="D184" s="282" t="s">
        <v>22</v>
      </c>
      <c r="E184" s="283" t="s">
        <v>23</v>
      </c>
    </row>
    <row r="185" spans="1:10" ht="15.75">
      <c r="A185" s="284" t="s">
        <v>24</v>
      </c>
      <c r="B185" s="285">
        <v>101</v>
      </c>
      <c r="C185" s="286">
        <f>Jan!$G$23</f>
        <v>27259641</v>
      </c>
      <c r="D185" s="287" t="s">
        <v>187</v>
      </c>
      <c r="E185" s="288">
        <v>0</v>
      </c>
    </row>
    <row r="186" spans="1:10" ht="16.5" thickBot="1">
      <c r="A186" s="284" t="s">
        <v>24</v>
      </c>
      <c r="B186" s="285">
        <v>111</v>
      </c>
      <c r="C186" s="286">
        <f>Jan!$G$25</f>
        <v>8738107</v>
      </c>
      <c r="D186" s="287" t="s">
        <v>187</v>
      </c>
      <c r="E186" s="288">
        <v>0</v>
      </c>
      <c r="G186" s="289">
        <f>A183</f>
        <v>41639</v>
      </c>
      <c r="H186" s="290"/>
      <c r="I186" s="290"/>
      <c r="J186" s="290"/>
    </row>
    <row r="187" spans="1:10" ht="16.5" thickBot="1">
      <c r="A187" s="284" t="s">
        <v>24</v>
      </c>
      <c r="B187" s="285">
        <v>112</v>
      </c>
      <c r="C187" s="286">
        <f>Jan!$G$26</f>
        <v>0</v>
      </c>
      <c r="D187" s="287" t="s">
        <v>187</v>
      </c>
      <c r="E187" s="288">
        <v>0</v>
      </c>
      <c r="G187" s="291" t="s">
        <v>25</v>
      </c>
      <c r="H187" s="292"/>
      <c r="I187" s="293" t="s">
        <v>18</v>
      </c>
      <c r="J187" s="293" t="s">
        <v>19</v>
      </c>
    </row>
    <row r="188" spans="1:10" ht="15.75">
      <c r="A188" s="284" t="s">
        <v>24</v>
      </c>
      <c r="B188" s="285">
        <v>121</v>
      </c>
      <c r="C188" s="286">
        <f>Jan!$G$27</f>
        <v>284721</v>
      </c>
      <c r="D188" s="287" t="s">
        <v>187</v>
      </c>
      <c r="E188" s="288">
        <v>0</v>
      </c>
      <c r="G188" s="294" t="s">
        <v>97</v>
      </c>
      <c r="H188" s="295" t="s">
        <v>26</v>
      </c>
      <c r="I188" s="296">
        <f>-E193</f>
        <v>13002.04</v>
      </c>
      <c r="J188" s="297">
        <v>0</v>
      </c>
    </row>
    <row r="189" spans="1:10" ht="16.5" thickBot="1">
      <c r="A189" s="284" t="s">
        <v>24</v>
      </c>
      <c r="B189" s="285">
        <v>122</v>
      </c>
      <c r="C189" s="286">
        <f>Jan!$G$28</f>
        <v>64203</v>
      </c>
      <c r="D189" s="287" t="s">
        <v>187</v>
      </c>
      <c r="E189" s="288">
        <v>0</v>
      </c>
      <c r="G189" s="298" t="s">
        <v>196</v>
      </c>
      <c r="H189" s="299" t="s">
        <v>197</v>
      </c>
      <c r="I189" s="300">
        <v>0</v>
      </c>
      <c r="J189" s="301">
        <f>-I188</f>
        <v>-13002.04</v>
      </c>
    </row>
    <row r="190" spans="1:10" ht="15.75">
      <c r="A190" s="284" t="s">
        <v>24</v>
      </c>
      <c r="B190" s="285">
        <v>131</v>
      </c>
      <c r="C190" s="286">
        <f>Jan!$G$29</f>
        <v>0</v>
      </c>
      <c r="D190" s="287" t="s">
        <v>187</v>
      </c>
      <c r="E190" s="288">
        <v>0</v>
      </c>
      <c r="G190" s="290"/>
      <c r="H190" s="290"/>
      <c r="I190" s="290"/>
      <c r="J190" s="302">
        <f>SUM(I188:J189)</f>
        <v>0</v>
      </c>
    </row>
    <row r="191" spans="1:10" ht="15.75">
      <c r="A191" s="284" t="s">
        <v>24</v>
      </c>
      <c r="B191" s="285">
        <v>132</v>
      </c>
      <c r="C191" s="286">
        <f>Jan!$G$30</f>
        <v>160387</v>
      </c>
      <c r="D191" s="287" t="s">
        <v>187</v>
      </c>
      <c r="E191" s="288">
        <v>0</v>
      </c>
    </row>
    <row r="192" spans="1:10" ht="15.75">
      <c r="A192" s="284" t="s">
        <v>24</v>
      </c>
      <c r="B192" s="285">
        <v>146</v>
      </c>
      <c r="C192" s="286">
        <f>Jan!$G$31</f>
        <v>4261630</v>
      </c>
      <c r="D192" s="287" t="s">
        <v>187</v>
      </c>
      <c r="E192" s="303">
        <v>0</v>
      </c>
    </row>
    <row r="193" spans="1:9" ht="16.5" thickBot="1">
      <c r="A193" s="284" t="s">
        <v>198</v>
      </c>
      <c r="B193" s="285"/>
      <c r="C193" s="304">
        <f>SUM(C185:C192)</f>
        <v>40768689</v>
      </c>
      <c r="D193" s="305"/>
      <c r="E193" s="306">
        <v>-13002.04</v>
      </c>
    </row>
    <row r="194" spans="1:9" ht="16.5" thickTop="1">
      <c r="A194" s="284"/>
      <c r="B194" s="285"/>
      <c r="C194" s="310">
        <v>34635509</v>
      </c>
      <c r="D194" s="305"/>
      <c r="E194" s="306"/>
    </row>
    <row r="195" spans="1:9" ht="15.75">
      <c r="A195" s="284"/>
      <c r="B195" s="285"/>
      <c r="C195" s="307">
        <f>C194-C193</f>
        <v>-6133180</v>
      </c>
      <c r="D195" s="305"/>
      <c r="E195" s="306"/>
    </row>
    <row r="196" spans="1:9" ht="15.75">
      <c r="C196" s="284" t="s">
        <v>1</v>
      </c>
      <c r="D196" s="308">
        <f>EOMONTH(D180,1)</f>
        <v>41639</v>
      </c>
      <c r="E196" s="309">
        <f>E180+E193</f>
        <v>-13695.721460000002</v>
      </c>
      <c r="G196" s="475" t="s">
        <v>244</v>
      </c>
      <c r="H196" s="476">
        <f>_xll.Get_Balance(I196,"YTD","USD","Total","A","","001","191025","GD","WA","DL")-E196</f>
        <v>1.4600000031350646E-3</v>
      </c>
      <c r="I196" s="477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1" customFormat="1" ht="15.75" hidden="1">
      <c r="A7" s="333"/>
      <c r="B7" s="333"/>
      <c r="C7" s="50" t="s">
        <v>1</v>
      </c>
      <c r="D7" s="90">
        <v>41213</v>
      </c>
      <c r="E7" s="50">
        <v>2351759.8593735616</v>
      </c>
      <c r="F7" s="333"/>
      <c r="G7" s="246"/>
    </row>
    <row r="8" spans="1:10" s="384" customFormat="1" ht="15.75" hidden="1">
      <c r="A8" s="385"/>
      <c r="B8" s="385"/>
      <c r="C8" s="50"/>
      <c r="D8" s="90"/>
      <c r="E8" s="50"/>
      <c r="F8" s="385"/>
      <c r="G8" s="246"/>
    </row>
    <row r="9" spans="1:10" s="202" customFormat="1" ht="15.75" hidden="1">
      <c r="D9" s="259" t="s">
        <v>212</v>
      </c>
      <c r="E9" s="161">
        <f>'WA Def 191010'!R14</f>
        <v>-7340824.0093394704</v>
      </c>
    </row>
    <row r="10" spans="1:10" s="202" customFormat="1" ht="16.5" hidden="1" thickBot="1">
      <c r="D10" s="259" t="s">
        <v>210</v>
      </c>
      <c r="E10" s="390">
        <f>E9+E7</f>
        <v>-4989064.1499659084</v>
      </c>
    </row>
    <row r="11" spans="1:10" s="384" customFormat="1" ht="16.5" hidden="1" thickTop="1" thickBot="1"/>
    <row r="12" spans="1:10" s="384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4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4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5"/>
      <c r="G14" s="385"/>
      <c r="H14" s="385"/>
      <c r="I14" s="385"/>
      <c r="J14" s="385"/>
    </row>
    <row r="15" spans="1:10" s="384" customFormat="1" ht="15.75" hidden="1">
      <c r="A15" s="50" t="s">
        <v>24</v>
      </c>
      <c r="B15" s="95">
        <v>101</v>
      </c>
      <c r="C15" s="206">
        <v>12694976</v>
      </c>
      <c r="D15" s="389">
        <v>3.3950000000000001E-2</v>
      </c>
      <c r="E15" s="168">
        <v>427531.76</v>
      </c>
      <c r="F15" s="385" t="s">
        <v>187</v>
      </c>
      <c r="G15" s="385"/>
      <c r="H15" s="385"/>
      <c r="I15" s="385"/>
      <c r="J15" s="385"/>
    </row>
    <row r="16" spans="1:10" s="384" customFormat="1" ht="16.5" hidden="1" thickBot="1">
      <c r="A16" s="50" t="s">
        <v>24</v>
      </c>
      <c r="B16" s="95">
        <v>111</v>
      </c>
      <c r="C16" s="206">
        <v>4637935</v>
      </c>
      <c r="D16" s="389">
        <v>3.0599999999999999E-2</v>
      </c>
      <c r="E16" s="168">
        <v>143027.17000000001</v>
      </c>
      <c r="F16" s="385" t="s">
        <v>187</v>
      </c>
      <c r="G16" s="123">
        <f>A13</f>
        <v>41243</v>
      </c>
      <c r="H16" s="385"/>
      <c r="I16" s="385"/>
      <c r="J16" s="385"/>
    </row>
    <row r="17" spans="1:10" s="384" customFormat="1" ht="16.5" hidden="1" thickBot="1">
      <c r="A17" s="50" t="s">
        <v>24</v>
      </c>
      <c r="B17" s="95">
        <v>112</v>
      </c>
      <c r="C17" s="206">
        <v>0</v>
      </c>
      <c r="D17" s="389"/>
      <c r="E17" s="168">
        <v>0</v>
      </c>
      <c r="F17" s="385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4" customFormat="1" ht="15.75" hidden="1">
      <c r="A18" s="50" t="s">
        <v>24</v>
      </c>
      <c r="B18" s="95">
        <v>121</v>
      </c>
      <c r="C18" s="206">
        <v>347215</v>
      </c>
      <c r="D18" s="389">
        <v>2.998E-2</v>
      </c>
      <c r="E18" s="168">
        <v>11613.6</v>
      </c>
      <c r="F18" s="385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4" customFormat="1" ht="15.75" hidden="1">
      <c r="A19" s="50" t="s">
        <v>24</v>
      </c>
      <c r="B19" s="95">
        <v>122</v>
      </c>
      <c r="C19" s="206">
        <v>0</v>
      </c>
      <c r="D19" s="389"/>
      <c r="E19" s="168">
        <v>0</v>
      </c>
      <c r="F19" s="385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4" customFormat="1" ht="15.75" hidden="1">
      <c r="A20" s="50" t="s">
        <v>24</v>
      </c>
      <c r="B20" s="95">
        <v>131</v>
      </c>
      <c r="C20" s="206">
        <v>0</v>
      </c>
      <c r="D20" s="389">
        <v>5.7389999999999997E-2</v>
      </c>
      <c r="E20" s="168">
        <v>0</v>
      </c>
      <c r="F20" s="385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4" customFormat="1" ht="15.75" hidden="1">
      <c r="A21" s="50" t="s">
        <v>24</v>
      </c>
      <c r="B21" s="95">
        <v>132</v>
      </c>
      <c r="C21" s="206">
        <v>0</v>
      </c>
      <c r="D21" s="389"/>
      <c r="E21" s="168">
        <v>0</v>
      </c>
      <c r="F21" s="385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4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5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4" customFormat="1" ht="15.75" hidden="1">
      <c r="A23" s="50" t="s">
        <v>151</v>
      </c>
      <c r="B23" s="95"/>
      <c r="C23" s="206"/>
      <c r="D23" s="121"/>
      <c r="E23" s="168">
        <v>0</v>
      </c>
      <c r="F23" s="385" t="s">
        <v>187</v>
      </c>
      <c r="G23" s="385"/>
      <c r="H23" s="385"/>
      <c r="I23" s="385"/>
      <c r="J23" s="338">
        <f>SUM(I18:J22)</f>
        <v>0</v>
      </c>
    </row>
    <row r="24" spans="1:10" s="384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5" t="s">
        <v>187</v>
      </c>
      <c r="G24" s="123"/>
      <c r="H24" s="7"/>
      <c r="I24" s="7"/>
      <c r="J24" s="7"/>
    </row>
    <row r="25" spans="1:10" s="384" customFormat="1" ht="15.75" hidden="1">
      <c r="A25" s="141" t="s">
        <v>105</v>
      </c>
      <c r="B25" s="95"/>
      <c r="C25" s="206"/>
      <c r="D25" s="121"/>
      <c r="E25" s="226">
        <v>0</v>
      </c>
      <c r="F25" s="385"/>
      <c r="G25" s="123"/>
      <c r="H25" s="7"/>
      <c r="I25" s="12"/>
      <c r="J25" s="12"/>
    </row>
    <row r="26" spans="1:10" s="384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5"/>
      <c r="G26" s="123"/>
      <c r="H26" s="7"/>
      <c r="I26" s="7"/>
      <c r="J26" s="8"/>
    </row>
    <row r="27" spans="1:10" s="384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5"/>
      <c r="G27" s="11"/>
      <c r="H27" s="7"/>
      <c r="I27" s="8"/>
      <c r="J27" s="7"/>
    </row>
    <row r="28" spans="1:10" s="384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5"/>
      <c r="G28" s="65" t="s">
        <v>158</v>
      </c>
      <c r="H28" s="7"/>
      <c r="I28" s="7"/>
      <c r="J28" s="7"/>
    </row>
    <row r="29" spans="1:10" s="384" customFormat="1" ht="16.5" hidden="1" thickTop="1">
      <c r="A29" s="385"/>
      <c r="B29" s="385"/>
      <c r="C29" s="385"/>
      <c r="D29" s="142" t="s">
        <v>87</v>
      </c>
      <c r="E29" s="50">
        <f>E28+E10</f>
        <v>-4406891.6199659081</v>
      </c>
      <c r="F29" s="385"/>
      <c r="G29" s="8">
        <f>(E10*(D30/12))+(E28*(D30/24))</f>
        <v>-12723.690105116002</v>
      </c>
      <c r="H29" s="396"/>
      <c r="I29" s="396"/>
      <c r="J29" s="7"/>
    </row>
    <row r="30" spans="1:10" s="384" customFormat="1" ht="15.75" hidden="1">
      <c r="A30" s="385"/>
      <c r="B30" s="385"/>
      <c r="C30" s="50" t="s">
        <v>57</v>
      </c>
      <c r="D30" s="225">
        <v>3.2500000000000001E-2</v>
      </c>
      <c r="E30" s="119">
        <f>ROUND(((E10)+(SUM(E28))/2)*(D30/12),2)</f>
        <v>-12723.69</v>
      </c>
      <c r="F30" s="385"/>
      <c r="G30" s="8"/>
      <c r="H30" s="7"/>
      <c r="I30" s="12"/>
      <c r="J30" s="12"/>
    </row>
    <row r="31" spans="1:10" s="384" customFormat="1" ht="15.75" hidden="1">
      <c r="A31" s="385"/>
      <c r="B31" s="385"/>
      <c r="C31" s="50" t="s">
        <v>1</v>
      </c>
      <c r="D31" s="90">
        <f>A13</f>
        <v>41243</v>
      </c>
      <c r="E31" s="50">
        <f>SUM(E29:E30)</f>
        <v>-4419615.3099659085</v>
      </c>
      <c r="F31" s="385"/>
      <c r="G31" s="246"/>
    </row>
    <row r="32" spans="1:10" s="384" customFormat="1" ht="15.75" hidden="1">
      <c r="A32" s="385"/>
      <c r="B32" s="385"/>
      <c r="C32" s="50"/>
      <c r="D32" s="443" t="s">
        <v>199</v>
      </c>
      <c r="E32" s="64">
        <v>-4419708.3600000003</v>
      </c>
      <c r="F32" s="385"/>
      <c r="G32" s="246"/>
    </row>
    <row r="33" spans="1:10" s="384" customFormat="1" ht="15.75" hidden="1">
      <c r="A33" s="385"/>
      <c r="B33" s="385"/>
      <c r="C33" s="50"/>
      <c r="D33" s="443" t="s">
        <v>218</v>
      </c>
      <c r="E33" s="444">
        <f>E31-E32</f>
        <v>93.050034091807902</v>
      </c>
      <c r="F33" s="385"/>
      <c r="G33" s="246"/>
    </row>
    <row r="34" spans="1:10" s="384" customFormat="1" ht="15.75" hidden="1" thickBot="1"/>
    <row r="35" spans="1:10" s="384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4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4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5"/>
      <c r="G37" s="385"/>
      <c r="H37" s="385"/>
      <c r="I37" s="385"/>
      <c r="J37" s="385"/>
    </row>
    <row r="38" spans="1:10" s="384" customFormat="1" ht="15.75" hidden="1">
      <c r="A38" s="50" t="s">
        <v>24</v>
      </c>
      <c r="B38" s="95">
        <v>101</v>
      </c>
      <c r="C38" s="206">
        <v>18054358</v>
      </c>
      <c r="D38" s="389">
        <v>3.3950000000000001E-2</v>
      </c>
      <c r="E38" s="168">
        <v>610563.22</v>
      </c>
      <c r="F38" s="385" t="s">
        <v>187</v>
      </c>
      <c r="G38" s="385"/>
      <c r="H38" s="385"/>
      <c r="I38" s="385"/>
      <c r="J38" s="385"/>
    </row>
    <row r="39" spans="1:10" s="384" customFormat="1" ht="16.5" hidden="1" thickBot="1">
      <c r="A39" s="50" t="s">
        <v>24</v>
      </c>
      <c r="B39" s="95">
        <v>111</v>
      </c>
      <c r="C39" s="206">
        <v>6151406</v>
      </c>
      <c r="D39" s="389">
        <v>3.0599999999999999E-2</v>
      </c>
      <c r="E39" s="168">
        <v>187548.98</v>
      </c>
      <c r="F39" s="385" t="s">
        <v>187</v>
      </c>
      <c r="G39" s="123">
        <f>A36</f>
        <v>41274</v>
      </c>
      <c r="H39" s="385"/>
      <c r="I39" s="385"/>
      <c r="J39" s="385"/>
    </row>
    <row r="40" spans="1:10" s="384" customFormat="1" ht="16.5" hidden="1" thickBot="1">
      <c r="A40" s="50" t="s">
        <v>24</v>
      </c>
      <c r="B40" s="95">
        <v>112</v>
      </c>
      <c r="C40" s="206">
        <v>0</v>
      </c>
      <c r="D40" s="389"/>
      <c r="E40" s="168">
        <f t="shared" ref="E40" si="0">C40*D40</f>
        <v>0</v>
      </c>
      <c r="F40" s="385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4" customFormat="1" ht="15.75" hidden="1">
      <c r="A41" s="50" t="s">
        <v>24</v>
      </c>
      <c r="B41" s="95">
        <v>121</v>
      </c>
      <c r="C41" s="206">
        <v>385155</v>
      </c>
      <c r="D41" s="389">
        <v>2.998E-2</v>
      </c>
      <c r="E41" s="168">
        <v>11473.63</v>
      </c>
      <c r="F41" s="385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4" customFormat="1" ht="15.75" hidden="1">
      <c r="A42" s="50" t="s">
        <v>24</v>
      </c>
      <c r="B42" s="95">
        <v>122</v>
      </c>
      <c r="C42" s="206">
        <v>0</v>
      </c>
      <c r="D42" s="389"/>
      <c r="E42" s="168">
        <f t="shared" ref="E42:E47" si="1">C42*D42</f>
        <v>0</v>
      </c>
      <c r="F42" s="385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4" customFormat="1" ht="15.75" hidden="1">
      <c r="A43" s="50" t="s">
        <v>24</v>
      </c>
      <c r="B43" s="95">
        <v>131</v>
      </c>
      <c r="C43" s="206">
        <v>0</v>
      </c>
      <c r="D43" s="389">
        <v>5.7389999999999997E-2</v>
      </c>
      <c r="E43" s="168">
        <f t="shared" si="1"/>
        <v>0</v>
      </c>
      <c r="F43" s="385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4" customFormat="1" ht="15.75" hidden="1">
      <c r="A44" s="50" t="s">
        <v>24</v>
      </c>
      <c r="B44" s="95">
        <v>132</v>
      </c>
      <c r="C44" s="206">
        <v>0</v>
      </c>
      <c r="D44" s="389"/>
      <c r="E44" s="168">
        <f t="shared" si="1"/>
        <v>0</v>
      </c>
      <c r="F44" s="385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4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5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4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5" t="s">
        <v>187</v>
      </c>
      <c r="G46" s="385"/>
      <c r="H46" s="385"/>
      <c r="I46" s="385"/>
      <c r="J46" s="338">
        <f>SUM(I41:J45)</f>
        <v>0</v>
      </c>
    </row>
    <row r="47" spans="1:10" s="384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5" t="s">
        <v>187</v>
      </c>
      <c r="G47" s="123"/>
      <c r="H47" s="7"/>
      <c r="I47" s="7"/>
      <c r="J47" s="7"/>
    </row>
    <row r="48" spans="1:10" s="384" customFormat="1" ht="15.75" hidden="1">
      <c r="A48" s="141" t="s">
        <v>105</v>
      </c>
      <c r="B48" s="95"/>
      <c r="C48" s="206"/>
      <c r="D48" s="121"/>
      <c r="E48" s="226">
        <v>80091.87</v>
      </c>
      <c r="F48" s="385"/>
      <c r="G48" s="123"/>
      <c r="H48" s="7"/>
      <c r="I48" s="12"/>
      <c r="J48" s="12"/>
    </row>
    <row r="49" spans="1:10" s="384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5"/>
      <c r="G49" s="123"/>
      <c r="H49" s="7"/>
      <c r="I49" s="7"/>
      <c r="J49" s="8"/>
    </row>
    <row r="50" spans="1:10" s="384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5"/>
      <c r="G50" s="11"/>
      <c r="H50" s="7"/>
      <c r="I50" s="8"/>
      <c r="J50" s="7"/>
    </row>
    <row r="51" spans="1:10" s="384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5"/>
      <c r="G51" s="65" t="s">
        <v>158</v>
      </c>
      <c r="H51" s="7"/>
      <c r="I51" s="7"/>
      <c r="J51" s="7"/>
    </row>
    <row r="52" spans="1:10" s="384" customFormat="1" ht="16.5" hidden="1" thickTop="1">
      <c r="A52" s="385"/>
      <c r="B52" s="385"/>
      <c r="C52" s="385"/>
      <c r="D52" s="142" t="s">
        <v>87</v>
      </c>
      <c r="E52" s="50">
        <f>E51+E32</f>
        <v>-3529937.6099659083</v>
      </c>
      <c r="F52" s="385"/>
      <c r="G52" s="8">
        <f>(E31*(D53/12))+(E51*(D53/24))</f>
        <v>-10764.893573819838</v>
      </c>
      <c r="H52" s="398"/>
      <c r="I52" s="398"/>
      <c r="J52" s="7"/>
    </row>
    <row r="53" spans="1:10" s="384" customFormat="1" ht="15.75" hidden="1">
      <c r="A53" s="385"/>
      <c r="B53" s="385"/>
      <c r="C53" s="50" t="s">
        <v>57</v>
      </c>
      <c r="D53" s="225">
        <v>3.2500000000000001E-2</v>
      </c>
      <c r="E53" s="119">
        <f>ROUND(((E31)+(SUM(E51))/2)*(D53/12),2)</f>
        <v>-10764.89</v>
      </c>
      <c r="F53" s="385"/>
      <c r="G53" s="8"/>
      <c r="H53" s="7"/>
      <c r="I53" s="12"/>
      <c r="J53" s="12"/>
    </row>
    <row r="54" spans="1:10" s="384" customFormat="1" ht="15.75" hidden="1">
      <c r="A54" s="385"/>
      <c r="B54" s="385"/>
      <c r="C54" s="50" t="s">
        <v>1</v>
      </c>
      <c r="D54" s="90">
        <f>A36</f>
        <v>41274</v>
      </c>
      <c r="E54" s="50">
        <f>SUM(E52:E53)</f>
        <v>-3540702.4999659085</v>
      </c>
      <c r="F54" s="385"/>
      <c r="G54" s="246"/>
    </row>
    <row r="55" spans="1:10" s="331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4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4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5"/>
      <c r="G58" s="385"/>
      <c r="H58" s="385"/>
      <c r="I58" s="385"/>
      <c r="J58" s="385"/>
    </row>
    <row r="59" spans="1:10" ht="15.75" hidden="1">
      <c r="A59" s="50" t="s">
        <v>24</v>
      </c>
      <c r="B59" s="95">
        <v>101</v>
      </c>
      <c r="C59" s="206">
        <v>22136409</v>
      </c>
      <c r="D59" s="389">
        <v>3.3950000000000001E-2</v>
      </c>
      <c r="E59" s="168">
        <f>C59*D59</f>
        <v>751531.08555000008</v>
      </c>
      <c r="F59" s="385"/>
      <c r="G59" s="385"/>
      <c r="H59" s="385"/>
      <c r="I59" s="385"/>
      <c r="J59" s="385"/>
    </row>
    <row r="60" spans="1:10" ht="16.5" hidden="1" thickBot="1">
      <c r="A60" s="50" t="s">
        <v>24</v>
      </c>
      <c r="B60" s="95">
        <v>111</v>
      </c>
      <c r="C60" s="206">
        <v>7525225</v>
      </c>
      <c r="D60" s="389">
        <v>3.0599999999999999E-2</v>
      </c>
      <c r="E60" s="168">
        <f>C60*D60</f>
        <v>230271.88499999998</v>
      </c>
      <c r="F60" s="385"/>
      <c r="G60" s="123">
        <f>A57</f>
        <v>41305</v>
      </c>
      <c r="H60" s="385"/>
      <c r="I60" s="385"/>
      <c r="J60" s="385"/>
    </row>
    <row r="61" spans="1:10" ht="16.5" hidden="1" thickBot="1">
      <c r="A61" s="50" t="s">
        <v>24</v>
      </c>
      <c r="B61" s="95">
        <v>112</v>
      </c>
      <c r="C61" s="206">
        <v>0</v>
      </c>
      <c r="D61" s="389"/>
      <c r="E61" s="168">
        <f t="shared" ref="E61:E68" si="2">C61*D61</f>
        <v>0</v>
      </c>
      <c r="F61" s="385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9">
        <v>2.998E-2</v>
      </c>
      <c r="E62" s="168">
        <f>C62*D62</f>
        <v>18180.801380000001</v>
      </c>
      <c r="F62" s="385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9"/>
      <c r="E63" s="168">
        <f t="shared" si="2"/>
        <v>0</v>
      </c>
      <c r="F63" s="385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9">
        <v>5.7389999999999997E-2</v>
      </c>
      <c r="E64" s="168">
        <f t="shared" si="2"/>
        <v>0</v>
      </c>
      <c r="F64" s="385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9"/>
      <c r="E65" s="168">
        <f t="shared" si="2"/>
        <v>0</v>
      </c>
      <c r="F65" s="385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5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5"/>
      <c r="G67" s="661"/>
      <c r="H67" s="661"/>
      <c r="I67" s="661"/>
      <c r="J67" s="338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5"/>
      <c r="G68" s="662"/>
      <c r="H68" s="662"/>
      <c r="I68" s="662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5"/>
      <c r="G69" s="662"/>
      <c r="H69" s="662"/>
      <c r="I69" s="662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5"/>
      <c r="G70" s="662"/>
      <c r="H70" s="662"/>
      <c r="I70" s="662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5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5"/>
      <c r="G72" s="65" t="s">
        <v>158</v>
      </c>
      <c r="H72" s="7"/>
      <c r="I72" s="7"/>
      <c r="J72" s="7"/>
    </row>
    <row r="73" spans="1:10" ht="16.5" hidden="1" thickTop="1">
      <c r="A73" s="385"/>
      <c r="B73" s="385"/>
      <c r="C73" s="385"/>
      <c r="D73" s="142" t="s">
        <v>87</v>
      </c>
      <c r="E73" s="50">
        <f>E72+E54</f>
        <v>-2540718.7280359082</v>
      </c>
      <c r="F73" s="385"/>
      <c r="G73" s="8">
        <f>(E54*(D74/12))+(E72*(D74/24))</f>
        <v>-8235.2579129191272</v>
      </c>
      <c r="H73" s="446"/>
      <c r="I73" s="446"/>
      <c r="J73" s="7"/>
    </row>
    <row r="74" spans="1:10" ht="15.75" hidden="1">
      <c r="A74" s="385"/>
      <c r="B74" s="385"/>
      <c r="C74" s="50" t="s">
        <v>57</v>
      </c>
      <c r="D74" s="225">
        <v>3.2500000000000001E-2</v>
      </c>
      <c r="E74" s="119">
        <f>ROUND(((E54)+(SUM(E72))/2)*(D74/12),2)</f>
        <v>-8235.26</v>
      </c>
      <c r="F74" s="385"/>
      <c r="G74" s="8"/>
      <c r="H74" s="7"/>
      <c r="I74" s="12"/>
      <c r="J74" s="12"/>
    </row>
    <row r="75" spans="1:10" ht="15.75" hidden="1">
      <c r="A75" s="385"/>
      <c r="B75" s="385"/>
      <c r="C75" s="50" t="s">
        <v>1</v>
      </c>
      <c r="D75" s="90">
        <f>A57</f>
        <v>41305</v>
      </c>
      <c r="E75" s="50">
        <f>SUM(E73:E74)</f>
        <v>-2548953.988035908</v>
      </c>
      <c r="F75" s="385"/>
      <c r="G75" s="246"/>
      <c r="H75" s="384"/>
      <c r="I75" s="384"/>
      <c r="J75" s="384"/>
    </row>
    <row r="76" spans="1:10" s="384" customFormat="1" ht="15.75" hidden="1" thickBot="1"/>
    <row r="77" spans="1:10" s="384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4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4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5"/>
      <c r="G79" s="385"/>
      <c r="H79" s="385"/>
      <c r="I79" s="385"/>
      <c r="J79" s="385"/>
    </row>
    <row r="80" spans="1:10" s="384" customFormat="1" ht="15.75" hidden="1">
      <c r="A80" s="50" t="s">
        <v>24</v>
      </c>
      <c r="B80" s="95">
        <v>101</v>
      </c>
      <c r="C80" s="206">
        <v>16585315</v>
      </c>
      <c r="D80" s="389">
        <v>3.3950000000000001E-2</v>
      </c>
      <c r="E80" s="168">
        <v>563071.44425000006</v>
      </c>
      <c r="F80" s="385"/>
      <c r="G80" s="385"/>
      <c r="H80" s="385"/>
      <c r="I80" s="385"/>
      <c r="J80" s="385"/>
    </row>
    <row r="81" spans="1:10" s="384" customFormat="1" ht="16.5" hidden="1" thickBot="1">
      <c r="A81" s="50" t="s">
        <v>24</v>
      </c>
      <c r="B81" s="95">
        <v>111</v>
      </c>
      <c r="C81" s="206">
        <v>5716465</v>
      </c>
      <c r="D81" s="389">
        <v>3.0599999999999999E-2</v>
      </c>
      <c r="E81" s="168">
        <v>174923.829</v>
      </c>
      <c r="F81" s="385"/>
      <c r="G81" s="123">
        <f>A78</f>
        <v>41333</v>
      </c>
      <c r="H81" s="385"/>
      <c r="I81" s="385"/>
      <c r="J81" s="385"/>
    </row>
    <row r="82" spans="1:10" s="384" customFormat="1" ht="16.5" hidden="1" thickBot="1">
      <c r="A82" s="50" t="s">
        <v>24</v>
      </c>
      <c r="B82" s="95">
        <v>112</v>
      </c>
      <c r="C82" s="206">
        <v>0</v>
      </c>
      <c r="D82" s="389"/>
      <c r="E82" s="168">
        <v>0</v>
      </c>
      <c r="F82" s="385"/>
      <c r="G82" s="113" t="s">
        <v>25</v>
      </c>
      <c r="H82" s="205"/>
      <c r="I82" s="126" t="s">
        <v>18</v>
      </c>
      <c r="J82" s="126" t="s">
        <v>19</v>
      </c>
    </row>
    <row r="83" spans="1:10" s="384" customFormat="1" ht="15.75" hidden="1">
      <c r="A83" s="50" t="s">
        <v>24</v>
      </c>
      <c r="B83" s="95">
        <v>121</v>
      </c>
      <c r="C83" s="206">
        <v>416479</v>
      </c>
      <c r="D83" s="389">
        <v>2.998E-2</v>
      </c>
      <c r="E83" s="168">
        <v>12486.040419999999</v>
      </c>
      <c r="F83" s="385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4" customFormat="1" ht="15.75" hidden="1">
      <c r="A84" s="50" t="s">
        <v>24</v>
      </c>
      <c r="B84" s="95">
        <v>122</v>
      </c>
      <c r="C84" s="206">
        <v>0</v>
      </c>
      <c r="D84" s="389"/>
      <c r="E84" s="168">
        <v>0</v>
      </c>
      <c r="F84" s="385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4" customFormat="1" ht="15.75" hidden="1">
      <c r="A85" s="50" t="s">
        <v>24</v>
      </c>
      <c r="B85" s="95">
        <v>131</v>
      </c>
      <c r="C85" s="206">
        <v>0</v>
      </c>
      <c r="D85" s="389">
        <v>5.7389999999999997E-2</v>
      </c>
      <c r="E85" s="168">
        <v>0</v>
      </c>
      <c r="F85" s="385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4" customFormat="1" ht="15.75" hidden="1">
      <c r="A86" s="50" t="s">
        <v>24</v>
      </c>
      <c r="B86" s="95">
        <v>132</v>
      </c>
      <c r="C86" s="206">
        <v>0</v>
      </c>
      <c r="D86" s="389"/>
      <c r="E86" s="168">
        <v>0</v>
      </c>
      <c r="F86" s="385"/>
      <c r="G86" s="153" t="s">
        <v>10</v>
      </c>
      <c r="H86" s="7" t="s">
        <v>17</v>
      </c>
      <c r="I86" s="7">
        <v>0</v>
      </c>
      <c r="J86" s="98"/>
    </row>
    <row r="87" spans="1:10" s="384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5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4" customFormat="1" ht="15.75" hidden="1">
      <c r="A88" s="50" t="s">
        <v>151</v>
      </c>
      <c r="B88" s="95"/>
      <c r="C88" s="206"/>
      <c r="D88" s="121"/>
      <c r="E88" s="168">
        <v>0</v>
      </c>
      <c r="F88" s="385"/>
      <c r="G88" s="385"/>
      <c r="H88" s="385"/>
      <c r="I88" s="385"/>
      <c r="J88" s="338">
        <f>SUM(I83:J87)</f>
        <v>0</v>
      </c>
    </row>
    <row r="89" spans="1:10" s="384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5"/>
      <c r="G89" s="123"/>
      <c r="H89" s="7"/>
      <c r="I89" s="7"/>
      <c r="J89" s="7"/>
    </row>
    <row r="90" spans="1:10" s="384" customFormat="1" ht="15.75" hidden="1">
      <c r="A90" s="141" t="s">
        <v>105</v>
      </c>
      <c r="B90" s="95"/>
      <c r="C90" s="206"/>
      <c r="D90" s="121"/>
      <c r="E90" s="226">
        <v>0</v>
      </c>
      <c r="F90" s="385"/>
      <c r="G90" s="123"/>
      <c r="H90" s="7"/>
      <c r="I90" s="12"/>
      <c r="J90" s="12"/>
    </row>
    <row r="91" spans="1:10" s="384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5"/>
      <c r="G91" s="123"/>
      <c r="H91" s="7"/>
      <c r="I91" s="7"/>
      <c r="J91" s="8"/>
    </row>
    <row r="92" spans="1:10" s="384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5"/>
      <c r="G92" s="11"/>
      <c r="H92" s="7"/>
      <c r="I92" s="8"/>
      <c r="J92" s="7"/>
    </row>
    <row r="93" spans="1:10" s="384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5"/>
      <c r="G93" s="65" t="s">
        <v>158</v>
      </c>
      <c r="H93" s="7"/>
      <c r="I93" s="7"/>
      <c r="J93" s="7"/>
    </row>
    <row r="94" spans="1:10" s="384" customFormat="1" ht="16.5" hidden="1" thickTop="1">
      <c r="A94" s="385"/>
      <c r="B94" s="385"/>
      <c r="C94" s="385"/>
      <c r="D94" s="142" t="s">
        <v>87</v>
      </c>
      <c r="E94" s="50">
        <f>E93+E75</f>
        <v>-1798472.6743659079</v>
      </c>
      <c r="F94" s="385"/>
      <c r="G94" s="8">
        <f>(E75*(D95/12))+(E93*(D95/24))</f>
        <v>-5887.1402720024589</v>
      </c>
      <c r="H94" s="448"/>
      <c r="I94" s="448"/>
      <c r="J94" s="7"/>
    </row>
    <row r="95" spans="1:10" s="384" customFormat="1" ht="15.75" hidden="1">
      <c r="A95" s="385"/>
      <c r="B95" s="385"/>
      <c r="C95" s="50" t="s">
        <v>57</v>
      </c>
      <c r="D95" s="225">
        <v>3.2500000000000001E-2</v>
      </c>
      <c r="E95" s="119">
        <f>ROUND(((E75)+(SUM(E93))/2)*(D95/12),2)</f>
        <v>-5887.14</v>
      </c>
      <c r="F95" s="385"/>
      <c r="G95" s="8"/>
      <c r="H95" s="7"/>
      <c r="I95" s="12"/>
      <c r="J95" s="12"/>
    </row>
    <row r="96" spans="1:10" s="384" customFormat="1" ht="15.75" hidden="1">
      <c r="A96" s="385"/>
      <c r="B96" s="385"/>
      <c r="C96" s="50" t="s">
        <v>1</v>
      </c>
      <c r="D96" s="90">
        <f>A78</f>
        <v>41333</v>
      </c>
      <c r="E96" s="50">
        <f>SUM(E94:E95)</f>
        <v>-1804359.8143659078</v>
      </c>
      <c r="F96" s="385"/>
      <c r="G96" s="246"/>
    </row>
    <row r="97" spans="1:10" s="384" customFormat="1" ht="15.75" hidden="1" thickBot="1"/>
    <row r="98" spans="1:10" s="384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4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4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5"/>
      <c r="G100" s="385"/>
      <c r="H100" s="385"/>
      <c r="I100" s="385"/>
      <c r="J100" s="385"/>
    </row>
    <row r="101" spans="1:10" s="384" customFormat="1" ht="15.75" hidden="1">
      <c r="A101" s="50" t="s">
        <v>24</v>
      </c>
      <c r="B101" s="95">
        <v>101</v>
      </c>
      <c r="C101" s="206">
        <v>12776328</v>
      </c>
      <c r="D101" s="389">
        <v>3.3950000000000001E-2</v>
      </c>
      <c r="E101" s="168">
        <v>433756.33559999999</v>
      </c>
      <c r="F101" s="385"/>
      <c r="G101" s="385"/>
      <c r="H101" s="385"/>
      <c r="I101" s="385"/>
      <c r="J101" s="385"/>
    </row>
    <row r="102" spans="1:10" s="384" customFormat="1" ht="16.5" hidden="1" thickBot="1">
      <c r="A102" s="50" t="s">
        <v>24</v>
      </c>
      <c r="B102" s="95">
        <v>111</v>
      </c>
      <c r="C102" s="206">
        <v>4890087</v>
      </c>
      <c r="D102" s="389">
        <v>3.0599999999999999E-2</v>
      </c>
      <c r="E102" s="168">
        <v>149636.66219999999</v>
      </c>
      <c r="F102" s="385"/>
      <c r="G102" s="123">
        <f>A99</f>
        <v>41364</v>
      </c>
      <c r="H102" s="385"/>
      <c r="I102" s="385"/>
      <c r="J102" s="385"/>
    </row>
    <row r="103" spans="1:10" s="384" customFormat="1" ht="16.5" hidden="1" thickBot="1">
      <c r="A103" s="50" t="s">
        <v>24</v>
      </c>
      <c r="B103" s="95">
        <v>112</v>
      </c>
      <c r="C103" s="206">
        <v>0</v>
      </c>
      <c r="D103" s="389"/>
      <c r="E103" s="168">
        <v>0</v>
      </c>
      <c r="F103" s="385"/>
      <c r="G103" s="113" t="s">
        <v>25</v>
      </c>
      <c r="H103" s="205"/>
      <c r="I103" s="126" t="s">
        <v>18</v>
      </c>
      <c r="J103" s="126" t="s">
        <v>19</v>
      </c>
    </row>
    <row r="104" spans="1:10" s="384" customFormat="1" ht="15.75" hidden="1">
      <c r="A104" s="50" t="s">
        <v>24</v>
      </c>
      <c r="B104" s="95">
        <v>121</v>
      </c>
      <c r="C104" s="206">
        <v>526218</v>
      </c>
      <c r="D104" s="389">
        <v>2.998E-2</v>
      </c>
      <c r="E104" s="168">
        <v>15776.01564</v>
      </c>
      <c r="F104" s="385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4" customFormat="1" ht="15.75" hidden="1">
      <c r="A105" s="50" t="s">
        <v>24</v>
      </c>
      <c r="B105" s="95">
        <v>122</v>
      </c>
      <c r="C105" s="206">
        <v>0</v>
      </c>
      <c r="D105" s="389"/>
      <c r="E105" s="168">
        <v>0</v>
      </c>
      <c r="F105" s="385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4" customFormat="1" ht="15.75" hidden="1">
      <c r="A106" s="50" t="s">
        <v>24</v>
      </c>
      <c r="B106" s="95">
        <v>131</v>
      </c>
      <c r="C106" s="206">
        <v>0</v>
      </c>
      <c r="D106" s="389">
        <v>5.7389999999999997E-2</v>
      </c>
      <c r="E106" s="168">
        <v>0</v>
      </c>
      <c r="F106" s="385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4" customFormat="1" ht="15.75" hidden="1">
      <c r="A107" s="50" t="s">
        <v>24</v>
      </c>
      <c r="B107" s="95">
        <v>132</v>
      </c>
      <c r="C107" s="206">
        <v>0</v>
      </c>
      <c r="D107" s="389"/>
      <c r="E107" s="168">
        <v>0</v>
      </c>
      <c r="F107" s="385"/>
      <c r="G107" s="153" t="s">
        <v>10</v>
      </c>
      <c r="H107" s="7" t="s">
        <v>17</v>
      </c>
      <c r="I107" s="7">
        <v>0</v>
      </c>
      <c r="J107" s="98"/>
    </row>
    <row r="108" spans="1:10" s="384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5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4" customFormat="1" ht="15.75" hidden="1">
      <c r="A109" s="50" t="s">
        <v>151</v>
      </c>
      <c r="B109" s="95"/>
      <c r="C109" s="206"/>
      <c r="D109" s="121"/>
      <c r="E109" s="168">
        <v>0</v>
      </c>
      <c r="F109" s="385"/>
      <c r="G109" s="385"/>
      <c r="H109" s="385"/>
      <c r="I109" s="385"/>
      <c r="J109" s="338">
        <f>SUM(I104:J108)</f>
        <v>0</v>
      </c>
    </row>
    <row r="110" spans="1:10" s="384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5"/>
      <c r="G110" s="123"/>
      <c r="H110" s="7"/>
      <c r="I110" s="7"/>
      <c r="J110" s="7"/>
    </row>
    <row r="111" spans="1:10" s="384" customFormat="1" ht="15.75" hidden="1">
      <c r="A111" s="141" t="s">
        <v>105</v>
      </c>
      <c r="B111" s="95"/>
      <c r="C111" s="206"/>
      <c r="D111" s="121"/>
      <c r="E111" s="226">
        <v>0</v>
      </c>
      <c r="F111" s="385"/>
      <c r="G111" s="123"/>
      <c r="H111" s="7"/>
      <c r="I111" s="12"/>
      <c r="J111" s="12"/>
    </row>
    <row r="112" spans="1:10" s="384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5"/>
      <c r="G112" s="123"/>
      <c r="H112" s="7"/>
      <c r="I112" s="7"/>
      <c r="J112" s="8"/>
    </row>
    <row r="113" spans="1:10" s="384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5"/>
      <c r="G113" s="11"/>
      <c r="H113" s="7"/>
      <c r="I113" s="8"/>
      <c r="J113" s="7"/>
    </row>
    <row r="114" spans="1:10" s="384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5"/>
      <c r="G114" s="65" t="s">
        <v>158</v>
      </c>
      <c r="H114" s="7"/>
      <c r="I114" s="7"/>
      <c r="J114" s="7"/>
    </row>
    <row r="115" spans="1:10" s="384" customFormat="1" ht="16.5" hidden="1" thickTop="1">
      <c r="A115" s="385"/>
      <c r="B115" s="385"/>
      <c r="C115" s="385"/>
      <c r="D115" s="142" t="s">
        <v>87</v>
      </c>
      <c r="E115" s="50">
        <f>E114+E96</f>
        <v>-1205190.8009259077</v>
      </c>
      <c r="F115" s="385"/>
      <c r="G115" s="8">
        <f>(E96*(D116/12))+(E114*(D116/24))</f>
        <v>-4075.4331248743338</v>
      </c>
      <c r="H115" s="450"/>
      <c r="I115" s="450"/>
      <c r="J115" s="7"/>
    </row>
    <row r="116" spans="1:10" s="384" customFormat="1" ht="15.75" hidden="1">
      <c r="A116" s="385"/>
      <c r="B116" s="385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5"/>
      <c r="G116" s="8"/>
      <c r="H116" s="7"/>
      <c r="I116" s="12"/>
      <c r="J116" s="12"/>
    </row>
    <row r="117" spans="1:10" s="384" customFormat="1" ht="15.75" hidden="1">
      <c r="A117" s="385"/>
      <c r="B117" s="385"/>
      <c r="C117" s="50" t="s">
        <v>1</v>
      </c>
      <c r="D117" s="90">
        <f>A99</f>
        <v>41364</v>
      </c>
      <c r="E117" s="50">
        <f>SUM(E115:E116)</f>
        <v>-1209266.2309259076</v>
      </c>
      <c r="F117" s="385"/>
      <c r="G117" s="246"/>
    </row>
    <row r="118" spans="1:10" s="384" customFormat="1" ht="15.75" hidden="1" thickBot="1"/>
    <row r="119" spans="1:10" s="384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4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4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5"/>
      <c r="G121" s="385"/>
      <c r="H121" s="385"/>
      <c r="I121" s="385"/>
      <c r="J121" s="385"/>
    </row>
    <row r="122" spans="1:10" s="384" customFormat="1" ht="15.75" hidden="1">
      <c r="A122" s="50" t="s">
        <v>24</v>
      </c>
      <c r="B122" s="95">
        <v>101</v>
      </c>
      <c r="C122" s="206">
        <v>8689955</v>
      </c>
      <c r="D122" s="389">
        <v>3.3950000000000001E-2</v>
      </c>
      <c r="E122" s="168">
        <v>295023.97224999999</v>
      </c>
      <c r="F122" s="385"/>
      <c r="G122" s="385"/>
      <c r="H122" s="385"/>
      <c r="I122" s="385"/>
      <c r="J122" s="385"/>
    </row>
    <row r="123" spans="1:10" s="384" customFormat="1" ht="16.5" hidden="1" thickBot="1">
      <c r="A123" s="50" t="s">
        <v>24</v>
      </c>
      <c r="B123" s="95">
        <v>111</v>
      </c>
      <c r="C123" s="206">
        <v>3665435</v>
      </c>
      <c r="D123" s="389">
        <v>3.0599999999999999E-2</v>
      </c>
      <c r="E123" s="168">
        <v>112162.311</v>
      </c>
      <c r="F123" s="385"/>
      <c r="G123" s="123">
        <f>A120</f>
        <v>41394</v>
      </c>
      <c r="H123" s="385"/>
      <c r="I123" s="385"/>
      <c r="J123" s="385"/>
    </row>
    <row r="124" spans="1:10" s="384" customFormat="1" ht="16.5" hidden="1" thickBot="1">
      <c r="A124" s="50" t="s">
        <v>24</v>
      </c>
      <c r="B124" s="95">
        <v>112</v>
      </c>
      <c r="C124" s="206">
        <v>0</v>
      </c>
      <c r="D124" s="389"/>
      <c r="E124" s="168">
        <v>0</v>
      </c>
      <c r="F124" s="385"/>
      <c r="G124" s="113" t="s">
        <v>25</v>
      </c>
      <c r="H124" s="205"/>
      <c r="I124" s="126" t="s">
        <v>18</v>
      </c>
      <c r="J124" s="126" t="s">
        <v>19</v>
      </c>
    </row>
    <row r="125" spans="1:10" s="384" customFormat="1" ht="15.75" hidden="1">
      <c r="A125" s="50" t="s">
        <v>24</v>
      </c>
      <c r="B125" s="95">
        <v>121</v>
      </c>
      <c r="C125" s="206">
        <v>375679</v>
      </c>
      <c r="D125" s="389">
        <v>2.998E-2</v>
      </c>
      <c r="E125" s="168">
        <v>11262.85642</v>
      </c>
      <c r="F125" s="385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4" customFormat="1" ht="15.75" hidden="1">
      <c r="A126" s="50" t="s">
        <v>24</v>
      </c>
      <c r="B126" s="95">
        <v>122</v>
      </c>
      <c r="C126" s="206">
        <v>0</v>
      </c>
      <c r="D126" s="389"/>
      <c r="E126" s="168">
        <v>0</v>
      </c>
      <c r="F126" s="385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4" customFormat="1" ht="15.75" hidden="1">
      <c r="A127" s="50" t="s">
        <v>24</v>
      </c>
      <c r="B127" s="95">
        <v>131</v>
      </c>
      <c r="C127" s="206">
        <v>0</v>
      </c>
      <c r="D127" s="389">
        <v>5.7389999999999997E-2</v>
      </c>
      <c r="E127" s="168">
        <v>0</v>
      </c>
      <c r="F127" s="385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4" customFormat="1" ht="15.75" hidden="1">
      <c r="A128" s="50" t="s">
        <v>24</v>
      </c>
      <c r="B128" s="95">
        <v>132</v>
      </c>
      <c r="C128" s="206">
        <v>0</v>
      </c>
      <c r="D128" s="389"/>
      <c r="E128" s="168">
        <v>0</v>
      </c>
      <c r="F128" s="385"/>
      <c r="G128" s="153" t="s">
        <v>10</v>
      </c>
      <c r="H128" s="7" t="s">
        <v>17</v>
      </c>
      <c r="I128" s="7">
        <v>0</v>
      </c>
      <c r="J128" s="98"/>
    </row>
    <row r="129" spans="1:10" s="384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5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4" customFormat="1" ht="15.75" hidden="1">
      <c r="A130" s="50" t="s">
        <v>151</v>
      </c>
      <c r="B130" s="95"/>
      <c r="C130" s="206"/>
      <c r="D130" s="121"/>
      <c r="E130" s="168">
        <v>0</v>
      </c>
      <c r="F130" s="385"/>
      <c r="G130" s="385"/>
      <c r="H130" s="385"/>
      <c r="I130" s="385"/>
      <c r="J130" s="338">
        <f>SUM(I125:J129)</f>
        <v>0</v>
      </c>
    </row>
    <row r="131" spans="1:10" s="384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5"/>
      <c r="G131" s="123"/>
      <c r="H131" s="7"/>
      <c r="I131" s="7"/>
      <c r="J131" s="7"/>
    </row>
    <row r="132" spans="1:10" s="384" customFormat="1" ht="15.75" hidden="1">
      <c r="A132" s="141" t="s">
        <v>105</v>
      </c>
      <c r="B132" s="95"/>
      <c r="C132" s="206"/>
      <c r="D132" s="121"/>
      <c r="E132" s="226">
        <v>0</v>
      </c>
      <c r="F132" s="385"/>
      <c r="G132" s="123"/>
      <c r="H132" s="7"/>
      <c r="I132" s="12"/>
      <c r="J132" s="12"/>
    </row>
    <row r="133" spans="1:10" s="384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5"/>
      <c r="G133" s="123"/>
      <c r="H133" s="7"/>
      <c r="I133" s="7"/>
      <c r="J133" s="8"/>
    </row>
    <row r="134" spans="1:10" s="384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5"/>
      <c r="G134" s="11"/>
      <c r="H134" s="7"/>
      <c r="I134" s="8"/>
      <c r="J134" s="7"/>
    </row>
    <row r="135" spans="1:10" s="384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5"/>
      <c r="G135" s="65" t="s">
        <v>158</v>
      </c>
      <c r="H135" s="7"/>
      <c r="I135" s="7"/>
      <c r="J135" s="7"/>
    </row>
    <row r="136" spans="1:10" s="384" customFormat="1" ht="16.5" hidden="1" thickTop="1">
      <c r="A136" s="385"/>
      <c r="B136" s="385"/>
      <c r="C136" s="385"/>
      <c r="D136" s="142" t="s">
        <v>87</v>
      </c>
      <c r="E136" s="50">
        <f>E135+E117</f>
        <v>-790817.09125590767</v>
      </c>
      <c r="F136" s="385"/>
      <c r="G136" s="8">
        <f>(E117*(D137/12))+(E135*(D137/24))</f>
        <v>-2708.4461654545416</v>
      </c>
      <c r="H136" s="451"/>
      <c r="I136" s="451"/>
      <c r="J136" s="7"/>
    </row>
    <row r="137" spans="1:10" s="384" customFormat="1" ht="15.75" hidden="1">
      <c r="A137" s="385"/>
      <c r="B137" s="385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5"/>
      <c r="G137" s="8"/>
      <c r="H137" s="7"/>
      <c r="I137" s="12"/>
      <c r="J137" s="12"/>
    </row>
    <row r="138" spans="1:10" s="384" customFormat="1" ht="15.75" hidden="1">
      <c r="A138" s="385"/>
      <c r="B138" s="385"/>
      <c r="C138" s="50" t="s">
        <v>1</v>
      </c>
      <c r="D138" s="90">
        <f>A120</f>
        <v>41394</v>
      </c>
      <c r="E138" s="50">
        <f>SUM(E136:E137)</f>
        <v>-793525.54125590762</v>
      </c>
      <c r="F138" s="385"/>
      <c r="G138" s="385"/>
    </row>
    <row r="139" spans="1:10" s="384" customFormat="1" ht="15.75" hidden="1" thickBot="1"/>
    <row r="140" spans="1:10" s="384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4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4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5"/>
      <c r="G142" s="385"/>
      <c r="H142" s="385"/>
      <c r="I142" s="385"/>
      <c r="J142" s="385"/>
    </row>
    <row r="143" spans="1:10" s="384" customFormat="1" ht="15.75" hidden="1">
      <c r="A143" s="50" t="s">
        <v>24</v>
      </c>
      <c r="B143" s="95">
        <v>101</v>
      </c>
      <c r="C143" s="206">
        <v>4182901</v>
      </c>
      <c r="D143" s="389">
        <v>3.3950000000000001E-2</v>
      </c>
      <c r="E143" s="168">
        <v>142009.48895</v>
      </c>
      <c r="F143" s="385"/>
      <c r="G143" s="385"/>
      <c r="H143" s="385"/>
      <c r="I143" s="385"/>
      <c r="J143" s="385"/>
    </row>
    <row r="144" spans="1:10" s="384" customFormat="1" ht="16.5" hidden="1" thickBot="1">
      <c r="A144" s="50" t="s">
        <v>24</v>
      </c>
      <c r="B144" s="95">
        <v>111</v>
      </c>
      <c r="C144" s="206">
        <v>1970725</v>
      </c>
      <c r="D144" s="389">
        <v>3.0599999999999999E-2</v>
      </c>
      <c r="E144" s="168">
        <v>60304.184999999998</v>
      </c>
      <c r="F144" s="385"/>
      <c r="G144" s="123">
        <f>A141</f>
        <v>41425</v>
      </c>
      <c r="H144" s="385"/>
      <c r="I144" s="385"/>
      <c r="J144" s="385"/>
    </row>
    <row r="145" spans="1:10" s="384" customFormat="1" ht="16.5" hidden="1" thickBot="1">
      <c r="A145" s="50" t="s">
        <v>24</v>
      </c>
      <c r="B145" s="95">
        <v>112</v>
      </c>
      <c r="C145" s="206">
        <v>0</v>
      </c>
      <c r="D145" s="389"/>
      <c r="E145" s="168">
        <v>0</v>
      </c>
      <c r="F145" s="385"/>
      <c r="G145" s="113" t="s">
        <v>25</v>
      </c>
      <c r="H145" s="205"/>
      <c r="I145" s="126" t="s">
        <v>18</v>
      </c>
      <c r="J145" s="126" t="s">
        <v>19</v>
      </c>
    </row>
    <row r="146" spans="1:10" s="384" customFormat="1" ht="15.75" hidden="1">
      <c r="A146" s="50" t="s">
        <v>24</v>
      </c>
      <c r="B146" s="95">
        <v>121</v>
      </c>
      <c r="C146" s="206">
        <v>339319</v>
      </c>
      <c r="D146" s="389">
        <v>2.998E-2</v>
      </c>
      <c r="E146" s="168">
        <v>10172.78362</v>
      </c>
      <c r="F146" s="385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4" customFormat="1" ht="15.75" hidden="1">
      <c r="A147" s="50" t="s">
        <v>24</v>
      </c>
      <c r="B147" s="95">
        <v>122</v>
      </c>
      <c r="C147" s="206">
        <v>0</v>
      </c>
      <c r="D147" s="389"/>
      <c r="E147" s="168">
        <v>0</v>
      </c>
      <c r="F147" s="385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4" customFormat="1" ht="15.75" hidden="1">
      <c r="A148" s="50" t="s">
        <v>24</v>
      </c>
      <c r="B148" s="95">
        <v>131</v>
      </c>
      <c r="C148" s="206">
        <v>0</v>
      </c>
      <c r="D148" s="389">
        <v>5.7389999999999997E-2</v>
      </c>
      <c r="E148" s="168">
        <v>0</v>
      </c>
      <c r="F148" s="385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4" customFormat="1" ht="15.75" hidden="1">
      <c r="A149" s="50" t="s">
        <v>24</v>
      </c>
      <c r="B149" s="95">
        <v>132</v>
      </c>
      <c r="C149" s="206">
        <v>0</v>
      </c>
      <c r="D149" s="389"/>
      <c r="E149" s="168">
        <v>0</v>
      </c>
      <c r="F149" s="385"/>
      <c r="G149" s="153" t="s">
        <v>10</v>
      </c>
      <c r="H149" s="7" t="s">
        <v>17</v>
      </c>
      <c r="I149" s="7">
        <v>0</v>
      </c>
      <c r="J149" s="98"/>
    </row>
    <row r="150" spans="1:10" s="384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5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4" customFormat="1" ht="15.75" hidden="1">
      <c r="A151" s="50" t="s">
        <v>151</v>
      </c>
      <c r="B151" s="95"/>
      <c r="C151" s="206"/>
      <c r="D151" s="121"/>
      <c r="E151" s="168">
        <v>0</v>
      </c>
      <c r="F151" s="385"/>
      <c r="G151" s="385"/>
      <c r="H151" s="385"/>
      <c r="I151" s="385"/>
      <c r="J151" s="338">
        <f>SUM(I146:J150)</f>
        <v>0</v>
      </c>
    </row>
    <row r="152" spans="1:10" s="384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5"/>
      <c r="G152" s="123"/>
      <c r="H152" s="7"/>
      <c r="I152" s="7"/>
      <c r="J152" s="7"/>
    </row>
    <row r="153" spans="1:10" s="384" customFormat="1" ht="15.75" hidden="1">
      <c r="A153" s="141" t="s">
        <v>105</v>
      </c>
      <c r="B153" s="95"/>
      <c r="C153" s="206"/>
      <c r="D153" s="121"/>
      <c r="E153" s="226">
        <v>0</v>
      </c>
      <c r="F153" s="385"/>
      <c r="G153" s="123"/>
      <c r="H153" s="7"/>
      <c r="I153" s="12"/>
      <c r="J153" s="12"/>
    </row>
    <row r="154" spans="1:10" s="384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5"/>
      <c r="G154" s="123"/>
      <c r="H154" s="7"/>
      <c r="I154" s="7"/>
      <c r="J154" s="8"/>
    </row>
    <row r="155" spans="1:10" s="384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5"/>
      <c r="G155" s="11"/>
      <c r="H155" s="7"/>
      <c r="I155" s="8"/>
      <c r="J155" s="7"/>
    </row>
    <row r="156" spans="1:10" s="384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5"/>
      <c r="G156" s="65" t="s">
        <v>158</v>
      </c>
      <c r="H156" s="7"/>
      <c r="I156" s="7"/>
      <c r="J156" s="7"/>
    </row>
    <row r="157" spans="1:10" s="384" customFormat="1" ht="16.5" hidden="1" thickTop="1">
      <c r="A157" s="385"/>
      <c r="B157" s="385"/>
      <c r="C157" s="385"/>
      <c r="D157" s="142" t="s">
        <v>87</v>
      </c>
      <c r="E157" s="50">
        <f>E156+E138</f>
        <v>-581039.08368590765</v>
      </c>
      <c r="F157" s="385"/>
      <c r="G157" s="8">
        <f>(E138*(D158/12))+(E156*(D158/24))</f>
        <v>-1861.389596275375</v>
      </c>
      <c r="H157" s="453"/>
      <c r="I157" s="453"/>
      <c r="J157" s="7"/>
    </row>
    <row r="158" spans="1:10" s="384" customFormat="1" ht="15.75" hidden="1">
      <c r="A158" s="385"/>
      <c r="B158" s="385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5"/>
      <c r="G158" s="8"/>
      <c r="H158" s="7"/>
      <c r="I158" s="12"/>
      <c r="J158" s="12"/>
    </row>
    <row r="159" spans="1:10" s="384" customFormat="1" ht="15.75" hidden="1">
      <c r="A159" s="385"/>
      <c r="B159" s="385"/>
      <c r="C159" s="50" t="s">
        <v>1</v>
      </c>
      <c r="D159" s="90">
        <f>A141</f>
        <v>41425</v>
      </c>
      <c r="E159" s="50">
        <f>SUM(E157:E158)</f>
        <v>-582900.47368590767</v>
      </c>
      <c r="F159" s="385"/>
      <c r="G159" s="246"/>
    </row>
    <row r="160" spans="1:10" s="384" customFormat="1" ht="15.75" hidden="1" thickBot="1"/>
    <row r="161" spans="1:10" s="384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4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4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5"/>
      <c r="G163" s="385"/>
      <c r="H163" s="385"/>
      <c r="I163" s="385"/>
      <c r="J163" s="385"/>
    </row>
    <row r="164" spans="1:10" s="384" customFormat="1" ht="15.75" hidden="1">
      <c r="A164" s="50" t="s">
        <v>24</v>
      </c>
      <c r="B164" s="95">
        <v>101</v>
      </c>
      <c r="C164" s="206">
        <v>2800295</v>
      </c>
      <c r="D164" s="389">
        <v>3.3950000000000001E-2</v>
      </c>
      <c r="E164" s="168">
        <v>95070.015249999997</v>
      </c>
      <c r="F164" s="385"/>
      <c r="G164" s="385"/>
      <c r="H164" s="385"/>
      <c r="I164" s="385"/>
      <c r="J164" s="385"/>
    </row>
    <row r="165" spans="1:10" s="384" customFormat="1" ht="16.5" hidden="1" thickBot="1">
      <c r="A165" s="50" t="s">
        <v>24</v>
      </c>
      <c r="B165" s="95">
        <v>111</v>
      </c>
      <c r="C165" s="206">
        <v>1678252</v>
      </c>
      <c r="D165" s="389">
        <v>3.0599999999999999E-2</v>
      </c>
      <c r="E165" s="168">
        <v>51354.511200000001</v>
      </c>
      <c r="F165" s="385"/>
      <c r="G165" s="123">
        <f>A162</f>
        <v>41426</v>
      </c>
      <c r="H165" s="385"/>
      <c r="I165" s="385"/>
      <c r="J165" s="385"/>
    </row>
    <row r="166" spans="1:10" s="384" customFormat="1" ht="16.5" hidden="1" thickBot="1">
      <c r="A166" s="50" t="s">
        <v>24</v>
      </c>
      <c r="B166" s="95">
        <v>112</v>
      </c>
      <c r="C166" s="206">
        <v>0</v>
      </c>
      <c r="D166" s="389"/>
      <c r="E166" s="168">
        <v>0</v>
      </c>
      <c r="F166" s="385"/>
      <c r="G166" s="113" t="s">
        <v>25</v>
      </c>
      <c r="H166" s="205"/>
      <c r="I166" s="126" t="s">
        <v>18</v>
      </c>
      <c r="J166" s="126" t="s">
        <v>19</v>
      </c>
    </row>
    <row r="167" spans="1:10" s="384" customFormat="1" ht="15.75" hidden="1">
      <c r="A167" s="50" t="s">
        <v>24</v>
      </c>
      <c r="B167" s="95">
        <v>121</v>
      </c>
      <c r="C167" s="206">
        <v>339158</v>
      </c>
      <c r="D167" s="389">
        <v>2.998E-2</v>
      </c>
      <c r="E167" s="168">
        <v>10167.956840000001</v>
      </c>
      <c r="F167" s="385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4" customFormat="1" ht="15.75" hidden="1">
      <c r="A168" s="50" t="s">
        <v>24</v>
      </c>
      <c r="B168" s="95">
        <v>122</v>
      </c>
      <c r="C168" s="206">
        <v>0</v>
      </c>
      <c r="D168" s="389"/>
      <c r="E168" s="168">
        <v>0</v>
      </c>
      <c r="F168" s="385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4" customFormat="1" ht="15.75" hidden="1">
      <c r="A169" s="50" t="s">
        <v>24</v>
      </c>
      <c r="B169" s="95">
        <v>131</v>
      </c>
      <c r="C169" s="206">
        <v>0</v>
      </c>
      <c r="D169" s="389">
        <v>5.7389999999999997E-2</v>
      </c>
      <c r="E169" s="168">
        <v>0</v>
      </c>
      <c r="F169" s="385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4" customFormat="1" ht="15.75" hidden="1">
      <c r="A170" s="50" t="s">
        <v>24</v>
      </c>
      <c r="B170" s="95">
        <v>132</v>
      </c>
      <c r="C170" s="206">
        <v>0</v>
      </c>
      <c r="D170" s="389"/>
      <c r="E170" s="168">
        <v>0</v>
      </c>
      <c r="F170" s="385"/>
      <c r="G170" s="153" t="s">
        <v>10</v>
      </c>
      <c r="H170" s="7" t="s">
        <v>17</v>
      </c>
      <c r="I170" s="7">
        <v>0</v>
      </c>
      <c r="J170" s="98"/>
    </row>
    <row r="171" spans="1:10" s="384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5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4" customFormat="1" ht="15.75" hidden="1">
      <c r="A172" s="50" t="s">
        <v>151</v>
      </c>
      <c r="B172" s="95"/>
      <c r="C172" s="206"/>
      <c r="D172" s="121"/>
      <c r="E172" s="168">
        <v>0</v>
      </c>
      <c r="F172" s="385"/>
      <c r="G172" s="385"/>
      <c r="H172" s="385"/>
      <c r="I172" s="385"/>
      <c r="J172" s="338">
        <f>SUM(I167:J171)</f>
        <v>0</v>
      </c>
    </row>
    <row r="173" spans="1:10" s="384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5"/>
      <c r="G173" s="123"/>
      <c r="H173" s="7"/>
      <c r="I173" s="7"/>
      <c r="J173" s="7"/>
    </row>
    <row r="174" spans="1:10" s="384" customFormat="1" ht="15.75" hidden="1">
      <c r="A174" s="141" t="s">
        <v>105</v>
      </c>
      <c r="B174" s="95"/>
      <c r="C174" s="206"/>
      <c r="D174" s="121"/>
      <c r="E174" s="226">
        <v>0</v>
      </c>
      <c r="F174" s="385"/>
      <c r="G174" s="123"/>
      <c r="H174" s="7"/>
      <c r="I174" s="12"/>
      <c r="J174" s="12"/>
    </row>
    <row r="175" spans="1:10" s="384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5"/>
      <c r="G175" s="123"/>
      <c r="H175" s="7"/>
      <c r="I175" s="7"/>
      <c r="J175" s="8"/>
    </row>
    <row r="176" spans="1:10" s="384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5"/>
      <c r="G176" s="11"/>
      <c r="H176" s="7"/>
      <c r="I176" s="8"/>
      <c r="J176" s="7"/>
    </row>
    <row r="177" spans="1:10" s="384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5"/>
      <c r="G177" s="65" t="s">
        <v>158</v>
      </c>
      <c r="H177" s="7"/>
      <c r="I177" s="7"/>
      <c r="J177" s="7"/>
    </row>
    <row r="178" spans="1:10" s="384" customFormat="1" ht="16.5" hidden="1" thickTop="1">
      <c r="A178" s="385"/>
      <c r="B178" s="385"/>
      <c r="C178" s="385"/>
      <c r="D178" s="142" t="s">
        <v>87</v>
      </c>
      <c r="E178" s="50">
        <f>E177+E159</f>
        <v>-426307.99039590766</v>
      </c>
      <c r="F178" s="385"/>
      <c r="G178" s="8">
        <f>(E159*(D179/12))+(E177*(D179/24))</f>
        <v>-1366.6364617774584</v>
      </c>
      <c r="H178" s="454"/>
      <c r="I178" s="454"/>
      <c r="J178" s="7"/>
    </row>
    <row r="179" spans="1:10" s="384" customFormat="1" ht="15.75" hidden="1">
      <c r="A179" s="385"/>
      <c r="B179" s="385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5"/>
      <c r="G179" s="8"/>
      <c r="H179" s="7"/>
      <c r="I179" s="12"/>
      <c r="J179" s="12"/>
    </row>
    <row r="180" spans="1:10" s="384" customFormat="1" ht="15.75" hidden="1">
      <c r="A180" s="385"/>
      <c r="B180" s="385"/>
      <c r="C180" s="50" t="s">
        <v>1</v>
      </c>
      <c r="D180" s="90">
        <v>41455</v>
      </c>
      <c r="E180" s="50">
        <f>SUM(E178:E179)</f>
        <v>-427674.63039590768</v>
      </c>
      <c r="F180" s="385"/>
      <c r="G180" s="246"/>
    </row>
    <row r="181" spans="1:10" s="384" customFormat="1" ht="15.75" hidden="1" thickBot="1"/>
    <row r="182" spans="1:10" s="384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4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4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5"/>
      <c r="G184" s="385"/>
      <c r="H184" s="385"/>
      <c r="I184" s="385"/>
      <c r="J184" s="385"/>
    </row>
    <row r="185" spans="1:10" s="384" customFormat="1" ht="15.75" hidden="1">
      <c r="A185" s="50" t="s">
        <v>24</v>
      </c>
      <c r="B185" s="95">
        <v>101</v>
      </c>
      <c r="C185" s="206">
        <v>2082299</v>
      </c>
      <c r="D185" s="389">
        <v>3.3950000000000001E-2</v>
      </c>
      <c r="E185" s="168">
        <v>70694.051050000009</v>
      </c>
      <c r="F185" s="385"/>
      <c r="G185" s="385"/>
      <c r="H185" s="385"/>
      <c r="I185" s="385"/>
      <c r="J185" s="385"/>
    </row>
    <row r="186" spans="1:10" s="384" customFormat="1" ht="16.5" hidden="1" thickBot="1">
      <c r="A186" s="50" t="s">
        <v>24</v>
      </c>
      <c r="B186" s="95">
        <v>111</v>
      </c>
      <c r="C186" s="206">
        <v>1140112</v>
      </c>
      <c r="D186" s="389">
        <v>3.0599999999999999E-2</v>
      </c>
      <c r="E186" s="168">
        <v>34887.427199999998</v>
      </c>
      <c r="F186" s="385"/>
      <c r="G186" s="123">
        <f>A183</f>
        <v>41456</v>
      </c>
      <c r="H186" s="385"/>
      <c r="I186" s="385"/>
      <c r="J186" s="385"/>
    </row>
    <row r="187" spans="1:10" s="384" customFormat="1" ht="16.5" hidden="1" thickBot="1">
      <c r="A187" s="50" t="s">
        <v>24</v>
      </c>
      <c r="B187" s="95">
        <v>112</v>
      </c>
      <c r="C187" s="206">
        <v>0</v>
      </c>
      <c r="D187" s="389"/>
      <c r="E187" s="168">
        <v>0</v>
      </c>
      <c r="F187" s="385"/>
      <c r="G187" s="113" t="s">
        <v>25</v>
      </c>
      <c r="H187" s="205"/>
      <c r="I187" s="126" t="s">
        <v>18</v>
      </c>
      <c r="J187" s="126" t="s">
        <v>19</v>
      </c>
    </row>
    <row r="188" spans="1:10" s="384" customFormat="1" ht="15.75" hidden="1">
      <c r="A188" s="50" t="s">
        <v>24</v>
      </c>
      <c r="B188" s="95">
        <v>121</v>
      </c>
      <c r="C188" s="206">
        <v>304732</v>
      </c>
      <c r="D188" s="389">
        <v>2.998E-2</v>
      </c>
      <c r="E188" s="168">
        <v>9135.8653599999998</v>
      </c>
      <c r="F188" s="385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4" customFormat="1" ht="15.75" hidden="1">
      <c r="A189" s="50" t="s">
        <v>24</v>
      </c>
      <c r="B189" s="95">
        <v>122</v>
      </c>
      <c r="C189" s="206">
        <v>0</v>
      </c>
      <c r="D189" s="389"/>
      <c r="E189" s="168">
        <v>0</v>
      </c>
      <c r="F189" s="385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4" customFormat="1" ht="15.75" hidden="1">
      <c r="A190" s="50" t="s">
        <v>24</v>
      </c>
      <c r="B190" s="95">
        <v>131</v>
      </c>
      <c r="C190" s="206">
        <v>0</v>
      </c>
      <c r="D190" s="389">
        <v>5.7389999999999997E-2</v>
      </c>
      <c r="E190" s="168">
        <v>0</v>
      </c>
      <c r="F190" s="385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4" customFormat="1" ht="15.75" hidden="1">
      <c r="A191" s="50" t="s">
        <v>24</v>
      </c>
      <c r="B191" s="95">
        <v>132</v>
      </c>
      <c r="C191" s="206">
        <v>0</v>
      </c>
      <c r="D191" s="389"/>
      <c r="E191" s="168">
        <v>0</v>
      </c>
      <c r="F191" s="385"/>
      <c r="G191" s="153" t="s">
        <v>10</v>
      </c>
      <c r="H191" s="7" t="s">
        <v>17</v>
      </c>
      <c r="I191" s="7">
        <v>0</v>
      </c>
      <c r="J191" s="98"/>
    </row>
    <row r="192" spans="1:10" s="384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5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4" customFormat="1" ht="15.75" hidden="1">
      <c r="A193" s="50" t="s">
        <v>151</v>
      </c>
      <c r="B193" s="95"/>
      <c r="C193" s="206"/>
      <c r="D193" s="121"/>
      <c r="E193" s="168">
        <v>0</v>
      </c>
      <c r="F193" s="385"/>
      <c r="G193" s="385"/>
      <c r="H193" s="385"/>
      <c r="I193" s="385"/>
      <c r="J193" s="338">
        <f>SUM(I188:J192)</f>
        <v>0</v>
      </c>
    </row>
    <row r="194" spans="1:10" s="384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5"/>
      <c r="G194" s="123"/>
      <c r="H194" s="7"/>
      <c r="I194" s="7"/>
      <c r="J194" s="7"/>
    </row>
    <row r="195" spans="1:10" s="384" customFormat="1" ht="15.75" hidden="1">
      <c r="A195" s="141" t="s">
        <v>105</v>
      </c>
      <c r="B195" s="95"/>
      <c r="C195" s="206"/>
      <c r="D195" s="121"/>
      <c r="E195" s="226">
        <v>0</v>
      </c>
      <c r="F195" s="385"/>
      <c r="G195" s="123"/>
      <c r="H195" s="7"/>
      <c r="I195" s="12"/>
      <c r="J195" s="12"/>
    </row>
    <row r="196" spans="1:10" s="384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5"/>
      <c r="G196" s="123"/>
      <c r="H196" s="7"/>
      <c r="I196" s="7"/>
      <c r="J196" s="8"/>
    </row>
    <row r="197" spans="1:10" s="384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5"/>
      <c r="G197" s="11"/>
      <c r="H197" s="7"/>
      <c r="I197" s="8"/>
      <c r="J197" s="7"/>
    </row>
    <row r="198" spans="1:10" s="384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5"/>
      <c r="G198" s="65" t="s">
        <v>158</v>
      </c>
      <c r="H198" s="7"/>
      <c r="I198" s="7"/>
      <c r="J198" s="7"/>
    </row>
    <row r="199" spans="1:10" s="384" customFormat="1" ht="16.5" hidden="1" thickTop="1">
      <c r="A199" s="385"/>
      <c r="B199" s="385"/>
      <c r="C199" s="385"/>
      <c r="D199" s="142" t="s">
        <v>87</v>
      </c>
      <c r="E199" s="50">
        <f>E198+E180</f>
        <v>-312957.28678590769</v>
      </c>
      <c r="F199" s="385"/>
      <c r="G199" s="8">
        <f>(E180*(D200/12))+(E198*(D200/24))</f>
        <v>-1002.9390545170418</v>
      </c>
      <c r="H199" s="455"/>
      <c r="I199" s="455"/>
      <c r="J199" s="7"/>
    </row>
    <row r="200" spans="1:10" s="384" customFormat="1" ht="15.75" hidden="1">
      <c r="A200" s="385"/>
      <c r="B200" s="385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5"/>
      <c r="G200" s="8"/>
      <c r="H200" s="7"/>
      <c r="I200" s="12"/>
      <c r="J200" s="12"/>
    </row>
    <row r="201" spans="1:10" s="384" customFormat="1" ht="15.75" hidden="1">
      <c r="A201" s="385"/>
      <c r="B201" s="385"/>
      <c r="C201" s="50" t="s">
        <v>1</v>
      </c>
      <c r="D201" s="90">
        <f>A183</f>
        <v>41456</v>
      </c>
      <c r="E201" s="50">
        <f>SUM(E199:E200)</f>
        <v>-313960.2267859077</v>
      </c>
      <c r="F201" s="385"/>
      <c r="G201" s="246"/>
    </row>
    <row r="202" spans="1:10" ht="15.75" hidden="1" thickBot="1"/>
    <row r="203" spans="1:10" s="384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4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4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5"/>
      <c r="G205" s="385"/>
      <c r="H205" s="385"/>
      <c r="I205" s="385"/>
      <c r="J205" s="385"/>
    </row>
    <row r="206" spans="1:10" s="384" customFormat="1" ht="15.75" hidden="1">
      <c r="A206" s="50" t="s">
        <v>24</v>
      </c>
      <c r="B206" s="95">
        <v>101</v>
      </c>
      <c r="C206" s="206">
        <v>2046635</v>
      </c>
      <c r="D206" s="389">
        <v>3.3950000000000001E-2</v>
      </c>
      <c r="E206" s="168">
        <v>69483.258249999999</v>
      </c>
      <c r="F206" s="385"/>
      <c r="G206" s="385"/>
      <c r="H206" s="385"/>
      <c r="I206" s="385"/>
      <c r="J206" s="385"/>
    </row>
    <row r="207" spans="1:10" s="384" customFormat="1" ht="16.5" hidden="1" thickBot="1">
      <c r="A207" s="50" t="s">
        <v>24</v>
      </c>
      <c r="B207" s="95">
        <v>111</v>
      </c>
      <c r="C207" s="206">
        <v>1287109</v>
      </c>
      <c r="D207" s="389">
        <v>3.0599999999999999E-2</v>
      </c>
      <c r="E207" s="168">
        <v>39385.535400000001</v>
      </c>
      <c r="F207" s="385"/>
      <c r="G207" s="123">
        <f>A204</f>
        <v>41487</v>
      </c>
      <c r="H207" s="385"/>
      <c r="I207" s="385"/>
      <c r="J207" s="385"/>
    </row>
    <row r="208" spans="1:10" s="384" customFormat="1" ht="16.5" hidden="1" thickBot="1">
      <c r="A208" s="50" t="s">
        <v>24</v>
      </c>
      <c r="B208" s="95">
        <v>112</v>
      </c>
      <c r="C208" s="206">
        <v>0</v>
      </c>
      <c r="D208" s="389"/>
      <c r="E208" s="168">
        <v>0</v>
      </c>
      <c r="F208" s="385"/>
      <c r="G208" s="113" t="s">
        <v>25</v>
      </c>
      <c r="H208" s="205"/>
      <c r="I208" s="126" t="s">
        <v>18</v>
      </c>
      <c r="J208" s="126" t="s">
        <v>19</v>
      </c>
    </row>
    <row r="209" spans="1:10" s="384" customFormat="1" ht="15.75" hidden="1">
      <c r="A209" s="50" t="s">
        <v>24</v>
      </c>
      <c r="B209" s="95">
        <v>121</v>
      </c>
      <c r="C209" s="206">
        <v>364418</v>
      </c>
      <c r="D209" s="389">
        <v>2.998E-2</v>
      </c>
      <c r="E209" s="168">
        <v>10925.25164</v>
      </c>
      <c r="F209" s="385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4" customFormat="1" ht="15.75" hidden="1">
      <c r="A210" s="50" t="s">
        <v>24</v>
      </c>
      <c r="B210" s="95">
        <v>122</v>
      </c>
      <c r="C210" s="206">
        <v>0</v>
      </c>
      <c r="D210" s="389"/>
      <c r="E210" s="168">
        <v>0</v>
      </c>
      <c r="F210" s="385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4" customFormat="1" ht="15.75" hidden="1">
      <c r="A211" s="50" t="s">
        <v>24</v>
      </c>
      <c r="B211" s="95">
        <v>131</v>
      </c>
      <c r="C211" s="206">
        <v>0</v>
      </c>
      <c r="D211" s="389">
        <v>5.7389999999999997E-2</v>
      </c>
      <c r="E211" s="168">
        <v>0</v>
      </c>
      <c r="F211" s="385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4" customFormat="1" ht="15.75" hidden="1">
      <c r="A212" s="50" t="s">
        <v>24</v>
      </c>
      <c r="B212" s="95">
        <v>132</v>
      </c>
      <c r="C212" s="206">
        <v>0</v>
      </c>
      <c r="D212" s="389"/>
      <c r="E212" s="168">
        <v>0</v>
      </c>
      <c r="F212" s="385"/>
      <c r="G212" s="153" t="s">
        <v>10</v>
      </c>
      <c r="H212" s="7" t="s">
        <v>17</v>
      </c>
      <c r="I212" s="7">
        <v>0</v>
      </c>
      <c r="J212" s="98"/>
    </row>
    <row r="213" spans="1:10" s="384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5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4" customFormat="1" ht="15.75" hidden="1">
      <c r="A214" s="50" t="s">
        <v>151</v>
      </c>
      <c r="B214" s="95"/>
      <c r="C214" s="206"/>
      <c r="D214" s="121"/>
      <c r="E214" s="168">
        <v>0</v>
      </c>
      <c r="F214" s="385"/>
      <c r="G214" s="385"/>
      <c r="H214" s="385"/>
      <c r="I214" s="385"/>
      <c r="J214" s="338">
        <f>SUM(I209:J213)</f>
        <v>0</v>
      </c>
    </row>
    <row r="215" spans="1:10" s="384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5"/>
      <c r="G215" s="123"/>
      <c r="H215" s="7"/>
      <c r="I215" s="7"/>
      <c r="J215" s="7"/>
    </row>
    <row r="216" spans="1:10" s="384" customFormat="1" ht="15.75" hidden="1">
      <c r="A216" s="141" t="s">
        <v>105</v>
      </c>
      <c r="B216" s="95"/>
      <c r="C216" s="206"/>
      <c r="D216" s="121"/>
      <c r="E216" s="226">
        <v>0</v>
      </c>
      <c r="F216" s="385"/>
      <c r="G216" s="123"/>
      <c r="H216" s="7"/>
      <c r="I216" s="12"/>
      <c r="J216" s="12"/>
    </row>
    <row r="217" spans="1:10" s="384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5"/>
      <c r="G217" s="123"/>
      <c r="H217" s="7"/>
      <c r="I217" s="7"/>
      <c r="J217" s="8"/>
    </row>
    <row r="218" spans="1:10" s="384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5"/>
      <c r="G218" s="11"/>
      <c r="H218" s="7"/>
      <c r="I218" s="8"/>
      <c r="J218" s="7"/>
    </row>
    <row r="219" spans="1:10" s="384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5"/>
      <c r="G219" s="65" t="s">
        <v>158</v>
      </c>
      <c r="H219" s="7"/>
      <c r="I219" s="7"/>
      <c r="J219" s="7"/>
    </row>
    <row r="220" spans="1:10" s="384" customFormat="1" ht="16.5" hidden="1" thickTop="1">
      <c r="A220" s="385"/>
      <c r="B220" s="385"/>
      <c r="C220" s="385"/>
      <c r="D220" s="142" t="s">
        <v>87</v>
      </c>
      <c r="E220" s="50">
        <f>E219+E201</f>
        <v>-194166.18149590769</v>
      </c>
      <c r="F220" s="385"/>
      <c r="G220" s="8">
        <f>(E201*(D221/12))+(E219*(D221/24))</f>
        <v>-688.08784454829174</v>
      </c>
      <c r="H220" s="456"/>
      <c r="I220" s="456"/>
      <c r="J220" s="7"/>
    </row>
    <row r="221" spans="1:10" s="384" customFormat="1" ht="15.75" hidden="1">
      <c r="A221" s="385"/>
      <c r="B221" s="385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5"/>
      <c r="G221" s="8"/>
      <c r="H221" s="7"/>
      <c r="I221" s="12"/>
      <c r="J221" s="12"/>
    </row>
    <row r="222" spans="1:10" s="384" customFormat="1" ht="15.75">
      <c r="A222" s="385"/>
      <c r="B222" s="385"/>
      <c r="C222" s="50" t="s">
        <v>1</v>
      </c>
      <c r="D222" s="90">
        <f>A204</f>
        <v>41487</v>
      </c>
      <c r="E222" s="50">
        <f>SUM(E220:E221)</f>
        <v>-194854.27149590768</v>
      </c>
      <c r="F222" s="385"/>
      <c r="G222" s="246"/>
    </row>
    <row r="223" spans="1:10" ht="15.75" thickBot="1"/>
    <row r="224" spans="1:10" s="384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4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4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5"/>
      <c r="G226" s="385"/>
      <c r="H226" s="385"/>
      <c r="I226" s="385"/>
      <c r="J226" s="385"/>
    </row>
    <row r="227" spans="1:10" s="384" customFormat="1" ht="15.75">
      <c r="A227" s="50" t="s">
        <v>24</v>
      </c>
      <c r="B227" s="95">
        <v>101</v>
      </c>
      <c r="C227" s="206">
        <v>2647538</v>
      </c>
      <c r="D227" s="389">
        <v>3.3950000000000001E-2</v>
      </c>
      <c r="E227" s="168">
        <v>89883.915099999998</v>
      </c>
      <c r="F227" s="385"/>
      <c r="G227" s="385"/>
      <c r="H227" s="385"/>
      <c r="I227" s="385"/>
      <c r="J227" s="385"/>
    </row>
    <row r="228" spans="1:10" s="384" customFormat="1" ht="16.5" thickBot="1">
      <c r="A228" s="50" t="s">
        <v>24</v>
      </c>
      <c r="B228" s="95">
        <v>111</v>
      </c>
      <c r="C228" s="206">
        <v>1599551</v>
      </c>
      <c r="D228" s="389">
        <v>3.0599999999999999E-2</v>
      </c>
      <c r="E228" s="168">
        <v>48946.260600000001</v>
      </c>
      <c r="F228" s="385"/>
      <c r="G228" s="123">
        <f>A225</f>
        <v>41518</v>
      </c>
      <c r="H228" s="385"/>
      <c r="I228" s="385"/>
      <c r="J228" s="385"/>
    </row>
    <row r="229" spans="1:10" s="384" customFormat="1" ht="16.5" thickBot="1">
      <c r="A229" s="50" t="s">
        <v>24</v>
      </c>
      <c r="B229" s="95">
        <v>112</v>
      </c>
      <c r="C229" s="206">
        <v>0</v>
      </c>
      <c r="D229" s="389"/>
      <c r="E229" s="168">
        <v>0</v>
      </c>
      <c r="F229" s="385"/>
      <c r="G229" s="113" t="s">
        <v>25</v>
      </c>
      <c r="H229" s="205"/>
      <c r="I229" s="126" t="s">
        <v>18</v>
      </c>
      <c r="J229" s="126" t="s">
        <v>19</v>
      </c>
    </row>
    <row r="230" spans="1:10" s="384" customFormat="1" ht="15.75">
      <c r="A230" s="50" t="s">
        <v>24</v>
      </c>
      <c r="B230" s="95">
        <v>121</v>
      </c>
      <c r="C230" s="206">
        <v>344046</v>
      </c>
      <c r="D230" s="389">
        <v>2.998E-2</v>
      </c>
      <c r="E230" s="168">
        <v>10314.49908</v>
      </c>
      <c r="F230" s="385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4" customFormat="1" ht="15.75">
      <c r="A231" s="50" t="s">
        <v>24</v>
      </c>
      <c r="B231" s="95">
        <v>122</v>
      </c>
      <c r="C231" s="206">
        <v>0</v>
      </c>
      <c r="D231" s="389"/>
      <c r="E231" s="168">
        <v>0</v>
      </c>
      <c r="F231" s="385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4" customFormat="1" ht="15.75">
      <c r="A232" s="50" t="s">
        <v>24</v>
      </c>
      <c r="B232" s="95">
        <v>131</v>
      </c>
      <c r="C232" s="206">
        <v>0</v>
      </c>
      <c r="D232" s="389">
        <v>5.7389999999999997E-2</v>
      </c>
      <c r="E232" s="168">
        <v>0</v>
      </c>
      <c r="F232" s="385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4" customFormat="1" ht="15.75">
      <c r="A233" s="50" t="s">
        <v>24</v>
      </c>
      <c r="B233" s="95">
        <v>132</v>
      </c>
      <c r="C233" s="206">
        <v>0</v>
      </c>
      <c r="D233" s="389"/>
      <c r="E233" s="168">
        <v>0</v>
      </c>
      <c r="F233" s="385"/>
      <c r="G233" s="153" t="s">
        <v>10</v>
      </c>
      <c r="H233" s="7" t="s">
        <v>17</v>
      </c>
      <c r="I233" s="7">
        <v>0</v>
      </c>
      <c r="J233" s="98"/>
    </row>
    <row r="234" spans="1:10" s="384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5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4" customFormat="1" ht="15.75">
      <c r="A235" s="50" t="s">
        <v>151</v>
      </c>
      <c r="B235" s="95"/>
      <c r="C235" s="206"/>
      <c r="D235" s="121"/>
      <c r="E235" s="168">
        <v>0</v>
      </c>
      <c r="F235" s="385"/>
      <c r="G235" s="385"/>
      <c r="H235" s="385"/>
      <c r="I235" s="385"/>
      <c r="J235" s="338">
        <f>SUM(I230:J234)</f>
        <v>0</v>
      </c>
    </row>
    <row r="236" spans="1:10" s="384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5"/>
      <c r="G236" s="123"/>
      <c r="H236" s="7"/>
      <c r="I236" s="7"/>
      <c r="J236" s="7"/>
    </row>
    <row r="237" spans="1:10" s="384" customFormat="1" ht="15.75">
      <c r="A237" s="141" t="s">
        <v>105</v>
      </c>
      <c r="B237" s="95"/>
      <c r="C237" s="206"/>
      <c r="D237" s="121"/>
      <c r="E237" s="226">
        <v>0</v>
      </c>
      <c r="F237" s="385"/>
      <c r="G237" s="123"/>
      <c r="H237" s="7"/>
      <c r="I237" s="12"/>
      <c r="J237" s="12"/>
    </row>
    <row r="238" spans="1:10" s="384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5"/>
      <c r="G238" s="123"/>
      <c r="H238" s="7"/>
      <c r="I238" s="7"/>
      <c r="J238" s="8"/>
    </row>
    <row r="239" spans="1:10" s="384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5"/>
      <c r="G239" s="11"/>
      <c r="H239" s="7"/>
      <c r="I239" s="8"/>
      <c r="J239" s="7"/>
    </row>
    <row r="240" spans="1:10" s="384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5"/>
      <c r="G240" s="65" t="s">
        <v>158</v>
      </c>
      <c r="H240" s="7"/>
      <c r="I240" s="7"/>
      <c r="J240" s="7"/>
    </row>
    <row r="241" spans="1:10" s="384" customFormat="1" ht="16.5" thickTop="1">
      <c r="A241" s="385"/>
      <c r="B241" s="385"/>
      <c r="C241" s="385"/>
      <c r="D241" s="142" t="s">
        <v>87</v>
      </c>
      <c r="E241" s="50">
        <f>E240+E222</f>
        <v>-45709.596715907683</v>
      </c>
      <c r="F241" s="385"/>
      <c r="G241" s="8">
        <f>(E222*(D242/12))+(E240*(D242/24))</f>
        <v>-325.7635715368333</v>
      </c>
      <c r="H241" s="457"/>
      <c r="I241" s="457"/>
      <c r="J241" s="7"/>
    </row>
    <row r="242" spans="1:10" s="384" customFormat="1" ht="15.75">
      <c r="A242" s="385"/>
      <c r="B242" s="385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5"/>
      <c r="G242" s="8"/>
      <c r="H242" s="7"/>
      <c r="I242" s="12"/>
      <c r="J242" s="12"/>
    </row>
    <row r="243" spans="1:10" s="384" customFormat="1" ht="15.75">
      <c r="A243" s="385"/>
      <c r="B243" s="385"/>
      <c r="C243" s="50" t="s">
        <v>1</v>
      </c>
      <c r="D243" s="90">
        <f>A225</f>
        <v>41518</v>
      </c>
      <c r="E243" s="50">
        <f>SUM(E241:E242)</f>
        <v>-46035.356715907685</v>
      </c>
      <c r="F243" s="385"/>
      <c r="G243" s="246"/>
    </row>
    <row r="244" spans="1:10" ht="15.75" thickBot="1"/>
    <row r="245" spans="1:10" s="384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4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4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5"/>
      <c r="G247" s="385"/>
      <c r="H247" s="385"/>
      <c r="I247" s="385"/>
      <c r="J247" s="385"/>
    </row>
    <row r="248" spans="1:10" s="384" customFormat="1" ht="15.75">
      <c r="A248" s="50" t="s">
        <v>24</v>
      </c>
      <c r="B248" s="95">
        <v>101</v>
      </c>
      <c r="C248" s="206">
        <v>9244353</v>
      </c>
      <c r="D248" s="389">
        <v>3.3950000000000001E-2</v>
      </c>
      <c r="E248" s="168">
        <v>313845.78435000003</v>
      </c>
      <c r="F248" s="385"/>
      <c r="G248" s="385"/>
      <c r="H248" s="385"/>
      <c r="I248" s="385"/>
      <c r="J248" s="385"/>
    </row>
    <row r="249" spans="1:10" s="384" customFormat="1" ht="16.5" thickBot="1">
      <c r="A249" s="50" t="s">
        <v>24</v>
      </c>
      <c r="B249" s="95">
        <v>111</v>
      </c>
      <c r="C249" s="206">
        <v>3880001</v>
      </c>
      <c r="D249" s="389">
        <v>3.0599999999999999E-2</v>
      </c>
      <c r="E249" s="168">
        <v>118728.0306</v>
      </c>
      <c r="F249" s="385"/>
      <c r="G249" s="123">
        <f>A246</f>
        <v>41578</v>
      </c>
      <c r="H249" s="385"/>
      <c r="I249" s="385"/>
      <c r="J249" s="385"/>
    </row>
    <row r="250" spans="1:10" s="384" customFormat="1" ht="16.5" thickBot="1">
      <c r="A250" s="50" t="s">
        <v>24</v>
      </c>
      <c r="B250" s="95">
        <v>112</v>
      </c>
      <c r="C250" s="206">
        <v>0</v>
      </c>
      <c r="D250" s="389"/>
      <c r="E250" s="168">
        <v>0</v>
      </c>
      <c r="F250" s="385"/>
      <c r="G250" s="113" t="s">
        <v>25</v>
      </c>
      <c r="H250" s="205"/>
      <c r="I250" s="126" t="s">
        <v>18</v>
      </c>
      <c r="J250" s="126" t="s">
        <v>19</v>
      </c>
    </row>
    <row r="251" spans="1:10" s="384" customFormat="1" ht="15.75">
      <c r="A251" s="50" t="s">
        <v>24</v>
      </c>
      <c r="B251" s="95">
        <v>121</v>
      </c>
      <c r="C251" s="206">
        <v>595792</v>
      </c>
      <c r="D251" s="389">
        <v>2.998E-2</v>
      </c>
      <c r="E251" s="168">
        <v>17861.844160000001</v>
      </c>
      <c r="F251" s="385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4" customFormat="1" ht="15.75">
      <c r="A252" s="50" t="s">
        <v>24</v>
      </c>
      <c r="B252" s="95">
        <v>122</v>
      </c>
      <c r="C252" s="206">
        <v>0</v>
      </c>
      <c r="D252" s="389"/>
      <c r="E252" s="168">
        <v>0</v>
      </c>
      <c r="F252" s="385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4" customFormat="1" ht="15.75">
      <c r="A253" s="50" t="s">
        <v>24</v>
      </c>
      <c r="B253" s="95">
        <v>131</v>
      </c>
      <c r="C253" s="206">
        <v>0</v>
      </c>
      <c r="D253" s="389">
        <v>5.7389999999999997E-2</v>
      </c>
      <c r="E253" s="168">
        <v>0</v>
      </c>
      <c r="F253" s="385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4" customFormat="1" ht="15.75">
      <c r="A254" s="50" t="s">
        <v>24</v>
      </c>
      <c r="B254" s="95">
        <v>132</v>
      </c>
      <c r="C254" s="206">
        <v>0</v>
      </c>
      <c r="D254" s="389"/>
      <c r="E254" s="168">
        <v>0</v>
      </c>
      <c r="F254" s="385"/>
      <c r="G254" s="153" t="s">
        <v>10</v>
      </c>
      <c r="H254" s="7" t="s">
        <v>17</v>
      </c>
      <c r="I254" s="7">
        <v>0</v>
      </c>
      <c r="J254" s="98"/>
    </row>
    <row r="255" spans="1:10" s="384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5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4" customFormat="1" ht="15.75">
      <c r="A256" s="50" t="s">
        <v>151</v>
      </c>
      <c r="B256" s="95"/>
      <c r="C256" s="206"/>
      <c r="D256" s="121"/>
      <c r="E256" s="168">
        <v>0</v>
      </c>
      <c r="F256" s="385"/>
      <c r="G256" s="385"/>
      <c r="H256" s="385"/>
      <c r="I256" s="385"/>
      <c r="J256" s="338">
        <f>SUM(I251:J255)</f>
        <v>0</v>
      </c>
    </row>
    <row r="257" spans="1:10" s="384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5"/>
      <c r="G257" s="123"/>
      <c r="H257" s="7"/>
      <c r="I257" s="7"/>
      <c r="J257" s="7"/>
    </row>
    <row r="258" spans="1:10" s="384" customFormat="1" ht="15.75">
      <c r="A258" s="141" t="s">
        <v>105</v>
      </c>
      <c r="B258" s="95"/>
      <c r="C258" s="206"/>
      <c r="D258" s="121"/>
      <c r="E258" s="226">
        <v>0</v>
      </c>
      <c r="F258" s="385"/>
      <c r="G258" s="123"/>
      <c r="H258" s="7"/>
      <c r="I258" s="12"/>
      <c r="J258" s="12"/>
    </row>
    <row r="259" spans="1:10" s="384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5"/>
      <c r="G259" s="123"/>
      <c r="H259" s="7"/>
      <c r="I259" s="7"/>
      <c r="J259" s="8"/>
    </row>
    <row r="260" spans="1:10" s="384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5"/>
      <c r="G260" s="11"/>
      <c r="H260" s="7"/>
      <c r="I260" s="8"/>
      <c r="J260" s="7"/>
    </row>
    <row r="261" spans="1:10" s="384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5"/>
      <c r="G261" s="65" t="s">
        <v>158</v>
      </c>
      <c r="H261" s="7"/>
      <c r="I261" s="7"/>
      <c r="J261" s="7"/>
    </row>
    <row r="262" spans="1:10" s="384" customFormat="1" ht="16.5" thickTop="1">
      <c r="A262" s="385"/>
      <c r="B262" s="385"/>
      <c r="C262" s="385"/>
      <c r="D262" s="142" t="s">
        <v>87</v>
      </c>
      <c r="E262" s="50">
        <f>E261+E243</f>
        <v>404400.30239409232</v>
      </c>
      <c r="F262" s="385"/>
      <c r="G262" s="8">
        <f>(E243*(D263/12))+(E261*(D263/24))</f>
        <v>485.28586393920841</v>
      </c>
      <c r="H262" s="458"/>
      <c r="I262" s="458"/>
      <c r="J262" s="7"/>
    </row>
    <row r="263" spans="1:10" s="384" customFormat="1" ht="15.75">
      <c r="A263" s="385"/>
      <c r="B263" s="385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5"/>
      <c r="G263" s="8"/>
      <c r="H263" s="7"/>
      <c r="I263" s="12"/>
      <c r="J263" s="12"/>
    </row>
    <row r="264" spans="1:10" s="384" customFormat="1" ht="15.75">
      <c r="A264" s="385"/>
      <c r="B264" s="385"/>
      <c r="C264" s="50" t="s">
        <v>1</v>
      </c>
      <c r="D264" s="90">
        <f>A246</f>
        <v>41578</v>
      </c>
      <c r="E264" s="50">
        <f>SUM(E262:E263)</f>
        <v>404885.59239409229</v>
      </c>
      <c r="F264" s="385"/>
      <c r="G264" s="246"/>
    </row>
    <row r="265" spans="1:10" s="384" customFormat="1" ht="15.75">
      <c r="A265" s="385"/>
      <c r="B265" s="385"/>
      <c r="C265" s="50"/>
      <c r="D265" s="443" t="s">
        <v>230</v>
      </c>
      <c r="E265" s="64">
        <f>-'WA Def 191010'!C109</f>
        <v>1145801.7486667871</v>
      </c>
      <c r="F265" s="385"/>
      <c r="G265" s="246"/>
    </row>
    <row r="266" spans="1:10" s="384" customFormat="1" ht="16.5" thickBot="1">
      <c r="A266" s="385"/>
      <c r="B266" s="385"/>
      <c r="C266" s="50"/>
      <c r="D266" s="443" t="s">
        <v>231</v>
      </c>
      <c r="E266" s="160">
        <f>E265+E264</f>
        <v>1550687.3410608794</v>
      </c>
      <c r="F266" s="385"/>
      <c r="G266" s="246"/>
    </row>
    <row r="267" spans="1:10" s="384" customFormat="1" ht="16.5" thickTop="1" thickBot="1"/>
    <row r="268" spans="1:10" s="384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4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4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5"/>
      <c r="G270" s="385"/>
      <c r="H270" s="385"/>
      <c r="I270" s="385"/>
      <c r="J270" s="385"/>
    </row>
    <row r="271" spans="1:10" s="384" customFormat="1" ht="15.75">
      <c r="A271" s="50" t="s">
        <v>24</v>
      </c>
      <c r="B271" s="95">
        <v>101</v>
      </c>
      <c r="C271" s="206">
        <v>15070678</v>
      </c>
      <c r="D271" s="389" t="s">
        <v>187</v>
      </c>
      <c r="E271" s="168">
        <v>-28858.639999999999</v>
      </c>
      <c r="F271" s="385"/>
      <c r="G271" s="385"/>
      <c r="H271" s="385"/>
      <c r="I271" s="385"/>
      <c r="J271" s="385"/>
    </row>
    <row r="272" spans="1:10" s="384" customFormat="1" ht="16.5" thickBot="1">
      <c r="A272" s="50" t="s">
        <v>24</v>
      </c>
      <c r="B272" s="95">
        <v>111</v>
      </c>
      <c r="C272" s="206">
        <v>5651303</v>
      </c>
      <c r="D272" s="389" t="s">
        <v>187</v>
      </c>
      <c r="E272" s="168">
        <v>-36478.370000000003</v>
      </c>
      <c r="F272" s="385"/>
      <c r="G272" s="123">
        <f>A269</f>
        <v>41608</v>
      </c>
      <c r="H272" s="385"/>
      <c r="I272" s="385"/>
      <c r="J272" s="385"/>
    </row>
    <row r="273" spans="1:10" s="384" customFormat="1" ht="16.5" thickBot="1">
      <c r="A273" s="50" t="s">
        <v>24</v>
      </c>
      <c r="B273" s="95">
        <v>112</v>
      </c>
      <c r="C273" s="206">
        <v>0</v>
      </c>
      <c r="D273" s="389" t="s">
        <v>187</v>
      </c>
      <c r="E273" s="168">
        <v>0</v>
      </c>
      <c r="F273" s="385"/>
      <c r="G273" s="113" t="s">
        <v>25</v>
      </c>
      <c r="H273" s="205"/>
      <c r="I273" s="126" t="s">
        <v>18</v>
      </c>
      <c r="J273" s="126" t="s">
        <v>19</v>
      </c>
    </row>
    <row r="274" spans="1:10" s="384" customFormat="1" ht="15.75">
      <c r="A274" s="50" t="s">
        <v>24</v>
      </c>
      <c r="B274" s="95">
        <v>121</v>
      </c>
      <c r="C274" s="206">
        <v>396185</v>
      </c>
      <c r="D274" s="389" t="s">
        <v>187</v>
      </c>
      <c r="E274" s="168">
        <v>-16940.830000000002</v>
      </c>
      <c r="F274" s="385"/>
      <c r="G274" s="151" t="s">
        <v>28</v>
      </c>
      <c r="H274" s="152" t="s">
        <v>75</v>
      </c>
      <c r="I274" s="468"/>
      <c r="J274" s="469">
        <f>IF(-E286&lt;0,-E286,0)</f>
        <v>-4107.12</v>
      </c>
    </row>
    <row r="275" spans="1:10" s="384" customFormat="1" ht="15.75">
      <c r="A275" s="50" t="s">
        <v>24</v>
      </c>
      <c r="B275" s="95">
        <v>122</v>
      </c>
      <c r="C275" s="206">
        <v>0</v>
      </c>
      <c r="D275" s="389" t="s">
        <v>187</v>
      </c>
      <c r="E275" s="168">
        <v>0</v>
      </c>
      <c r="F275" s="385"/>
      <c r="G275" s="153" t="s">
        <v>29</v>
      </c>
      <c r="H275" s="7" t="s">
        <v>76</v>
      </c>
      <c r="I275" s="470">
        <f>IF(-E286&gt;0,-E286,0)</f>
        <v>0</v>
      </c>
      <c r="J275" s="460"/>
    </row>
    <row r="276" spans="1:10" s="384" customFormat="1" ht="15.75">
      <c r="A276" s="50" t="s">
        <v>24</v>
      </c>
      <c r="B276" s="95">
        <v>131</v>
      </c>
      <c r="C276" s="206">
        <v>0</v>
      </c>
      <c r="D276" s="389" t="s">
        <v>187</v>
      </c>
      <c r="E276" s="168">
        <v>0</v>
      </c>
      <c r="F276" s="385"/>
      <c r="G276" s="153" t="s">
        <v>97</v>
      </c>
      <c r="H276" s="7" t="s">
        <v>26</v>
      </c>
      <c r="I276" s="470">
        <f>IF(-E284&gt;0,-E284,0)</f>
        <v>68424.86</v>
      </c>
      <c r="J276" s="460">
        <f>IF(-E284&lt;0,-E284,0)</f>
        <v>0</v>
      </c>
    </row>
    <row r="277" spans="1:10" s="384" customFormat="1" ht="15.75">
      <c r="A277" s="50" t="s">
        <v>24</v>
      </c>
      <c r="B277" s="95">
        <v>132</v>
      </c>
      <c r="C277" s="206">
        <v>0</v>
      </c>
      <c r="D277" s="389" t="s">
        <v>187</v>
      </c>
      <c r="E277" s="168">
        <v>0</v>
      </c>
      <c r="F277" s="385"/>
      <c r="G277" s="153" t="s">
        <v>10</v>
      </c>
      <c r="H277" s="7" t="s">
        <v>17</v>
      </c>
      <c r="I277" s="470"/>
      <c r="J277" s="460"/>
    </row>
    <row r="278" spans="1:10" s="384" customFormat="1" ht="16.5" thickBot="1">
      <c r="A278" s="50" t="s">
        <v>24</v>
      </c>
      <c r="B278" s="95">
        <v>146</v>
      </c>
      <c r="C278" s="206">
        <v>2936207</v>
      </c>
      <c r="D278" s="389" t="s">
        <v>187</v>
      </c>
      <c r="E278" s="168">
        <v>0</v>
      </c>
      <c r="F278" s="385"/>
      <c r="G278" s="154" t="s">
        <v>98</v>
      </c>
      <c r="H278" s="147" t="s">
        <v>27</v>
      </c>
      <c r="I278" s="462">
        <f>IF(-(E266-E287)&lt;0,0,-(E266-E287))</f>
        <v>0</v>
      </c>
      <c r="J278" s="471">
        <f>IF(-(E266-E287)&gt;0,0,-(E266-E287))</f>
        <v>-64317.739999999991</v>
      </c>
    </row>
    <row r="279" spans="1:10" s="384" customFormat="1" ht="15.75">
      <c r="A279" s="50" t="s">
        <v>151</v>
      </c>
      <c r="B279" s="95"/>
      <c r="C279" s="206"/>
      <c r="D279" s="389"/>
      <c r="E279" s="168">
        <v>0</v>
      </c>
      <c r="F279" s="385"/>
      <c r="G279" s="385"/>
      <c r="H279" s="385"/>
      <c r="I279" s="385"/>
      <c r="J279" s="338">
        <f>SUM(I274:J278)</f>
        <v>0</v>
      </c>
    </row>
    <row r="280" spans="1:10" s="384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5"/>
      <c r="G280" s="123"/>
      <c r="H280" s="7"/>
      <c r="I280" s="7"/>
      <c r="J280" s="7"/>
    </row>
    <row r="281" spans="1:10" s="384" customFormat="1" ht="15.75">
      <c r="A281" s="141" t="s">
        <v>105</v>
      </c>
      <c r="B281" s="95"/>
      <c r="C281" s="206"/>
      <c r="D281" s="121"/>
      <c r="E281" s="226">
        <v>13852.98</v>
      </c>
      <c r="F281" s="385"/>
      <c r="G281" s="123"/>
      <c r="H281" s="7"/>
      <c r="I281" s="12"/>
      <c r="J281" s="12"/>
    </row>
    <row r="282" spans="1:10" s="384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5">
        <f>SUM(E271:E274)</f>
        <v>-82277.84</v>
      </c>
      <c r="G282" s="123"/>
      <c r="H282" s="7"/>
      <c r="I282" s="7"/>
      <c r="J282" s="8"/>
    </row>
    <row r="283" spans="1:10" s="384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5"/>
      <c r="G283" s="11"/>
      <c r="H283" s="7"/>
      <c r="I283" s="8"/>
      <c r="J283" s="7"/>
    </row>
    <row r="284" spans="1:10" s="384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5"/>
      <c r="G284" s="65" t="s">
        <v>158</v>
      </c>
      <c r="H284" s="7"/>
      <c r="I284" s="7"/>
      <c r="J284" s="7"/>
    </row>
    <row r="285" spans="1:10" s="384" customFormat="1" ht="16.5" thickTop="1">
      <c r="A285" s="385"/>
      <c r="B285" s="385"/>
      <c r="C285" s="385"/>
      <c r="D285" s="142" t="s">
        <v>87</v>
      </c>
      <c r="E285" s="50">
        <f>E284+E266</f>
        <v>1482262.4810608793</v>
      </c>
      <c r="F285" s="385"/>
      <c r="G285" s="8">
        <f>(E266*(D286/12))+(E284*(D286/24))</f>
        <v>4107.1195507898819</v>
      </c>
      <c r="H285" s="466"/>
      <c r="I285" s="466"/>
      <c r="J285" s="7"/>
    </row>
    <row r="286" spans="1:10" s="384" customFormat="1" ht="15.75">
      <c r="A286" s="385"/>
      <c r="B286" s="385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5"/>
      <c r="G286" s="8"/>
      <c r="H286" s="7"/>
      <c r="I286" s="12"/>
      <c r="J286" s="12"/>
    </row>
    <row r="287" spans="1:10" s="384" customFormat="1" ht="15.75">
      <c r="A287" s="385"/>
      <c r="B287" s="385"/>
      <c r="C287" s="50" t="s">
        <v>1</v>
      </c>
      <c r="D287" s="90">
        <f>A269</f>
        <v>41608</v>
      </c>
      <c r="E287" s="50">
        <f>SUM(E285:E286)</f>
        <v>1486369.6010608794</v>
      </c>
      <c r="F287" s="385"/>
      <c r="G287" s="246"/>
    </row>
    <row r="288" spans="1:10" s="384" customFormat="1" ht="15.75" thickBot="1"/>
    <row r="289" spans="1:10" s="384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4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4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5"/>
      <c r="G291" s="385"/>
      <c r="H291" s="385"/>
      <c r="I291" s="385"/>
      <c r="J291" s="385"/>
    </row>
    <row r="292" spans="1:10" s="384" customFormat="1" ht="15.75">
      <c r="A292" s="50" t="s">
        <v>24</v>
      </c>
      <c r="B292" s="95">
        <v>101</v>
      </c>
      <c r="C292" s="206">
        <f>Jan!$G$23</f>
        <v>27259641</v>
      </c>
      <c r="D292" s="389" t="s">
        <v>187</v>
      </c>
      <c r="E292" s="168">
        <v>-56737.25</v>
      </c>
      <c r="F292" s="385"/>
      <c r="G292" s="385"/>
      <c r="H292" s="385"/>
      <c r="I292" s="385"/>
      <c r="J292" s="385"/>
    </row>
    <row r="293" spans="1:10" s="384" customFormat="1" ht="16.5" thickBot="1">
      <c r="A293" s="50" t="s">
        <v>24</v>
      </c>
      <c r="B293" s="95">
        <v>111</v>
      </c>
      <c r="C293" s="206">
        <f>Jan!$G$25</f>
        <v>8738107</v>
      </c>
      <c r="D293" s="389" t="s">
        <v>187</v>
      </c>
      <c r="E293" s="168">
        <v>-36348.93</v>
      </c>
      <c r="F293" s="385"/>
      <c r="G293" s="123">
        <f>A290</f>
        <v>41639</v>
      </c>
      <c r="H293" s="385"/>
      <c r="I293" s="385"/>
      <c r="J293" s="385"/>
    </row>
    <row r="294" spans="1:10" s="384" customFormat="1" ht="16.5" thickBot="1">
      <c r="A294" s="50" t="s">
        <v>24</v>
      </c>
      <c r="B294" s="95">
        <v>112</v>
      </c>
      <c r="C294" s="206">
        <f>Jan!$G$26</f>
        <v>0</v>
      </c>
      <c r="D294" s="389" t="s">
        <v>187</v>
      </c>
      <c r="E294" s="168">
        <v>0</v>
      </c>
      <c r="F294" s="385"/>
      <c r="G294" s="113" t="s">
        <v>25</v>
      </c>
      <c r="H294" s="205"/>
      <c r="I294" s="126" t="s">
        <v>18</v>
      </c>
      <c r="J294" s="126" t="s">
        <v>19</v>
      </c>
    </row>
    <row r="295" spans="1:10" s="384" customFormat="1" ht="15.75">
      <c r="A295" s="50" t="s">
        <v>24</v>
      </c>
      <c r="B295" s="95">
        <v>121</v>
      </c>
      <c r="C295" s="206">
        <f>Jan!$G$27</f>
        <v>284721</v>
      </c>
      <c r="D295" s="389" t="s">
        <v>187</v>
      </c>
      <c r="E295" s="168">
        <v>-8844.16</v>
      </c>
      <c r="F295" s="385"/>
      <c r="G295" s="151" t="s">
        <v>28</v>
      </c>
      <c r="H295" s="152" t="s">
        <v>75</v>
      </c>
      <c r="I295" s="468"/>
      <c r="J295" s="469">
        <f>IF(-E307&lt;0,-E307,0)</f>
        <v>-3887.55</v>
      </c>
    </row>
    <row r="296" spans="1:10" s="384" customFormat="1" ht="15.75">
      <c r="A296" s="50" t="s">
        <v>24</v>
      </c>
      <c r="B296" s="95">
        <v>122</v>
      </c>
      <c r="C296" s="206">
        <v>0</v>
      </c>
      <c r="D296" s="389" t="s">
        <v>187</v>
      </c>
      <c r="E296" s="168">
        <v>0</v>
      </c>
      <c r="F296" s="385"/>
      <c r="G296" s="153" t="s">
        <v>29</v>
      </c>
      <c r="H296" s="7" t="s">
        <v>76</v>
      </c>
      <c r="I296" s="470">
        <f>IF(-E307&gt;0,-E307,0)</f>
        <v>0</v>
      </c>
      <c r="J296" s="460"/>
    </row>
    <row r="297" spans="1:10" s="384" customFormat="1" ht="15.75">
      <c r="A297" s="50" t="s">
        <v>24</v>
      </c>
      <c r="B297" s="95">
        <v>131</v>
      </c>
      <c r="C297" s="206">
        <f>Jan!$G$29</f>
        <v>0</v>
      </c>
      <c r="D297" s="389" t="s">
        <v>187</v>
      </c>
      <c r="E297" s="168">
        <v>0</v>
      </c>
      <c r="F297" s="385"/>
      <c r="G297" s="153" t="s">
        <v>97</v>
      </c>
      <c r="H297" s="7" t="s">
        <v>26</v>
      </c>
      <c r="I297" s="470">
        <f>IF(-E305&gt;0,-E305,0)</f>
        <v>101930.34</v>
      </c>
      <c r="J297" s="460">
        <f>IF(-E305&lt;0,-E305,0)</f>
        <v>0</v>
      </c>
    </row>
    <row r="298" spans="1:10" s="384" customFormat="1" ht="15.75">
      <c r="A298" s="50" t="s">
        <v>24</v>
      </c>
      <c r="B298" s="95">
        <v>132</v>
      </c>
      <c r="C298" s="206">
        <v>0</v>
      </c>
      <c r="D298" s="389" t="s">
        <v>187</v>
      </c>
      <c r="E298" s="168">
        <v>0</v>
      </c>
      <c r="F298" s="385"/>
      <c r="G298" s="153" t="s">
        <v>10</v>
      </c>
      <c r="H298" s="7" t="s">
        <v>17</v>
      </c>
      <c r="I298" s="470"/>
      <c r="J298" s="460"/>
    </row>
    <row r="299" spans="1:10" s="384" customFormat="1" ht="16.5" thickBot="1">
      <c r="A299" s="50" t="s">
        <v>24</v>
      </c>
      <c r="B299" s="95">
        <v>146</v>
      </c>
      <c r="C299" s="206">
        <f>Jan!$G$31</f>
        <v>4261630</v>
      </c>
      <c r="D299" s="389" t="s">
        <v>187</v>
      </c>
      <c r="E299" s="168">
        <v>0</v>
      </c>
      <c r="F299" s="385"/>
      <c r="G299" s="154" t="s">
        <v>98</v>
      </c>
      <c r="H299" s="147" t="s">
        <v>27</v>
      </c>
      <c r="I299" s="462">
        <f>IF(-(E287-E308)&lt;0,0,-(E287-E308))</f>
        <v>0</v>
      </c>
      <c r="J299" s="471">
        <f>IF(-(E287-E308)&gt;0,0,-(E287-E308))</f>
        <v>-98042.790000000037</v>
      </c>
    </row>
    <row r="300" spans="1:10" s="384" customFormat="1" ht="15.75">
      <c r="A300" s="50" t="s">
        <v>151</v>
      </c>
      <c r="B300" s="95"/>
      <c r="C300" s="206"/>
      <c r="D300" s="389"/>
      <c r="E300" s="168">
        <v>0</v>
      </c>
      <c r="F300" s="385"/>
      <c r="G300" s="385"/>
      <c r="H300" s="385"/>
      <c r="I300" s="385"/>
      <c r="J300" s="338">
        <f>SUM(I295:J299)</f>
        <v>0</v>
      </c>
    </row>
    <row r="301" spans="1:10" s="384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5"/>
      <c r="G301" s="123"/>
      <c r="H301" s="7"/>
      <c r="I301" s="7"/>
      <c r="J301" s="7"/>
    </row>
    <row r="302" spans="1:10" s="384" customFormat="1" ht="15.75">
      <c r="A302" s="141" t="s">
        <v>105</v>
      </c>
      <c r="B302" s="95"/>
      <c r="C302" s="206"/>
      <c r="D302" s="121"/>
      <c r="E302" s="226">
        <v>0</v>
      </c>
      <c r="F302" s="385"/>
      <c r="G302" s="123"/>
      <c r="H302" s="7"/>
      <c r="I302" s="12"/>
      <c r="J302" s="12"/>
    </row>
    <row r="303" spans="1:10" s="384" customFormat="1" ht="16.5" thickBot="1">
      <c r="A303" s="50"/>
      <c r="B303" s="95"/>
      <c r="C303" s="159">
        <f>SUM(C292:C302)</f>
        <v>40544099</v>
      </c>
      <c r="D303" s="142"/>
      <c r="E303" s="207">
        <f>SUM(E292:E302)</f>
        <v>-101930.34</v>
      </c>
      <c r="F303" s="385"/>
      <c r="G303" s="123"/>
      <c r="H303" s="7"/>
      <c r="I303" s="7"/>
      <c r="J303" s="8"/>
    </row>
    <row r="304" spans="1:10" s="384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5"/>
      <c r="G304" s="11"/>
      <c r="H304" s="7"/>
      <c r="I304" s="8"/>
      <c r="J304" s="7"/>
    </row>
    <row r="305" spans="1:10" s="384" customFormat="1" ht="16.5" thickBot="1">
      <c r="A305" s="50"/>
      <c r="B305" s="95"/>
      <c r="C305" s="230">
        <f>C304-C303</f>
        <v>-6125641</v>
      </c>
      <c r="D305" s="142"/>
      <c r="E305" s="160">
        <f>SUM(E303:E304)</f>
        <v>-101930.34</v>
      </c>
      <c r="F305" s="385"/>
      <c r="G305" s="65" t="s">
        <v>158</v>
      </c>
      <c r="H305" s="7"/>
      <c r="I305" s="7"/>
      <c r="J305" s="7"/>
    </row>
    <row r="306" spans="1:10" s="384" customFormat="1" ht="16.5" thickTop="1">
      <c r="A306" s="385"/>
      <c r="B306" s="385"/>
      <c r="C306" s="385"/>
      <c r="D306" s="142" t="s">
        <v>87</v>
      </c>
      <c r="E306" s="50">
        <f>E305+E287</f>
        <v>1384439.2610608793</v>
      </c>
      <c r="F306" s="385"/>
      <c r="G306" s="8">
        <f>(E287*(D307/12))+(E305*(D307/24))</f>
        <v>3887.5536674565483</v>
      </c>
      <c r="H306" s="472"/>
      <c r="I306" s="472"/>
      <c r="J306" s="7"/>
    </row>
    <row r="307" spans="1:10" s="384" customFormat="1" ht="15.75">
      <c r="A307" s="385"/>
      <c r="B307" s="385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5"/>
      <c r="G307" s="8"/>
      <c r="H307" s="7"/>
      <c r="I307" s="12"/>
      <c r="J307" s="12"/>
    </row>
    <row r="308" spans="1:10" s="384" customFormat="1" ht="15.75">
      <c r="A308" s="385"/>
      <c r="B308" s="385"/>
      <c r="C308" s="50" t="s">
        <v>1</v>
      </c>
      <c r="D308" s="90">
        <f>A290</f>
        <v>41639</v>
      </c>
      <c r="E308" s="50">
        <f>SUM(E306:E307)</f>
        <v>1388326.8110608794</v>
      </c>
      <c r="F308" s="385"/>
      <c r="G308" s="475" t="s">
        <v>244</v>
      </c>
      <c r="H308" s="476" t="e">
        <f>_xll.Get_Balance(I308,"YTD","USD","Total","A","","001","191000","GD","WA","DL")-E308</f>
        <v>#VALUE!</v>
      </c>
      <c r="I308" s="477">
        <v>201312</v>
      </c>
    </row>
    <row r="309" spans="1:10" s="384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1D793C093BE0546B134436B72A8C40F" ma:contentTypeVersion="104" ma:contentTypeDescription="" ma:contentTypeScope="" ma:versionID="3f6793aee97f38e2f4d08aca6acfe4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xe4awand xmlns="http://www.excel4apps.com"><![CDATA[rO0ABXfZCMCtii8ABDkJAh4AAERjb20uZXhjZWw0YXBwcy53YW5kLm9yYWNsZS5n
bHdhbmQuY2FsY3VsYXRpb25zLmdldGJhbGFuY2UuR2V0QmFsYW5jZQIBAAkyOTM4
NDk4NjQCAgABMAIDAAYyMDE2MDkCBAADWVREAgUAA1VTRAIGAAVUb3RhbAIHAAFB
AggAAAIJAAMwMDECCgAGMTkxMDAwAgsAAkdEAgwAAldBAg0AAkRMAggCCAIIAggC
CAIIAggCCAIIAggCCAIIAggCCAIIAggCCAIB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Ahunbnh4d1UCHgACAQICAhsABjIwMTYwNwIEAgUCBgIHAggCCQIcAAYxOTEw
MTACCwIMAg0CCAIIAggCCAIIAggCCAIIAggCCAIIAggCCAIIAggCCAIIAgECAwId
c3EAfgAAAAAAAnNxAH4ABP///////////////v////7/////dXEAfgAHAAAABFov
ta14eHdVAh4AAgECAgIeAAYyMDE1MDQCBAIFAgYCBwIIAgkCHwAGMTkxMDI1AgsC
DAINAggCCAIIAggCCAIIAggCCAIIAggCCAIIAggCCAIIAggCCAIBAgMCIHNxAH4A
AAAAAAJzcQB+AAT///////////////7////+/////3VxAH4ABwAAAAMvsIx4eHdNAh4AAgECAgIhAAYyMDE1MTACBAIFAgYCBwIIAgkCHwILAgwCDQIIAggCCAIIAggCCAIIAggCCAIIAggCCAIIAggCCAIIAggCAQIDAiJzcQB+AAAAAAACc3EAfgAE///////////////+/////v////91cQB+AAcAAAADI1uKeHh3TQIeAAIBAgICIwAGMjAxMzExAgQCBQIGAgcCCAIJAhwCCwIMAg0CCAIIAggCCAIIAggCCAIIAggCCAIIAggCCAIIAggCCAIIAgECAwIkc3EAfgAAAAAAAnNxAH4ABP///////////////v////7/////dXEAfgAHAAAAAzMdc3h4d00CHgACAQICAiUABjIwMTUwNwIEAgUCBgIHAggCCQIcAgsCDAINAggCCAIIAggCCAIIAggCCAIIAggCCAIIAggCCAIIAggCCAIBAgMCJnNxAH4AAAAAAAJzcQB+AAT///////////////7////+/////3VxAH4ABwAAAAQUpmRbeHh3TQIeAAIBAgICJwAGMjAxNzEyAgQCBQIGAgcCCAIJAh8CCwIMAg0CCAIIAggCCAIIAggCCAIIAggCCAIIAggCCAIIAggCCAIIAgECAwIoc3EAfgAAAAAAAHNxAH4ABP///////////////v////4AAAAAdXEAfgAHAAAAAHh4d00CHgACAQICAikABjIwMTYwNAIEAgUCBgIHAggCCQIfAgsCDAINAggCCAIIAggCCAIIAggCCAIIAggCCAIIAggCCAIIAggCCAIBAgMCKnNxAH4AAAAAAAJzcQB+AAT///////////////7////+/////3VxAH4ABwAAAAMMxv54eHdNAh4AAgECAgIrAAYyMDE1MDkCBAIFAgYCBwIIAgkCCgILAgwCDQIIAggCCAIIAggCCAIIAggCCAIIAggCCAIIAggCCAIIAggCAQIDAixzcQB+AAAAAAACc3EAfgAE///////////////+/////v////91cQB+AAcAAAAEAqihJ3h4d00CHgACAQICAi0ABjIwMTYxMAIEAgUCBgIHAggCCQIfAgsCDAINAggCCAIIAggCCAIIAggCCAIIAggCCAIIAggCCAIIAggCCAIBAgMCLnNxAH4AAAAAAAJzcQB+AAT///////////////7////+/////3VxAH4ABwAAAAMFP694eHdNAh4AAgECAgIvAAYyMDE3MDkCBAIFAgYCBwIIAgkCHAILAgwCDQIIAggCCAIIAggCCAIIAggCCAIIAggCCAIIAggCCAIIAggCAQIDAjBzcQB+AAAAAAACc3EAfgAE///////////////+/////v////91cQB+AAcAAAAEcQZZSXh4d00CHgACAQICAjEABjIwMTUwMgIEAgUCBgIHAggCCQIfAgsCDAINAggCCAIIAggCCAIIAggCCAIIAggCCAIIAggCCAIIAggCCAIBAgMCMnNxAH4AAAAAAAJzcQB+AAT///////////////7////+/////3VxAH4ABwAAAAM6MbV4eHdNAh4AAgECAgIzAAYyMDE3MDQCBAIFAgYCBwIIAgkCHwILAgwCDQIIAggCCAIIAggCCAIIAggCCAIIAggCCAIIAggCCAIIAggCAQIDAjRzcQB+AAAAAAACc3EAfgAE///////////////+/////v////91cQB+AAcAAAADBHSNeHh3RQIeAAIBAgICAwIEAgUCBgIHAggCCQIcAgsCDAINAggCCAIIAggCCAIIAggCCAIIAggCCAIIAggCCAIIAggCCAIBAgMCNXNxAH4AAAAAAAJzcQB+AAT///////////////7////+/////3VxAH4ABwAAAARhMQgUeHh3RQIeAAIBAgICIwIEAgUCBgIHAggCCQIKAgsCDAINAggCCAIIAggCCAIIAggCCAIIAggCCAIIAggCCAIIAggCCAIBAgMCNnNxAH4AAAAAAAJzcQB+AAT///////////////7////+AAAAAXVxAH4ABwAAAAQI3AU2eHh3TQIeAAIBAgICNwAGMjAxMzA5AgQCBQIGAgcCCAIJAh8CCwIMAg0CCAIIAggCCAIIAggCCAIIAggCCAIIAggCCAIIAggCCAIIAgECAwI4c3EAfgAAAAAAAnNxAH4ABP///////////////v////4AAAABdXEAfgAHAAAAAztoGXh4d00CHgACAQICAjkABjIwMTUxMQIEAgUCBgIHAggCCQIcAgsCDAINAggCCAIIAggCCAIIAggCCAIIAggCCAIIAggCCAIIAggCCAIBAgMCOnNxAH4AAAAAAAJzcQB+AAT///////////////7////+/////3VxAH4ABwAAAAQaRc5ReHh3TQIeAAIBAgICOwAGMjAxNTA2AgQCBQIGAgcCCAIJAh8CCwIMAg0CCAIIAggCCAIIAggCCAIIAggCCAIIAggCCAIIAggCCAIIAgECAwI8c3EAfgAAAAAAAnNxAH4ABP///////////////v////7/////dXEAfgAHAAAAAyvOLXh4d00CHgACAQICAj0ABjIwMTYxMQIEAgUCBgIHAggCCQIcAgsCDAINAggCCAIIAggCCAIIAggCCAIIAggCCAIIAggCCAIIAggCCAIBAgMCPnNxAH4AAAAAAAJzcQB+AAT///////////////7////+/////3VxAH4ABwAAAAQSVBWqeHh3RQIeAAIBAgICGwIEAgUCBgIHAggCCQIKAgsCDAINAggCCAIIAggCCAIIAggCCAIIAggCCAIIAggCCAIIAggCCAIBAgMCP3NxAH4AAAAAAAJzcQB+AAT///////////////7////+/////3VxAH4ABwAAAAQDNpKZeHh3TQIeAAIBAgICQAAGMjAxNTEyAgQCBQIGAgcCCAIJAh8CCwIMAg0CCAIIAggCCAIIAggCCAIIAggCCAIIAggCCAIIAggCCAIIAgECAwJBc3EAfgAAAAAAAnNxAH4ABP///////////////v////7/////dXEAfgAHAAAAAxuwpnh4d00CHgACAQICAkIABjIwMTUwNQIEAgUCBgIHAggCCQIKAgsCDAINAggCCAIIAggCCAIIAggCCAIIAggCCAIIAggCCAIIAggCCAIBAgMCQ3NxAH4AAAAAAAJzcQB+AAT///////////////7////+/////3VxAH4ABwAAAAQDpCHKeHh3RQIeAAIBAgICNwIEAgUCBgIHAggCCQIKAgsCDAINAggCCAIIAggCCAIIAggCCAIIAggCCAIIAggCCAIIAggCCAIBAgMCRHNxAH4AAAAAAAJzcQB+AAT///////////////7////+/////3VxAH4ABwAAAANGPnp4eHdNAh4AAgECAgJFAAYyMDE2MDICBAIFAgYCBwIIAgkCHwILAgwCDQIIAggCCAIIAggCCAIIAggCCAIIAggCCAIIAggCCAIIAggCAQIDAkZzcQB+AAAAAAACc3EAfgAE///////////////+/////v////91cQB+AAcAAAADEhXLeHh3TQIeAAIBAgICRwAGMjAxNzAyAgQCBQIGAgcCCAIJAgoCCwIMAg0CCAIIAggCCAIIAggCCAIIAggCCAIIAggCCAIIAggCCAIIAgECAwJIc3EAfgAAAAAAAnNxAH4ABP///////////////v////7/////dXEAfgAHAAAABBtHMdN4eHdNAh4AAgECAgJJAAYyMDE2MDgCBAIFAgYCBwIIAgkCHwILAgwCDQIIAggCCAIIAggCCAIIAggCCAIIAggCCAIIAggCCAIIAggCAQIDAkpzcQB+AAAAAAACc3EAfgAE///////////////+/////v////91cQB+AAcAAAADCLaceHh3RQIeAAIBAgICQgIEAgUCBgIHAggCCQIcAgsCDAINAggCCAIIAggCCAIIAggCCAIIAggCCAIIAggCCAIIAggCCAIBAgMCS3NxAH4AAAAAAAJzcQB+AAT///////////////7////+/////3VxAH4ABwAAAAQRh3eteHh3RQIeAAIBAgICOQIEAgUCBgIHAggCCQIKAgsCDAINAggCCAIIAggCCAIIAggCCAIIAggCCAIIAggCCAIIAggCCAIBAgMCTHNxAH4AAAAAAAJzcQB+AAT///////////////7////+/////3VxAH4ABwAAAAQRrw1DeHh3TQIeAAIBAgICTQAGMjAxNzA3AgQCBQIGAgcCCAIJAhwCCwIMAg0CCAIIAggCCAIIAggCCAIIAggCCAIIAggCCAIIAggCCAIIAgECAwJOc3EAfgAAAAAAAnNxAH4ABP///////////////v////7/////dXEAfgAHAAAABF7UYvh4eHdNAh4AAgECAgJPAAYyMDEzMTACBAIFAgYCBwIIAgkCHwILAgwCDQIIAggCCAIIAggCCAIIAggCCAIIAggCCAIIAggCCAIIAggCAQIDAlBzcQB+AAAAAAACc3EAfgAE///////////////+/////gAAAAF1cQB+AAcAAAADDGvIeHh3TQIeAAIBAgICUQAGMjAxNjAzAgQCBQIGAgcCCAIJAhwCCwIMAg0CCAIIAggCCAIIAggCCAIIAggCCAIIAggCCAIIAggCCAIIAgECAwJSc3EAfgAAAAAAAnNxAH4ABP///////////////v////7/////dXEAfgAHAAAABD37VuJ4eHdNAh4AAgECAgJTAAYyMDE3MDYCBAIFAgYCBwIIAgkCHwILAgwCDQIIAggCCAIIAggCCAIIAggCCAIIAggCCAIIAggCCAIIAggCAQIDAlRzcQB+AAAAAAACc3EAfgAE///////////////+/////v////91cQB+AAcAAAADBEN6eHh3mgIeAAIBAgICVQAGMjAxNzEwAgQCBQIGAgcCCAIJAhwCCwIMAg0CCAIIAggCCAIIAggCCAIIAggCCAIIAggCCAIIAggCCAIIAgECAwIwAh4AAgECAgJWAAYyMDE3MDECBAIFAgYCBwIIAgkCHwILAgwCDQIIAggCCAIIAggCCAIIAggCCAIIAggCCAIIAggCCAIIAggCAQIDAldzcQB+AAAAAAACc3EAfgAE///////////////+/////v////91cQB+AAcAAAADBWT/eHh3RQIeAAIBAgICIQIEAgUCBgIHAggCCQIKAgsCDAINAggCCAIIAggCCAIIAggCCAIIAggCCAIIAggCCAIIAggCCAIBAgMCWHNxAH4AAAAAAAJzcQB+AAT///////////////7////+/////3VxAH4ABwAAAAQCJc0oeHh3TQIeAAIBAgICWQAGMjAxNTAzAgQCBQIGAgcCCAIJAgoCCwIMAg0CCAIIAggCCAIIAggCCAIIAggCCAIIAggCCAIIAggCCAIIAgECAwJac3EAfgAAAAAAAnNxAH4ABP///////////////v////7/////dXEAfgAHAAAABATG6H94eHdFAh4AAgECAgJFAgQCBQIGAgcCCAIJAhwCCwIMAg0CCAIIAggCCAIIAggCCAIIAggCCAIIAggCCAIIAggCCAIIAgECAwJbc3EAfgAAAAAAAnNxAH4ABP///////////////v////7/////dXEAfgAHAAAABDc49U94eHdFAh4AAgECAgJTAgQCBQIGAgcCCAIJAgoCCwIMAg0CCAIIAggCCAIIAggCCAIIAggCCAIIAggCCAIIAggCCAIIAgECAwJcc3EAfgAAAAAAAnNxAH4ABP///////////////v////7/////dXEAfgAHAAAABAPdTSB4eHdNAh4AAgECAgJdAAYyMDE3MTECBAIFAgYCBwIIAgkCCgILAgwCDQIIAggCCAIIAggCCAIIAggCCAIIAggCCAIIAggCCAIIAggCAQIDAl5zcQB+AAAAAAACc3EAfgAE///////////////+/////gAAAAF1cQB+AAcAAAAEAo6woHh4d00CHgACAQICAl8ABjIwMTYwMQIEAgUCBgIHAggCCQIcAgsCDAINAggCCAIIAggCCAIIAggCCAIIAggCCAIIAggCCAIIAggCCAIBAgMCYHNxAH4AAAAAAAJzcQB+AAT///////////////7////+/////3VxAH4ABwAAAAQyQqdUeHh3TQIeAAIBAgICYQAGMjAxNzA1AgQCBQIGAgcCCAIJAhwCCwIMAg0CCAIIAggCCAIIAggCCAIIAggCCAIIAggCCAIIAggCCAIIAgECAwJic3EAfgAAAAAAAnNxAH4ABP///////////////v////7/////dXEAfgAHAAAABFn95fJ4eHdFAh4AAgECAgJRAgQCBQIGAgcCCAIJAgoCCwIMAg0CCAIIAggCCAIIAggCCAIIAggCCAIIAggCCAIIAggCCAIIAgECAwJjc3EAfgAAAAAAAnNxAH4ABP///////////////v////7/////dXEAfgAHAAAABAXojm54eHdFAh4AAgECAgJNAgQCBQIGAgcCCAIJAgoCCwIMAg0CCAIIAggCCAIIAggCCAIIAggCCAIIAggCCAIIAggCCAIIAgECAwJkc3EAfgAAAAAAAnNxAH4ABP///////////////v////7/////dXEAfgAHAAAABAIK9vR4eHdNAh4AAgECAgJlAAYyMDE3MDgCBAIFAgYCBwIIAgkCHwILAgwCDQIIAggCCAIIAggCCAIIAggCCAIIAggCCAIIAggCCAIIAggCAQIDAmZzcQB+AAAAAAACc3EAfgAE///////////////+/////v////91cQB+AAcAAAADBCUJeHh3RQIeAAIBAgICRQIEAgUCBgIHAggCCQIKAgsCDAINAggCCAIIAggCCAIIAggCCAIIAggCCAIIAggCCAIIAggCCAIBAgMCZ3NxAH4AAAAAAAJzcQB+AAT///////////////7////+/////3VxAH4ABwAAAAQIJf+xeHh3RQIeAAIBAgICUwIEAgUCBgIHAggCCQIcAgsCDAINAggCCAIIAggCCAIIAggCCAIIAggCCAIIAggCCAIIAggCCAIBAgMCaHNxAH4AAAAAAAJzcQB+AAT///////////////7////+/////3VxAH4ABwAAAARYCwcseHh3RQIeAAIBAgICKwIEAgUCBgIHAggCCQIcAgsCDAINAggCCAIIAggCCAIIAggCCAIIAggCCAIIAggCCAIIAggCCAIBAgMCaXNxAH4AAAAAAAJzcQB+AAT///////////////7////+/////3VxAH4ABwAAAAQcWN0JeHh3RQIeAAIBAgICWQIEAgUCBgIHAggCCQIcAgsCDAINAggCCAIIAggCCAIIAggCCAIIAggCCAIIAggCCAIIAggCCAIBAgMCanNxAH4AAAAAAAJzcQB+AAT///////////////7////+/////3VxAH4ABwAAAAQEEss1eHh3RQIeAAIBAgICQgIEAgUCBgIHAggCCQIfAgsCDAINAggCCAIIAggCCAIIAggCCAIIAggCCAIIAggCCAIIAggCCAIBAgMCa3NxAH4AAAAAAAJzcQB+AAT///////////////7////+/////3VxAH4ABwAAAAMtbUZ4eHdFAh4AAgECAgI5AgQCBQIGAgcCCAIJAh8CCwIMAg0CCAIIAggCCAIIAggCCAIIAggCCAIIAggCCAIIAggCCAIIAgECAwJsc3EAfgAAAAAAAnNxAH4ABP///////////////v////7/////dXEAfgAHAAAAAyCf7nh4d0UCHgACAQICAkkCBAIFAgYCBwIIAgkCCgILAgwCDQIIAggCCAIIAggCCAIIAggCCAIIAggCCAIIAggCCAIIAggCAQIDAm1zcQB+AAAAAAACc3EAfgAE///////////////+/////v////91cQB+AAcAAAAEAr0/pHh4d5ICHgACAQICAl0CBAIFAgYCBwIIAgkCHAILAgwCDQIIAggCCAIIAggCCAIIAggCCAIIAggCCAIIAggCCAIIAggCAQIDAjACHgACAQICAm4ABjIwMTMxMgIEAgUCBgIHAggCCQIcAgsCDAINAggCCAIIAggCCAIIAggCCAIIAggCCAIIAggCCAIIAggCCAIBAgMCb3NxAH4AAAAAAAJzcQB+AAT///////////////7////+/////3VxAH4ABwAAAAQZJ63EeHh3RQIeAAIBAgICHgIEAgUCBgIHAggCCQIKAgsCDAINAggCCAIIAggCCAIIAggCCAIIAggCCAIIAggCCAIIAggCCAIBAgMCcHNxAH4AAAAAAAJzcQB+AAT///////////////7////+/////3VxAH4ABwAAAAQD/TuOeHh3RQIeAAIBAgICRwIEAgUCBgIHAggCCQIfAgsCDAINAggCCAIIAggCCAIIAggCCAIIAggCCAIIAggCCAIIAggCCAIBAgMCcXNxAH4AAAAAAAJzcQB+AAT///////////////7////+/////3VxAH4ABwAAAAME+2h4eHdFAh4AAgECAgJWAgQCBQIGAgcCCAIJAgoCCwIMAg0CCAIIAggCCAIIAggCCAIIAggCCAIIAggCCAIIAggCCAIIAgECAwJyc3EAfgAAAAAAAnNxAH4ABP///////////////v////7/////dXEAfgAHAAAABCjphrZ4eHdFAh4AAgECAgIDAgQCBQIGAgcCCAIJAh8CCwIMAg0CCAIIAggCCAIIAggCCAIIAggCCAIIAggCCAIIAggCCAIIAgECAwJzc3EAfgAAAAAAAnNxAH4ABP///////////////v////7/////dXEAfgAHAAAAAweN1Hh4d4oCHgACAQICAicCBAIFAgYCBwIIAgkCCgILAgwCDQIIAggCCAIIAggCCAIIAggCCAIIAggCCAIIAggCCAIIAggCAQIDAigCHgACAQICAmUCBAIFAgYCBwIIAgkCHAILAgwCDQIIAggCCAIIAggCCAIIAggCCAIIAggCCAIIAggCCAIIAggCAQIDAnRzcQB+AAAAAAACc3EAfgAE///////////////+/////v////91cQB+AAcAAAAEZTFBq3h4d00CHgACAQICAnUABjIwMTUwOAIEAgUCBgIHAggCCQIKAgsCDAINAggCCAIIAggCCAIIAggCCAIIAggCCAIIAggCCAIIAggCCAIBAgMCdnNxAH4AAAAAAAJzcQB+AAT///////////////7////+/////3VxAH4ABwAAAAQC//QGeHh3RQIeAAIBAgICWQIEAgUCBgIHAggCCQIfAgsCDAINAggCCAIIAggCCAIIAggCCAIIAggCCAIIAggCCAIIAggCCAIBAgMCd3NxAH4AAAAAAAJzcQB+AAT///////////////7////+/////3VxAH4ABwAAAAM0T8l4eHdFAh4AAgECAgJhAgQCBQIGAgcCCAIJAh8CCwIMAg0CCAIIAggCCAIIAggCCAIIAggCCAIIAggCCAIIAggCCAIIAgECAwJ4c3EAfgAAAAAAAnNxAH4ABP///////////////v////7/////dXEAfgAHAAAAAwRWK3h4d0UCHgACAQICAm4CBAIFAgYCBwIIAgkCCgILAgwCDQIIAggCCAIIAggCCAIIAggCCAIIAggCCAIIAggCCAIIAggCAQIDAnlzcQB+AAAAAAACc3EAfgAE///////////////+/////gAAAAF1cQB+AAcAAAAECEZrP3h4d0UCHgACAQICAj0CBAIFAgYCBwIIAgkCHwILAgwCDQIIAggCCAIIAggCCAIIAggCCAIIAggCCAIIAggCCAIIAggCAQIDAnpzcQB+AAAAAAACc3EAfgAE///////////////+/////v////91cQB+AAcAAAADBmgreHh3RQIeAAIBAgICQAIEAgUCBgIHAggCCQIcAgsCDAINAggCCAIIAggCCAIIAggCCAIIAggCCAIIAggCCAIIAggCCAIBAgMCe3NxAH4AAAAAAAJzcQB+AAT///////////////7////+/////3VxAH4ABwAAAAQmyuoDeHh3RQIeAAIBAgICXQIEAgUCBgIHAggCCQIfAgsCDAINAggCCAIIAggCCAIIAggCCAIIAggCCAIIAggCCAIIAggCCAIBAgMCfHNxAH4AAAAAAAJzcQB+AAT///////////////7////+/////3VxAH4ABwAAAAMEDq54eHdFAh4AAgECAgJNAgQCBQIGAgcCCAIJAh8CCwIMAg0CCAIIAggCCAIIAggCCAIIAggCCAIIAggCCAIIAggCCAIIAgECAwJ9c3EAfgAAAAAAAnNxAH4ABP///////////////v////7/////dXEAfgAHAAAAAwQ0OHh4d0UCHgACAQICAkkCBAIFAgYCBwIIAgkCHAILAgwCDQIIAggCCAIIAggCCAIIAggCCAIIAggCCAIIAggCCAIIAggCAQIDAn5zcQB+AAAAAAACc3EAfgAE///////////////+/////v////91cQB+AAcAAAAEXVdQyXh4d0UCHgACAQICAk8CBAIFAgYCBwIIAgkCHAILAgwCDQIIAggCCAIIAggCCAIIAggCCAIIAggCCAIIAggCCAIIAggCAQIDAn9zcQB+AAAAAAACc3EAfgAE///////////////+/////gAAAAF1cQB+AAcAAAAEDXDg1nh4d0UCHgACAQICAlECBAIFAgYCBwIIAgkCHwILAgwCDQIIAggCCAIIAggCCAIIAggCCAIIAggCCAIIAggCCAIIAggCAQIDAoBzcQB+AAAAAAACc3EAfgAE///////////////+/////v////91cQB+AAcAAAADDoPdeHh3TQIeAAIBAgICgQAGMjAxNjEyAgQCBQIGAgcCCAIJAhwCCwIMAg0CCAIIAggCCAIIAggCCAIIAggCCAIIAggCCAIIAggCCAIIAgECAwKCc3EAfgAAAAAAAnNxAH4ABP///////////////v////7/////dXEAfgAHAAAABCij2ll4eHdFAh4AAgECAgIeAgQCBQIGAgcCCAIJAhwCCwIMAg0CCAIIAggCCAIIAggCCAIIAggCCAIIAggCCAIIAggCCAIIAgECAwKDc3EAfgAAAAAAAnNxAH4ABP///////////////v////7/////dXEAfgAHAAAABBCBw394eHdFAh4AAgECAgJ1AgQCBQIGAgcCCAIJAhwCCwIMAg0CCAIIAggCCAIIAggCCAIIAggCCAIIAggCCAIIAggCCAIIAgECAwKEc3EAfgAAAAAAAnNxAH4ABP///////////////v////7/////dXEAfgAHAAAABBUw9F94eHdFAh4AAgECAgIbAgQCBQIGAgcCCAIJAh8CCwIMAg0CCAIIAggCCAIIAggCCAIIAggCCAIIAggCCAIIAggCCAIIAgECAwKFc3EAfgAAAAAAAnNxAH4ABP///////////////v////7/////dXEAfgAHAAAAAwmef3h4d4oCHgACAQICAicCBAIFAgYCBwIIAgkCHAILAgwCDQIIAggCCAIIAggCCAIIAggCCAIIAggCCAIIAggCCAIIAggCAQIDAigCHgACAQICAjsCBAIFAgYCBwIIAgkCCgILAgwCDQIIAggCCAIIAggCCAIIAggCCAIIAggCCAIIAggCCAIIAggCAQIDAoZzcQB+AAAAAAACc3EAfgAE///////////////+/////v////91cQB+AAcAAAAEA21LCnh4d0UCHgACAQICAlYCBAIFAgYCBwIIAgkCHAILAgwCDQIIAggCCAIIAggCCAIIAggCCAIIAggCCAIIAggCCAIIAggCAQIDAodzcQB+AAAAAAACc3EAfgAE///////////////+/////v////91cQB+AAcAAAAEPRU7dnh4d00CHgACAQICAogABjIwMTcwMwIEAgUCBgIHAggCCQIfAgsCDAINAggCCAIIAggCCAIIAggCCAIIAggCCAIIAggCCAIIAggCCAIBAgMCiXNxAH4AAAAAAAJzcQB+AAT///////////////7////+/////3VxAH4ABwAAAAMEq5d4eHdFAh4AAgECAgJlAgQCBQIGAgcCCAIJAgoCCwIMAg0CCAIIAggCCAIIAggCCAIIAggCCAIIAggCCAIIAggCCAIIAgECAwKKc3EAfgAAAAAAAnNxAH4ABP///////////////v////7/////dXEAfgAHAAAAAzKU1nh4d0UCHgACAQICAiECBAIFAgYCBwIIAgkCHAILAgwCDQIIAggCCAIIAggCCAIIAggCCAIIAggCCAIIAggCCAIIAggCAQIDAotzcQB+AAAAAAACc3EAfgAE///////////////+/////v////91cQB+AAcAAAAEIys8Qnh4d0UCHgACAQICAoECBAIFAgYCBwIIAgkCCgILAgwCDQIIAggCCAIIAggCCAIIAggCCAIIAggCCAIIAggCCAIIAggCAQIDAoxzcQB+AAAAAAACc3EAfgAE///////////////+/////v////91cQB+AAcAAAAEO4uIvXh4d00CHgACAQICAo0ABjIwMTYwNgIEAgUCBgIHAggCCQIcAgsCDAINAggCCAIIAggCCAIIAggCCAIIAggCCAIIAggCCAIIAggCCAIBAgMCjnNxAH4AAAAAAAJzcQB+AAT///////////////7////+/////3VxAH4ABwAAAARUiEubeHh3RQIeAAIBAgICXwIEAgUCBgIHAggCCQIKAgsCDAINAggCCAIIAggCCAIIAggCCAIIAggCCAIIAggCCAIIAggCCAIBAgMCj3NxAH4AAAAAAAJzcQB+AAT///////////////7////+/////3VxAH4ABwAAAAQKun5ueHh3kgIeAAIBAgICLwIEAgUCBgIHAggCCQIfAgsCDAINAggCCAIIAggCCAIIAggCCAIIAggCCAIIAggCCAIIAggCCAIBAgMCfAIeAAIBAgICkAAGMjAxNjA1AgQCBQIGAgcCCAIJAh8CCwIMAg0CCAIIAggCCAIIAggCCAIIAggCCAIIAggCCAIIAggCCAIIAgECAwKRc3EAfgAAAAAAAnNxAH4ABP///////////////v////7/////dXEAfgAHAAAAAwuCrXh4d0UCHgACAQICAmECBAIFAgYCBwIIAgkCCgILAgwCDQIIAggCCAIIAggCCAIIAggCCAIIAggCCAIIAggCCAIIAggCAQIDApJzcQB+AAAAAAACc3EAfgAE///////////////+/////v////91cQB+AAcAAAAEBiEYhXh4d0UCHgACAQICAjECBAIFAgYCBwIIAgkCHAILAgwCDQIIAggCCAIIAggCCAIIAggCCAIIAggCCAIIAggCCAIIAggCAQIDApNzcQB+AAAAAAACc3EAfgAE///////////////+/////v////91cQB+AAcAAAAEChmConh4d0UCHgACAQICAnUCBAIFAgYCBwIIAgkCHwILAgwCDQIIAggCCAIIAggCCAIIAggCCAIIAggCCAIIAggCCAIIAggCAQIDApRzcQB+AAAAAAACc3EAfgAE///////////////+/////v////91cQB+AAcAAAADKMJVeHh3RQIeAAIBAgICKQIEAgUCBgIHAggCCQIKAgsCDAINAggCCAIIAggCCAIIAggCCAIIAggCCAIIAggCCAIIAggCCAIBAgMClXNxAH4AAAAAAAJzcQB+AAT///////////////7////+/////3VxAH4ABwAAAAQE5DAPeHh3RQIeAAIBAgICPQIEAgUCBgIHAggCCQIKAgsCDAINAggCCAIIAggCCAIIAggCCAIIAggCCAIIAggCCAIIAggCCAIBAgMClnNxAH4AAAAAAAJzcQB+AAT///////////////7////+/////3VxAH4ABwAAAARMQw4VeHh3RQIeAAIBAgICNwIEAgUCBgIHAggCCQIcAgsCDAINAggCCAIIAggCCAIIAggCCAIIAggCCAIIAggCCAIIAggCCAIBAgMCl3NxAH4AAAAAAAJzcQB+AAT///////////////7////+AAAAAXVxAH4ABwAAAAQQK1/JeHh3RQIeAAIBAgICMwIEAgUCBgIHAggCCQIcAgsCDAINAggCCAIIAggCCAIIAggCCAIIAggCCAIIAggCCAIIAggCCAIBAgMCmHNxAH4AAAAAAAJzcQB+AAT///////////////7////+/////3VxAH4ABwAAAARacNl3eHh3RQIeAAIBAgICkAIEAgUCBgIHAggCCQIKAgsCDAINAggCCAIIAggCCAIIAggCCAIIAggCCAIIAggCCAIIAggCCAIBAgMCmXNxAH4AAAAAAAJzcQB+AAT///////////////7////+/////3VxAH4ABwAAAAQENonjeHh3RQIeAAIBAgICKwIEAgUCBgIHAggCCQIfAgsCDAINAggCCAIIAggCCAIIAggCCAIIAggCCAIIAggCCAIIAggCCAIBAgMCmnNxAH4AAAAAAAJzcQB+AAT///////////////7////+/////3VxAH4ABwAAAAMmhvZ4eHdFAh4AAgECAgItAgQCBQIGAgcCCAIJAgoCCwIMAg0CCAIIAggCCAIIAggCCAIIAggCCAIIAggCCAIIAggCCAIIAgECAwKbc3EAfgAAAAAAAnNxAH4ABP///////////////v////7/////dXEAfgAHAAAAA7xcsnh4d0UCHgACAQICAikCBAIFAgYCBwIIAgkCHAILAgwCDQIIAggCCAIIAggCCAIIAggCCAIIAggCCAIIAggCCAIIAggCAQIDApxzcQB+AAAAAAACc3EAfgAE///////////////+/////v////91cQB+AAcAAAAESHB4r3h4d0UCHgACAQICAjECBAIFAgYCBwIIAgkCCgILAgwCDQIIAggCCAIIAggCCAIIAggCCAIIAggCCAIIAggCCAIIAggCAQIDAp1zcQB+AAAAAAACc3EAfgAE///////////////+/////v////91cQB+AAcAAAAEBdU7gHh4d0UCHgACAQICAkcCBAIFAgYCBwIIAgkCHAILAgwCDQIIAggCCAIIAggCCAIIAggCCAIIAggCCAIIAggCCAIIAggCAQIDAp5zcQB+AAAAAAACc3EAfgAE///////////////+/////v////91cQB+AAcAAAAESYtTyXh4d0UCHgACAQICAiUCBAIFAgYCBwIIAgkCHwILAgwCDQIIAggCCAIIAggCCAIIAggCCAIIAggCCAIIAggCCAIIAggCAQIDAp9zcQB+AAAAAAACc3EAfgAE///////////////+/////v////91cQB+AAcAAAADKkFheHh3RQIeAAIBAgICjQIEAgUCBgIHAggCCQIKAgsCDAINAggCCAIIAggCCAIIAggCCAIIAggCCAIIAggCCAIIAggCCAIBAgMCoHNxAH4AAAAAAAJzcQB+AAT///////////////7////+/////3VxAH4ABwAAAAQDq4uteHh3igIeAAIBAgICVQIEAgUCBgIHAggCCQIKAgsCDAINAggCCAIIAggCCAIIAggCCAIIAggCCAIIAggCCAIIAggCCAIBAgMCXgIeAAIBAgICbgIEAgUCBgIHAggCCQIfAgsCDAINAggCCAIIAggCCAIIAggCCAIIAggCCAIIAggCCAIIAggCCAIBAgMCoXNxAH4AAAAAAAJzcQB+AAT///////////////7////+/////3VxAH4ABwAAAAMU5eR4eHdFAh4AAgECAgKIAgQCBQIGAgcCCAIJAgoCCwIMAg0CCAIIAggCCAIIAggCCAIIAggCCAIIAggCCAIIAggCCAIIAgECAwKic3EAfgAAAAAAAnNxAH4ABP///////////////v////7/////dXEAfgAHAAAABBD98iN4eHeKAh4AAgECAgJVAgQCBQIGAgcCCAIJAh8CCwIMAg0CCAIIAggCCAIIAggCCAIIAggCCAIIAggCCAIIAggCCAIIAgECAwJ8Ah4AAgECAgKQAgQCBQIGAgcCCAIJAhwCCwIMAg0CCAIIAggCCAIIAggCCAIIAggCCAIIAggCCAIIAggCCAIIAgECAwKjc3EAfgAAAAAAAnNxAH4ABP///////////////v////7/////dXEAfgAHAAAABEwrC4B4eHdFAh4AAgECAgJAAgQCBQIGAgcCCAIJAgoCCwIMAg0CCAIIAggCCAIIAggCCAIIAggCCAIIAggCCAIIAggCCAIIAgECAwKkc3EAfgAAAAAAAnNxAH4ABP///////////////v////7/////dXEAfgAHAAAABA5PYHF4eHdFAh4AAgECAgJPAgQCBQIGAgcCCAIJAgoCCwIMAg0CCAIIAggCCAIIAggCCAIIAggCCAIIAggCCAIIAggCCAIIAgECAwKlc3EAfgAAAAAAAnNxAH4ABP///////////////v////4AAAABdXEAfgAHAAAABAJpzoV4eHdFAh4AAgECAgIzAgQCBQIGAgcCCAIJAgoCCwIMAg0CCAIIAggCCAIIAggCCAIIAggCCAIIAggCCAIIAggCCAIIAgECAwKmc3EAfgAAAAAAAnNxAH4ABP///////////////v////7/////dXEAfgAHAAAABAnwakZ4eHdFAh4AAgECAgKNAgQCBQIGAgcCCAIJAh8CCwIMAg0CCAIIAggCCAIIAggCCAIIAggCCAIIAggCCAIIAggCCAIIAgECAwKnc3EAfgAAAAAAAnNxAH4ABP///////////////v////7/////dXEAfgAHAAAAAwqAVHh4d0UCHgACAQICAiMCBAIFAgYCBwIIAgkCHwILAgwCDQIIAggCCAIIAggCCAIIAggCCAIIAggCCAIIAggCCAIIAggCAQIDAqhzcQB+AAAAAAACc3EAfgAE///////////////+/////v////91cQB+AAcAAAADAQ74eHh3RQIeAAIBAgICLQIEAgUCBgIHAggCCQIcAgsCDAINAggCCAIIAggCCAIIAggCCAIIAggCCAIIAggCCAIIAggCCAIBAgMCqXNxAH4AAAAAAAJzcQB+AAT///////////////7////+/////3VxAH4ABwAAAARijcsWeHh3RQIeAAIBAgICJQIEAgUCBgIHAggCCQIKAgsCDAINAggCCAIIAggCCAIIAggCCAIIAggCCAIIAggCCAIIAggCCAIBAgMCqnNxAH4AAAAAAAJzcQB+AAT///////////////7////+/////3VxAH4ABwAAAAQDNC1CeHh3RQIeAAIBAgICiAIEAgUCBgIHAggCCQIcAgsCDAINAggCCAIIAggCCAIIAggCCAIIAggCCAIIAggCCAIIAggCCAIBAgMCq3NxAH4AAAAAAAJzcQB+AAT///////////////7////+/////3VxAH4ABwAAAARTY5smeHh3RQIeAAIBAgICXwIEAgUCBgIHAggCCQIfAgsCDAINAggCCAIIAggCCAIIAggCCAIIAggCCAIIAggCCAIIAggCCAIBAgMCrHNxAH4AAAAAAAJzcQB+AAT///////////////7////+/////3VxAH4ABwAAAAMWKRt4eHeKAh4AAgECAgIvAgQCBQIGAgcCCAIJAgoCCwIMAg0CCAIIAggCCAIIAggCCAIIAggCCAIIAggCCAIIAggCCAIIAgECAwJeAh4AAgECAgKBAgQCBQIGAgcCCAIJAh8CCwIMAg0CCAIIAggCCAIIAggCCAIIAggCCAIIAggCCAIIAggCCAIIAgECAwKtc3EAfgAAAAAAAnNxAH4ABP///////////////v////7/////dXEAfgAHAAAAAwbck3h4d0UCHgACAQICAjsCBAIFAgYCBwIIAgkCHAILAgwCDQIIAggCCAIIAggCCAIIAggCCAIIAggCCAIIAggCCAIIAggCAQIDAq5zcQB+AAAAAAACc3EAfgAE///////////////+/////v////91cQB+AAcAAAAEEo2iu3h4egAABAACHgACrwAJMjkxNjY1MzEyAgICAwIEAgUCBgIHAggCCQIfAgsCDAINAggCCAIIAggCCAIIAggCCAIIAggCCAIIAggCCAIIAggCCAIbAgMCcwIeAAKvAgICYQIEAgUCBgIHAggCCQIKAgsCDAINAggCCAIIAggCCAIIAggCCAIIAggCCAIIAggCCAIIAggCCAIbAgMCkgIeAAKvAgICUQIEAgUCBgIHAggCCQIcAgsCDAINAggCCAIIAggCCAIIAggCCAIIAggCCAIIAggCCAIIAggCCAIbAgMCUgIeAAKvAgICkAIEAgUCBgIHAggCCQIKAgsCDAINAggCCAIIAggCCAIIAggCCAIIAggCCAIIAggCCAIIAggCCAIbAgMCmQIeAAKvAgICKwIEAgUCBgIHAggCCQIfAgsCDAINAggCCAIIAggCCAIIAggCCAIIAggCCAIIAggCCAIIAggCCAIbAgMCmgIeAAKvAgICXQIEAgUCBgIHAggCCQIcAgsCDAINAggCCAIIAggCCAIIAggCCAIIAggCCAIIAggCCAIIAggCCAIbAgMCMAIeAAKvAgICIwIEAgUCBgIHAggCCQIfAgsCDAINAggCCAIIAggCCAIIAggCCAIIAggCCAIIAggCCAIIAggCCAIbAgMCqAIeAAKvAgICWQIEAgUCBgIHAggCCQIcAgsCDAINAggCCAIIAggCCAIIAggCCAIIAggCCAIIAggCCAIIAggCCAIbAgMCagIeAAKvAgICYQIEAgUCBgIHAggCCQIcAgsCDAINAggCCAIIAggCCAIIAggCCAIIAggCCAIIAggCCAIIAggCCAIbAgMCYgIeAAKvAgICPQIEAgUCBgIHAggCCQIcAgsCDAINAggCCAIIAggCCAIIAggCCAIIAggCCAIIAggCCAIIAggCCAIbAgMCPgIeAAKvAgICQgIEAgUCBgIHAggCCQIKAgsCDAINAggCCAIIAggCCAIIAggCCAIIAggCCAIIAggCCAIIAggCCAIbAgMCQwIeAAKvAgICRQIEAgUCBgIHAggCCQIfAgsCDAINAggCCAIIAggCCAIIAggCCAIIAggCCAIIAggCCAIIAggCCAIbAgMCRgIeAAKvAgICdQIEAgUCBgIHAggCCQIcAgsCDAINAggCCAIIAggCCAIIAggCCAIIAggCCAIIAggCCAIIAggCCAIbAgMChAIeAAKvAgICiAIEAgUCBgIHAggCCQIKAgsCDAINAggCCAIIAggCCAIIAggCCAIIAggCCAIIAggCCAIIAggCCAIbAgMCogIeAAKvAgICMwIEAgUCBgIHAggCCQIfAgsCDAINAggCCAIIAggCCAIIAggCCAIIegAABAACCAIIAggCCAIIAggCCAIIAhsCAwI0Ah4AAq8CAgIbAgQCBQIGAgcCCAIJAgoCCwIMAg0CCAIIAggCCAIIAggCCAIIAggCCAIIAggCCAIIAggCCAIIAhsCAwI/Ah4AAq8CAgJfAgQCBQIGAgcCCAIJAhwCCwIMAg0CCAIIAggCCAIIAggCCAIIAggCCAIIAggCCAIIAggCCAIIAhsCAwJgAh4AAq8CAgI5AgQCBQIGAgcCCAIJAgoCCwIMAg0CCAIIAggCCAIIAggCCAIIAggCCAIIAggCCAIIAggCCAIIAhsCAwJMAh4AAq8CAgIvAgQCBQIGAgcCCAIJAh8CCwIMAg0CCAIIAggCCAIIAggCCAIIAggCCAIIAggCCAIIAggCCAIIAhsCAwJ8Ah4AAq8CAgJCAgQCBQIGAgcCCAIJAhwCCwIMAg0CCAIIAggCCAIIAggCCAIIAggCCAIIAggCCAIIAggCCAIIAhsCAwJLAh4AAq8CAgIlAgQCBQIGAgcCCAIJAh8CCwIMAg0CCAIIAggCCAIIAggCCAIIAggCCAIIAggCCAIIAggCCAIIAhsCAwKfAh4AAq8CAgJNAgQCBQIGAgcCCAIJAhwCCwIMAg0CCAIIAggCCAIIAggCCAIIAggCCAIIAggCCAIIAggCCAIIAhsCAwJOAh4AAq8CAgJdAgQCBQIGAgcCCAIJAgoCCwIMAg0CCAIIAggCCAIIAggCCAIIAggCCAIIAggCCAIIAggCCAIIAhsCAwJeAh4AAq8CAgJZAgQCBQIGAgcCCAIJAgoCCwIMAg0CCAIIAggCCAIIAggCCAIIAggCCAIIAggCCAIIAggCCAIIAhsCAwJaAh4AAq8CAgIbAgQCBQIGAgcCCAIJAhwCCwIMAg0CCAIIAggCCAIIAggCCAIIAggCCAIIAggCCAIIAggCCAIIAhsCAwIdAh4AAq8CAgIhAgQCBQIGAgcCCAIJAh8CCwIMAg0CCAIIAggCCAIIAggCCAIIAggCCAIIAggCCAIIAggCCAIIAhsCAwIiAh4AAq8CAgIDAgQCBQIGAgcCCAIJAgoCCwIMAg0CCAIIAggCCAIIAggCCAIIAggCCAIIAggCCAIIAggCCAIIAhsCAwIOAh4AAq8CAgInAgQCBQIGAgcCCAIJAh8CCwIMAg0CCAIIAggCCAIIAggCCAIIAggCCAIIAggCCAIIAggCCAIIAhsCAwIoAh4AAq8CAgJuAgQCBQIGAgcCCAIJAgoCCwIMAg0CCAIIAggCCAIIAggCCAIIAggCCAIIAggCCAIIAggCCAIIAhsCAwJ5Ah4AAq8CAgKQAgQCBQIGAgcCCAIJAh8CCwIMAg0CCAIIAggCegAABAAIAggCCAIIAggCCAIIAggCCAIIAggCCAIIAggCGwIDApECHgACrwICAlYCBAIFAgYCBwIIAgkCCgILAgwCDQIIAggCCAIIAggCCAIIAggCCAIIAggCCAIIAggCCAIIAggCGwIDAnICHgACrwICAkICBAIFAgYCBwIIAgkCHwILAgwCDQIIAggCCAIIAggCCAIIAggCCAIIAggCCAIIAggCCAIIAggCGwIDAmsCHgACrwICAlECBAIFAgYCBwIIAgkCHwILAgwCDQIIAggCCAIIAggCCAIIAggCCAIIAggCCAIIAggCCAIIAggCGwIDAoACHgACrwICAi0CBAIFAgYCBwIIAgkCHwILAgwCDQIIAggCCAIIAggCCAIIAggCCAIIAggCCAIIAggCCAIIAggCGwIDAi4CHgACrwICAkcCBAIFAgYCBwIIAgkCCgILAgwCDQIIAggCCAIIAggCCAIIAggCCAIIAggCCAIIAggCCAIIAggCGwIDAkgCHgACrwICAk0CBAIFAgYCBwIIAgkCHwILAgwCDQIIAggCCAIIAggCCAIIAggCCAIIAggCCAIIAggCCAIIAggCGwIDAn0CHgACrwICAkkCBAIFAgYCBwIIAgkCHAILAgwCDQIIAggCCAIIAggCCAIIAggCCAIIAggCCAIIAggCCAIIAggCGwIDAn4CHgACrwICAisCBAIFAgYCBwIIAgkCCgILAgwCDQIIAggCCAIIAggCCAIIAggCCAIIAggCCAIIAggCCAIIAggCGwIDAiwCHgACrwICAmUCBAIFAgYCBwIIAgkCHwILAgwCDQIIAggCCAIIAggCCAIIAggCCAIIAggCCAIIAggCCAIIAggCGwIDAmYCHgACrwICAicCBAIFAgYCBwIIAgkCHAILAgwCDQIIAggCCAIIAggCCAIIAggCCAIIAggCCAIIAggCCAIIAggCGwIDAigCHgACrwICAlYCBAIFAgYCBwIIAgkCHAILAgwCDQIIAggCCAIIAggCCAIIAggCCAIIAggCCAIIAggCCAIIAggCGwIDAocCHgACrwICAjsCBAIFAgYCBwIIAgkCHwILAgwCDQIIAggCCAIIAggCCAIIAggCCAIIAggCCAIIAggCCAIIAggCGwIDAjwCHgACrwICAh4CBAIFAgYCBwIIAgkCHAILAgwCDQIIAggCCAIIAggCCAIIAggCCAIIAggCCAIIAggCCAIIAggCGwIDAoMCHgACrwICAk0CBAIFAgYCBwIIAgkCCgILAgwCDQIIAggCCAIIAggCCAIIAggCCAIIAggCCAIIAggCCAIIAggCGwIDAmQCHgACrwICAlMCBAIFAgYCBwIIAgkCHAILegAABAACDAINAggCCAIIAggCCAIIAggCCAIIAggCCAIIAggCCAIIAggCCAIbAgMCaAIeAAKvAgICNwIEAgUCBgIHAggCCQIfAgsCDAINAggCCAIIAggCCAIIAggCCAIIAggCCAIIAggCCAIIAggCCAIbAgMCOAIeAAKvAgICbgIEAgUCBgIHAggCCQIcAgsCDAINAggCCAIIAggCCAIIAggCCAIIAggCCAIIAggCCAIIAggCCAIbAgMCbwIeAAKvAgICRwIEAgUCBgIHAggCCQIfAgsCDAINAggCCAIIAggCCAIIAggCCAIIAggCCAIIAggCCAIIAggCCAIbAgMCcQIeAAKvAgICOQIEAgUCBgIHAggCCQIfAgsCDAINAggCCAIIAggCCAIIAggCCAIIAggCCAIIAggCCAIIAggCCAIbAgMCbAIeAAKvAgICUQIEAgUCBgIHAggCCQIKAgsCDAINAggCCAIIAggCCAIIAggCCAIIAggCCAIIAggCCAIIAggCCAIbAgMCYwIeAAKvAgICKQIEAgUCBgIHAggCCQIfAgsCDAINAggCCAIIAggCCAIIAggCCAIIAggCCAIIAggCCAIIAggCCAIbAgMCKgIeAAKvAgICKwIEAgUCBgIHAggCCQIcAgsCDAINAggCCAIIAggCCAIIAggCCAIIAggCCAIIAggCCAIIAggCCAIbAgMCaQIeAAKvAgICSQIEAgUCBgIHAggCCQIKAgsCDAINAggCCAIIAggCCAIIAggCCAIIAggCCAIIAggCCAIIAggCCAIbAgMCbQIeAAKvAgICIQIEAgUCBgIHAggCCQIKAgsCDAINAggCCAIIAggCCAIIAggCCAIIAggCCAIIAggCCAIIAggCCAIbAgMCWAIeAAKvAgICRQIEAgUCBgIHAggCCQIcAgsCDAINAggCCAIIAggCCAIIAggCCAIIAggCCAIIAggCCAIIAggCCAIbAgMCWwIeAAKvAgICVgIEAgUCBgIHAggCCQIfAgsCDAINAggCCAIIAggCCAIIAggCCAIIAggCCAIIAggCCAIIAggCCAIbAgMCVwIeAAKvAgICVQIEAgUCBgIHAggCCQIcAgsCDAINAggCCAIIAggCCAIIAggCCAIIAggCCAIIAggCCAIIAggCCAIbAgMCMAIeAAKvAgICKQIEAgUCBgIHAggCCQIKAgsCDAINAggCCAIIAggCCAIIAggCCAIIAggCCAIIAggCCAIIAggCCAIbAgMClQIeAAKvAgICdQIEAgUCBgIHAggCCQIfAgsCDAINAggCCAIIAggCCAIIAggCCAIIAggCCAIIAggCCAIIAggCCAIbAgMClAIeAAKvAgICJwIEAgUCegAABAAGAgcCCAIJAgoCCwIMAg0CCAIIAggCCAIIAggCCAIIAggCCAIIAggCCAIIAggCCAIIAhsCAwIoAh4AAq8CAgIxAgQCBQIGAgcCCAIJAhwCCwIMAg0CCAIIAggCCAIIAggCCAIIAggCCAIIAggCCAIIAggCCAIIAhsCAwKTAh4AAq8CAgJuAgQCBQIGAgcCCAIJAh8CCwIMAg0CCAIIAggCCAIIAggCCAIIAggCCAIIAggCCAIIAggCCAIIAhsCAwKhAh4AAq8CAgItAgQCBQIGAgcCCAIJAgoCCwIMAg0CCAIIAggCCAIIAggCCAIIAggCCAIIAggCCAIIAggCCAIIAhsCAwKbAh4AAq8CAgIzAgQCBQIGAgcCCAIJAhwCCwIMAg0CCAIIAggCCAIIAggCCAIIAggCCAIIAggCCAIIAggCCAIIAhsCAwKYAh4AAq8CAgI3AgQCBQIGAgcCCAIJAhwCCwIMAg0CCAIIAggCCAIIAggCCAIIAggCCAIIAggCCAIIAggCCAIIAhsCAwKXAh4AAq8CAgIeAgQCBQIGAgcCCAIJAgoCCwIMAg0CCAIIAggCCAIIAggCCAIIAggCCAIIAggCCAIIAggCCAIIAhsCAwJwAh4AAq8CAgKBAgQCBQIGAgcCCAIJAgoCCwIMAg0CCAIIAggCCAIIAggCCAIIAggCCAIIAggCCAIIAggCCAIIAhsCAwKMAh4AAq8CAgJVAgQCBQIGAgcCCAIJAgoCCwIMAg0CCAIIAggCCAIIAggCCAIIAggCCAIIAggCCAIIAggCCAIIAhsCAwJeAh4AAq8CAgJTAgQCBQIGAgcCCAIJAgoCCwIMAg0CCAIIAggCCAIIAggCCAIIAggCCAIIAggCCAIIAggCCAIIAhsCAwJcAh4AAq8CAgKNAgQCBQIGAgcCCAIJAgoCCwIMAg0CCAIIAggCCAIIAggCCAIIAggCCAIIAggCCAIIAggCCAIIAhsCAwKgAh4AAq8CAgKIAgQCBQIGAgcCCAIJAh8CCwIMAg0CCAIIAggCCAIIAggCCAIIAggCCAIIAggCCAIIAggCCAIIAhsCAwKJAh4AAq8CAgIpAgQCBQIGAgcCCAIJAhwCCwIMAg0CCAIIAggCCAIIAggCCAIIAggCCAIIAggCCAIIAggCCAIIAhsCAwKcAh4AAq8CAgJFAgQCBQIGAgcCCAIJAgoCCwIMAg0CCAIIAggCCAIIAggCCAIIAggCCAIIAggCCAIIAggCCAIIAhsCAwJnAh4AAq8CAgIhAgQCBQIGAgcCCAIJAhwCCwIMAg0CCAIIAggCCAIIAggCCAIIAggCCAIIAggCCAIIAggCCAIIAhsCAwKLAh4AegAABAACrwICAmUCBAIFAgYCBwIIAgkCCgILAgwCDQIIAggCCAIIAggCCAIIAggCCAIIAggCCAIIAggCCAIIAggCGwIDAooCHgACrwICAk8CBAIFAgYCBwIIAgkCHwILAgwCDQIIAggCCAIIAggCCAIIAggCCAIIAggCCAIIAggCCAIIAggCGwIDAlACHgACrwICAkACBAIFAgYCBwIIAgkCHwILAgwCDQIIAggCCAIIAggCCAIIAggCCAIIAggCCAIIAggCCAIIAggCGwIDAkECHgACrwICAgMCBAIFAgYCBwIIAgkCHAILAgwCDQIIAggCCAIIAggCCAIIAggCCAIIAggCCAIIAggCCAIIAggCGwIDAjUCHgACrwICAoECBAIFAgYCBwIIAgkCHAILAgwCDQIIAggCCAIIAggCCAIIAggCCAIIAggCCAIIAggCCAIIAggCGwIDAoICHgACrwICAjsCBAIFAgYCBwIIAgkCCgILAgwCDQIIAggCCAIIAggCCAIIAggCCAIIAggCCAIIAggCCAIIAggCGwIDAoYCHgACrwICAkkCBAIFAgYCBwIIAgkCHwILAgwCDQIIAggCCAIIAggCCAIIAggCCAIIAggCCAIIAggCCAIIAggCGwIDAkoCHgACrwICAkcCBAIFAgYCBwIIAgkCHAILAgwCDQIIAggCCAIIAggCCAIIAggCCAIIAggCCAIIAggCCAIIAggCGwIDAp4CHgACrwICAjcCBAIFAgYCBwIIAgkCCgILAgwCDQIIAggCCAIIAggCCAIIAggCCAIIAggCCAIIAggCCAIIAggCGwIDAkQCHgACrwICAh4CBAIFAgYCBwIIAgkCHwILAgwCDQIIAggCCAIIAggCCAIIAggCCAIIAggCCAIIAggCCAIIAggCGwIDAiACHgACrwICAiMCBAIFAgYCBwIIAgkCHAILAgwCDQIIAggCCAIIAggCCAIIAggCCAIIAggCCAIIAggCCAIIAggCGwIDAiQCHgACrwICAo0CBAIFAgYCBwIIAgkCHAILAgwCDQIIAggCCAIIAggCCAIIAggCCAIIAggCCAIIAggCCAIIAggCGwIDAo4CHgACrwICAmUCBAIFAgYCBwIIAgkCHAILAgwCDQIIAggCCAIIAggCCAIIAggCCAIIAggCCAIIAggCCAIIAggCGwIDAnQCHgACrwICAjsCBAIFAgYCBwIIAgkCHAILAgwCDQIIAggCCAIIAggCCAIIAggCCAIIAggCCAIIAggCCAIIAggCGwIDAq4CHgACrwICAj0CBAIFAgYCBwIIAgkCHwILAgwCDQIIAggCCAIIAggCCAIIAggCCAIIAggCCAIIAggCCAIIegAABAACCAIbAgMCegIeAAKvAgICTwIEAgUCBgIHAggCCQIcAgsCDAINAggCCAIIAggCCAIIAggCCAIIAggCCAIIAggCCAIIAggCCAIbAgMCfwIeAAKvAgICUwIEAgUCBgIHAggCCQIfAgsCDAINAggCCAIIAggCCAIIAggCCAIIAggCCAIIAggCCAIIAggCCAIbAgMCVAIeAAKvAgICWQIEAgUCBgIHAggCCQIfAgsCDAINAggCCAIIAggCCAIIAggCCAIIAggCCAIIAggCCAIIAggCCAIbAgMCdwIeAAKvAgICdQIEAgUCBgIHAggCCQIKAgsCDAINAggCCAIIAggCCAIIAggCCAIIAggCCAIIAggCCAIIAggCCAIbAgMCdgIeAAKvAgICJQIEAgUCBgIHAggCCQIcAgsCDAINAggCCAIIAggCCAIIAggCCAIIAggCCAIIAggCCAIIAggCCAIbAgMCJgIeAAKvAgICLwIEAgUCBgIHAggCCQIcAgsCDAINAggCCAIIAggCCAIIAggCCAIIAggCCAIIAggCCAIIAggCCAIbAgMCMAIeAAKvAgICXQIEAgUCBgIHAggCCQIfAgsCDAINAggCCAIIAggCCAIIAggCCAIIAggCCAIIAggCCAIIAggCCAIbAgMCfAIeAAKvAgICXwIEAgUCBgIHAggCCQIKAgsCDAINAggCCAIIAggCCAIIAggCCAIIAggCCAIIAggCCAIIAggCCAIbAgMCjwIeAAKvAgICjQIEAgUCBgIHAggCCQIfAgsCDAINAggCCAIIAggCCAIIAggCCAIIAggCCAIIAggCCAIIAggCCAIbAgMCpwIeAAKvAgICIwIEAgUCBgIHAggCCQIKAgsCDAINAggCCAIIAggCCAIIAggCCAIIAggCCAIIAggCCAIIAggCCAIbAgMCNgIeAAKvAgICOQIEAgUCBgIHAggCCQIcAgsCDAINAggCCAIIAggCCAIIAggCCAIIAggCCAIIAggCCAIIAggCCAIbAgMCOgIeAAKvAgICMQIEAgUCBgIHAggCCQIfAgsCDAINAggCCAIIAggCCAIIAggCCAIIAggCCAIIAggCCAIIAggCCAIbAgMCMgIeAAKvAgICQAIEAgUCBgIHAggCCQIKAgsCDAINAggCCAIIAggCCAIIAggCCAIIAggCCAIIAggCCAIIAggCCAIbAgMCpAIeAAKvAgICTwIEAgUCBgIHAggCCQIKAgsCDAINAggCCAIIAggCCAIIAggCCAIIAggCCAIIAggCCAIIAggCCAIbAgMCpQIeAAKvAgICVQIEAgUCBgIHAggCCQIfAgsCDAINAggCCAIIAggCCAIIAggCCAIIAggCegAAA+gIAggCCAIIAggCCAIIAhsCAwJ8Ah4AAq8CAgIbAgQCBQIGAgcCCAIJAh8CCwIMAg0CCAIIAggCCAIIAggCCAIIAggCCAIIAggCCAIIAggCCAIIAhsCAwKFAh4AAq8CAgKQAgQCBQIGAgcCCAIJAhwCCwIMAg0CCAIIAggCCAIIAggCCAIIAggCCAIIAggCCAIIAggCCAIIAhsCAwKjAh4AAq8CAgIxAgQCBQIGAgcCCAIJAgoCCwIMAg0CCAIIAggCCAIIAggCCAIIAggCCAIIAggCCAIIAggCCAIIAhsCAwKdAh4AAq8CAgItAgQCBQIGAgcCCAIJAhwCCwIMAg0CCAIIAggCCAIIAggCCAIIAggCCAIIAggCCAIIAggCCAIIAhsCAwKpAh4AAq8CAgJfAgQCBQIGAgcCCAIJAh8CCwIMAg0CCAIIAggCCAIIAggCCAIIAggCCAIIAggCCAIIAggCCAIIAhsCAwKsAh4AAq8CAgIzAgQCBQIGAgcCCAIJAgoCCwIMAg0CCAIIAggCCAIIAggCCAIIAggCCAIIAggCCAIIAggCCAIIAhsCAwKmAh4AAq8CAgKBAgQCBQIGAgcCCAIJAh8CCwIMAg0CCAIIAggCCAIIAggCCAIIAggCCAIIAggCCAIIAggCCAIIAhsCAwKtAh4AAq8CAgIvAgQCBQIGAgcCCAIJAgoCCwIMAg0CCAIIAggCCAIIAggCCAIIAggCCAIIAggCCAIIAggCCAIIAhsCAwJeAh4AAq8CAgJhAgQCBQIGAgcCCAIJAh8CCwIMAg0CCAIIAggCCAIIAggCCAIIAggCCAIIAggCCAIIAggCCAIIAhsCAwJ4Ah4AAq8CAgJAAgQCBQIGAgcCCAIJAhwCCwIMAg0CCAIIAggCCAIIAggCCAIIAggCCAIIAggCCAIIAggCCAIIAhsCAwJ7Ah4AAq8CAgKIAgQCBQIGAgcCCAIJAhwCCwIMAg0CCAIIAggCCAIIAggCCAIIAggCCAIIAggCCAIIAggCCAIIAhsCAwKrAh4AAq8CAgI9AgQCBQIGAgcCCAIJAgoCCwIMAg0CCAIIAggCCAIIAggCCAIIAggCCAIIAggCCAIIAggCCAIIAhsCAwKWAh4AAq8CAgIlAgQCBQIGAgcCCAIJAgoCCwIMAg0CCAIIAggCCAIIAggCCAIIAggCCAIIAggCCAIIAggCCAIIAhsCAwKqAh4AArAACTU2NjQwMjQ4OAICAiECBAIFAgYCBwIIAgkCHAILArEAAklEAg0CCAIIAggCCAIIAggCCAIIAggCCAIIAggCCAIIAggCCAIIAhYCAwKyc3EAfgAAAAAAAnNxAH4ABP///////////////v////7/////dXEAfgAHAAAABBYv8Ht4eHeSAh4AArACAgInAgQCBQIGAgcCCAIJAhwCCwKxAg0CCAIIAggCCAIIAggCCAIIAggCCAIIAggCCAIIAggCCAIIAhYCAwIoAh4AArACAgJhAgQCBQIGAgcCCAIJArMABjE5MTAxNQILArECDQIIAggCCAIIAggCCAIIAggCCAIIAggCCAIIAggCCAIIAggCFgIDArRzcQB+AAAAAAACc3EAfgAE///////////////+/////v////91cQB+AAcAAAADEpLKeHh3RQIeAAKwAgICWQIEAgUCBgIHAggCCQKzAgsCsQINAggCCAIIAggCCAIIAggCCAIIAggCCAIIAggCCAIIAggCCAIWAgMCtXNxAH4AAAAAAAJzcQB+AAT///////////////7////+/////3VxAH4ABwAAAAMSLOt4eHdFAh4AArACAgJAAgQCBQIGAgcCCAIJAgoCCwKxAg0CCAIIAggCCAIIAggCCAIIAggCCAIIAggCCAIIAggCCAIIAhYCAwK2c3EAfgAAAAAAAnNxAH4ABP///////////////v////7/////dXEAfgAHAAAABAfaeUh4eHdFAh4AArACAgJPAgQCBQIGAgcCCAIJAgoCCwKxAg0CCAIIAggCCAIIAggCCAIIAggCCAIIAggCCAIIAggCCAIIAhYCAwK3c3EAfgAAAAAAAnNxAH4ABP///////////////v////4AAAABdXEAfgAHAAAAA7pUdnh4d0UCHgACsAICAo0CBAIFAgYCBwIIAgkCCgILArECDQIIAggCCAIIAggCCAIIAggCCAIIAggCCAIIAggCCAIIAggCFgIDArhzcQB+AAAAAAACc3EAfgAE///////////////+/////v////91cQB+AAcAAAAEAWTK8nh4d0UCHgACsAICAl0CBAIFAgYCBwIIAgkCswILArECDQIIAggCCAIIAggCCAIIAggCCAIIAggCCAIIAggCCAIIAggCFgIDArlzcQB+AAAAAAACc3EAfgAE///////////////+/////v////91cQB+AAcAAAADEqKoeHh3RQIeAAKwAgICUwIEAgUCBgIHAggCCQIcAgsCsQINAggCCAIIAggCCAIIAggCCAIIAggCCAIIAggCCAIIAggCCAIWAgMCunNxAH4AAAAAAAJzcQB+AAT///////////////7////+/////3VxAH4ABwAAAAQqC0YheHh3RQIeAAKwAgICPQIEAgUCBgIHAggCCQKzAgsCsQINAggCCAIIAggCCAIIAggCCAIIAggCCAIIAggCCAIIAggCCAIWAgMCu3NxAH4AAAAAAAJzcQB+AAT///////////////7////+/////3VxAH4ABwAAAAMSexV4eHdFAh4AArACAgJlAgQCBQIGAgcCCAIJAgoCCwKxAg0CCAIIAggCCAIIAggCCAIIAggCCAIIAggCCAIIAggCCAIIAhYCAwK8c3EAfgAAAAAAAnNxAH4ABP///////////////v////4AAAABdXEAfgAHAAAAA/+JXnh4d0UCHgACsAICAikCBAIFAgYCBwIIAgkCHAILArECDQIIAggCCAIIAggCCAIIAggCCAIIAggCCAIIAggCCAIIAggCFgIDAr1zcQB+AAAAAAACc3EAfgAE///////////////+/////v////91cQB+AAcAAAAEI8Z4/Xh4d0UCHgACsAICAi0CBAIFAgYCBwIIAgkCHAILArECDQIIAggCCAIIAggCCAIIAggCCAIIAggCCAIIAggCCAIIAggCFgIDAr5zcQB+AAAAAAACc3EAfgAE///////////////+/////v////91cQB+AAcAAAAENJhHI3h4d0UCHgACsAICAlMCBAIFAgYCBwIIAgkCCgILArECDQIIAggCCAIIAggCCAIIAggCCAIIAggCCAIIAggCCAIIAggCFgIDAr9zcQB+AAAAAAACc3EAfgAE///////////////+/////v////91cQB+AAcAAAAEAW1K0nh4d0UCHgACsAICAh4CBAIFAgYCBwIIAgkCCgILArECDQIIAggCCAIIAggCCAIIAggCCAIIAggCCAIIAggCCAIIAggCFgIDAsBzcQB+AAAAAAACc3EAfgAE///////////////+/////v////91cQB+AAcAAAAEBJL3LHh4d0UCHgACsAICAoECBAIFAgYCBwIIAgkCCgILArECDQIIAggCCAIIAggCCAIIAggCCAIIAggCCAIIAggCCAIIAggCFgIDAsFzcQB+AAAAAAACc3EAfgAE///////////////+/////v////91cQB+AAcAAAAEHRCpdHh4d0UCHgACsAICAjMCBAIFAgYCBwIIAgkCHAILArECDQIIAggCCAIIAggCCAIIAggCCAIIAggCCAIIAggCCAIIAggCFgIDAsJzcQB+AAAAAAACc3EAfgAE///////////////+/////v////91cQB+AAcAAAAEKeDlE3h4d0UCHgACsAICAkkCBAIFAgYCBwIIAgkCCgILArECDQIIAggCCAIIAggCCAIIAggCCAIIAggCCAIIAggCCAIIAggCFgIDAsNzcQB+AAAAAAACc3EAfgAE///////////////+/////v////91cQB+AAcAAAADnrKqeHh3RQIeAAKwAgICNwIEAgUCBgIHAggCCQIcAgsCsQINAggCCAIIAggCCAIIAggCCAIIAggCCAIIAggCCAIIAggCCAIWAgMCxHNxAH4AAAAAAAJzcQB+AAT///////////////7////+AAAAAXVxAH4ABwAAAAQCduqdeHh3igIeAAKwAgICJwIEAgUCBgIHAggCCQIKAgsCsQINAggCCAIIAggCCAIIAggCCAIIAggCCAIIAggCCAIIAggCCAIWAgMCKAIeAAKwAgICUQIEAgUCBgIHAggCCQKzAgsCsQINAggCCAIIAggCCAIIAggCCAIIAggCCAIIAggCCAIIAggCCAIWAgMCxXNxAH4AAAAAAAJzcQB+AAT///////////////7////+/////3VxAH4ABwAAAAMSW6l4eHdFAh4AArACAgIxAgQCBQIGAgcCCAIJAhwCCwKxAg0CCAIIAggCCAIIAggCCAIIAggCCAIIAggCCAIIAggCCAIIAhYCAwLGc3EAfgAAAAAAAnNxAH4ABP///////////////v////7/////dXEAfgAHAAAABAR/ymh4eHdFAh4AArACAgIpAgQCBQIGAgcCCAIJAgoCCwKxAg0CCAIIAggCCAIIAggCCAIIAggCCAIIAggCCAIIAggCCAIIAhYCAwLHc3EAfgAAAAAAAnNxAH4ABP///////////////v////7/////dXEAfgAHAAAABAJQHul4eHdFAh4AArACAgJuAgQCBQIGAgcCCAIJAgoCCwKxAg0CCAIIAggCCAIIAggCCAIIAggCCAIIAggCCAIIAggCCAIIAhYCAwLIc3EAfgAAAAAAAnNxAH4ABP///////////////v////4AAAABdXEAfgAHAAAAA7bhj3h4d0UCHgACsAICAlUCBAIFAgYCBwIIAgkCHAILArECDQIIAggCCAIIAggCCAIIAggCCAIIAggCCAIIAggCCAIIAggCFgIDAslzcQB+AAAAAAACc3EAfgAE///////////////+/////v////91cQB+AAcAAAAEOUUu/nh4d0UCHgACsAICAk0CBAIFAgYCBwIIAgkCswILArECDQIIAggCCAIIAggCCAIIAggCCAIIAggCCAIIAggCCAIIAggCFgIDAspzcQB+AAAAAAACc3EAfgAE///////////////+/////v////91cQB+AAcAAAADEpq3eHh3RQIeAAKwAgICLQIEAgUCBgIHAggCCQIKAgsCsQINAggCCAIIAggCCAIIAggCCAIIAggCCAIIAggCCAIIAggCCAIWAgMCy3NxAH4AAAAAAAJzcQB+AAT///////////////7////+AAAAAXVxAH4ABwAAAAO5cnx4eHdFAh4AArACAgJlAgQCBQIGAgcCCAIJAhwCCwKxAg0CCAIIAggCCAIIAggCCAIIAggCCAIIAggCCAIIAggCCAIIAhYCAwLMc3EAfgAAAAAAAnNxAH4ABP///////////////v////7/////dXEAfgAHAAAABDQ5VOh4eHdFAh4AArACAgKNAgQCBQIGAgcCCAIJAhwCCwKxAg0CCAIIAggCCAIIAggCCAIIAggCCAIIAggCCAIIAggCCAIIAhYCAwLNc3EAfgAAAAAAAnNxAH4ABP///////////////v////7/////dXEAfgAHAAAABCsQC1F4eHdFAh4AArACAgJCAgQCBQIGAgcCCAIJArMCCwKxAg0CCAIIAggCCAIIAggCCAIIAggCCAIIAggCCAIIAggCCAIIAhYCAwLOc3EAfgAAAAAAAnNxAH4ABP///////////////v////7/////dXEAfgAHAAAAAxI0rXh4d0UCHgACsAICAoECBAIFAgYCBwIIAgkCHAILArECDQIIAggCCAIIAggCCAIIAggCCAIIAggCCAIIAggCCAIIAggCFgIDAs9zcQB+AAAAAAACc3EAfgAE///////////////+/////v////91cQB+AAcAAAAEFay1n3h4d0UCHgACsAICAjcCBAIFAgYCBwIIAgkCCgILArECDQIIAggCCAIIAggCCAIIAggCCAIIAggCCAIIAggCCAIIAggCFgIDAtBzcQB+AAAAAAACc3EAfgAE///////////////+/////v////91cQB+AAcAAAADCH0deHh3RQIeAAKwAgICRwIEAgUCBgIHAggCCQIcAgsCsQINAggCCAIIAggCCAIIAggCCAIIAggCCAIIAggCCAIIAggCCAIWAgMC0XNxAH4AAAAAAAJzcQB+AAT///////////////7////+/////3VxAH4ABwAAAAQiCqwxeHh3RQIeAAKwAgICXwIEAgUCBgIHAggCCQKzAgsCsQINAggCCAIIAggCCAIIAggCCAIIAggCCAIIAggCCAIIAggCCAIWAgMC0nNxAH4AAAAAAAJzcQB+AAT///////////////7////+/////3VxAH4ABwAAAAMSU9Z4eHdFAh4AArACAgJ1AgQCBQIGAgcCCAIJArMCCwKxAg0CCAIIAggCCAIIAggCCAIIAggCCAIIAggCCAIIAggCCAIIAhYCAwLTc3EAfgAAAAAAAnNxAH4ABP///////////////v////7/////dXEAfgAHAAAAAxJAVnh4d0UCHgACsAICAjkCBAIFAgYCBwIIAgkCswILArECDQIIAggCCAIIAggCCAIIAggCCAIIAggCCAIIAggCCAIIAggCFgIDAtRzcQB+AAAAAAACc3EAfgAE///////////////+/////v////91cQB+AAcAAAADEkwHeHh3RQIeAAKwAgICOwIEAgUCBgIHAggCCQIKAgsCsQINAggCCAIIAggCCAIIAggCCAIIAggCCAIIAggCCAIIAggCCAIWAgMC1XNxAH4AAAAAAAJzcQB+AAT///////////////7////+/////3VxAH4ABwAAAAQDty0zeHh3RQIeAAKwAgICdQIEAgUCBgIHAggCCQIcAgsCsQINAggCCAIIAggCCAIIAggCCAIIAggCCAIIAggCCAIIAggCCAIWAgMC1nNxAH4AAAAAAAJzcQB+AAT///////////////7////+/////3VxAH4ABwAAAAQOauypeHh3TQIeAAKwAgIC1wAGMjAxNTAxAgQCBQIGAgcCCAIJAgoCCwKxAg0CCAIIAggCCAIIAggCCAIIAggCCAIIAggCCAIIAggCCAIIAhYCAwLYc3EAfgAAAAAAAnNxAH4ABP///////////////v////7/////dXEAfgAHAAAABAg5JCd4eHdFAh4AArACAgJJAgQCBQIGAgcCCAIJArMCCwKxAg0CCAIIAggCCAIIAggCCAIIAggCCAIIAggCCAIIAggCCAIIAhYCAwLZc3EAfgAAAAAAAnNxAH4ABP///////////////v////7/////dXEAfgAHAAAAAxJvRnh4d0UCHgACsAICAiUCBAIFAgYCBwIIAgkCHAILArECDQIIAggCCAIIAggCCAIIAggCCAIIAggCCAIIAggCCAIIAggCFgIDAtpzcQB+AAAAAAACc3EAfgAE///////////////+/////v////91cQB+AAcAAAAEDA35Dnh4d0UCHgACsAICAl8CBAIFAgYCBwIIAgkCCgILArECDQIIAggCCAIIAggCCAIIAggCCAIIAggCCAIIAggCCAIIAggCFgIDAttzcQB+AAAAAAACc3EAfgAE///////////////+/////v////91cQB+AAcAAAAEBdwJ+Xh4d0UCHgACsAICAnUCBAIFAgYCBwIIAgkCCgILArECDQIIAggCCAIIAggCCAIIAggCCAIIAggCCAIIAggCCAIIAggCFgIDAtxzcQB+AAAAAAACc3EAfgAE///////////////+/////v////91cQB+AAcAAAAEAvVhknh4d0UCHgACsAICAhsCBAIFAgYCBwIIAgkCswILArECDQIIAggCCAIIAggCCAIIAggCCAIIAggCCAIIAggCCAIIAggCFgIDAt1zcQB+AAAAAAACc3EAfgAE///////////////+/////v////91cQB+AAcAAAADEmtYeHh3RQIeAAKwAgICOwIEAgUCBgIHAggCCQIcAgsCsQINAggCCAIIAggCCAIIAggCCAIIAggCCAIIAggCCAIIAggCCAIWAgMC3nNxAH4AAAAAAAJzcQB+AAT///////////////7////+/////3VxAH4ABwAAAAQKAW+8eHh3RQIeAAKwAgICTwIEAgUCBgIHAggCCQIcAgsCsQINAggCCAIIAggCCAIIAggCCAIIAggCCAIIAggCCAIIAggCCAIWAgMC33NxAH4AAAAAAAJzcQB+AAT///////////////7////+/////3VxAH4ABwAAAAQBEh/yeHh3RQIeAAKwAgICiAIEAgUCBgIHAggCCQIcAgsCsQINAggCCAIIAggCCAIIAggCCAIIAggCCAIIAggCCAIIAggCCAIWAgMC4HNxAH4AAAAAAAJzcQB+AAT///////////////7////+/////3VxAH4ABwAAAAQmeB9xeHh3RQIeAAKwAgICPQIEAgUCBgIHAggCCQIKAgsCsQINAggCCAIIAggCCAIIAggCCAIIAggCCAIIAggCCAIIAggCCAIWAgMC4XNxAH4AAAAAAAJzcQB+AAT///////////////7////+/////3VxAH4ABwAAAAQlkNH7eHh3RQIeAAKwAgICJQIEAgUCBgIHAggCCQIKAgsCsQINAggCCAIIAggCCAIIAggCCAIIAggCCAIIAggCCAIIAggCCAIWAgMC4nNxAH4AAAAAAAJzcQB+AAT///////////////7////+/////3VxAH4ABwAAAAQDXT+eeHh3RQIeAAKwAgICQAIEAgUCBgIHAggCCQIcAgsCsQINAggCCAIIAggCCAIIAggCCAIIAggCCAIIAggCCAIIAggCCAIWAgMC43NxAH4AAAAAAAJzcQB+AAT///////////////7////+/////3VxAH4ABwAAAAQVqhWHeHh3RQIeAAKwAgICKwIEAgUCBgIHAggCCQKzAgsCsQINAggCCAIIAggCCAIIAggCCAIIAggCCAIIAggCCAIIAggCCAIWAgMC5HNxAH4AAAAAAAJzcQB+AAT///////////////7////+/////3VxAH4ABwAAAAMSRDt4eHdFAh4AArACAgJFAgQCBQIGAgcCCAIJArMCCwKxAg0CCAIIAggCCAIIAggCCAIIAggCCAIIAggCCAIIAggCCAIIAhYCAwLlc3EAfgAAAAAAAnNxAH4ABP///////////////v////7/////dXEAfgAHAAAAAxJXv3h4d0UCHgACsAICAtcCBAIFAgYCBwIIAgkCHAILArECDQIIAggCCAIIAggCCAIIAggCCAIIAggCCAIIAggCCAIIAggCFgIDAuZzcQB+AAAAAAACc3EAfgAE///////////////+/////v////91cQB+AAcAAAAEA9ipw3h4d0UCHgACsAICAiMCBAIFAgYCBwIIAgkCCgILArECDQIIAggCCAIIAggCCAIIAggCCAIIAggCCAIIAggCCAIIAggCFgIDAudzcQB+AAAAAAACc3EAfgAE///////////////+/////gAAAAF1cQB+AAcAAAADueCJeHh3RQIeAAKwAgICHgIEAgUCBgIHAggCCQKzAgsCsQINAggCCAIIAggCCAIIAggCCAIIAggCCAIIAggCCAIIAggCCAIWAgMC6HNxAH4AAAAAAAJzcQB+AAT///////////////7////+/////3VxAH4ABwAAAAMSMMx4eHdFAh4AArACAgJTAgQCBQIGAgcCCAIJArMCCwKxAg0CCAIIAggCCAIIAggCCAIIAggCCAIIAggCCAIIAggCCAIIAhYCAwLpc3EAfgAAAAAAAnNxAH4ABP///////////////v////7/////dXEAfgAHAAAAAxKWwHh4d0UCHgACsAICAjMCBAIFAgYCBwIIAgkCCgILArECDQIIAggCCAIIAggCCAIIAggCCAIIAggCCAIIAggCCAIIAggCFgIDAupzcQB+AAAAAAACc3EAfgAE///////////////+/////v////91cQB+AAcAAAAEBQSjQXh4d0UCHgACsAICAjECBAIFAgYCBwIIAgkCCgILArECDQIIAggCCAIIAggCCAIIAggCCAIIAggCCAIIAggCCAIIAggCFgIDAutzcQB+AAAAAAACc3EAfgAE///////////////+/////v////91cQB+AAcAAAAEBspGxHh4d0UCHgACsAICAlYCBAIFAgYCBwIIAgkCswILArECDQIIAggCCAIIAggCCAIIAggCCAIIAggCCAIIAggCCAIIAggCFgIDAuxzcQB+AAAAAAACc3EAfgAE///////////////+/////v////91cQB+AAcAAAADEoL4eHh3igIeAAKwAgICLwIEAgUCBgIHAggCCQIcAgsCsQINAggCCAIIAggCCAIIAggCCAIIAggCCAIIAggCCAIIAggCCAIWAgMCyQIeAAKwAgICkAIEAgUCBgIHAggCCQIcAgsCsQINAggCCAIIAggCCAIIAggCCAIIAggCCAIIAggCCAIIAggCCAIWAgMC7XNxAH4AAAAAAAJzcQB+AAT///////////////7////+/////3VxAH4ABwAAAAQmLzLCeHh3RQIeAAKwAgICVQIEAgUCBgIHAggCCQIKAgsCsQINAggCCAIIAggCCAIIAggCCAIIAggCCAIIAggCCAIIAggCCAIWAgMC7nNxAH4AAAAAAAJzcQB+AAT///////////////7////+AAAAAXVxAH4ABwAAAAQCWhLSeHh3RQIeAAKwAgICPQIEAgUCBgIHAggCCQIcAgsCsQINAggCCAIIAggCCAIIAggCCAIIAggCCAIIAggCCAIIAggCCAIWAgMC73NxAH4AAAAAAAJzcQB+AAT///////////////7////+/////3VxAH4ABwAAAAQL0RJ0eHh3RQIeAAKwAgICKQIEAgUCBgIHAggCCQKzAgsCsQINAggCCAIIAggCCAIIAggCCAIIAggCCAIIAggCCAIIAggCCAIWAgMC8HNxAH4AAAAAAAJzcQB+AAT///////////////7////+/////3VxAH4ABwAAAAMSX5R4eHdFAh4AArACAgJhAgQCBQIGAgcCCAIJAhwCCwKxAg0CCAIIAggCCAIIAggCCAIIAggCCAIIAggCCAIIAggCCAIIAhYCAwLxc3EAfgAAAAAAAnNxAH4ABP///////////////v////7/////dXEAfgAHAAAABComTwt4eHdFAh4AArACAgIhAgQCBQIGAgcCCAIJArMCCwKxAg0CCAIIAggCCAIIAggCCAIIAggCCAIIAggCCAIIAggCCAIIAhYCAwLyc3EAfgAAAAAAAnNxAH4ABP///////////////v////7/////dXEAfgAHAAAAAxJIIXh4d4oCHgACsAICAicCBAIFAgYCBwIIAgkCswILArECDQIIAggCCAIIAggCCAIIAggCCAIIAggCCAIIAggCCAIIAggCFgIDAigCHgACsAICAkICBAIFAgYCBwIIAgkCCgILArECDQIIAggCCAIIAggCCAIIAggCCAIIAggCCAIIAggCCAIIAggCFgIDAvNzcQB+AAAAAAACc3EAfgAE///////////////+/////v////91cQB+AAcAAAAEBBabOHh4d00CHgACsAICAvQABjIwMTQxMQIEAgUCBgIHAggCCQIKAgsCsQINAggCCAIIAggCCAIIAggCCAIIAggCCAIIAggCCAIIAggCCAIWAgMC9XNxAH4AAAAAAAJzcQB+AAT///////////////7////+/////3VxAH4ABwAAAAQNCLqyeHh3RQIeAAKwAgICWQIEAgUCBgIHAggCCQIcAgsCsQINAggCCAIIAggCCAIIAggCCAIIAggCCAIIAggCCAIIAggCCAIWAgMC9nNxAH4AAAAAAAJzcQB+AAT///////////////7////+/////3VxAH4ABwAAAAQBtqgNeHh3igIeAAKwAgICVQIEAgUCBgIHAggCCQKzAgsCsQINAggCCAIIAggCCAIIAggCCAIIAggCCAIIAggCCAIIAggCCAIWAgMCuQIeAAKwAgICMwIEAgUCBgIHAggCCQKzAgsCsQINAggCCAIIAggCCAIIAggCCAIIAggCCAIIAggCCAIIAggCCAIWAgMC93NxAH4AAAAAAAJzcQB+AAT///////////////7////+/////3VxAH4ABwAAAAMSjtR4eHdFAh4AArACAgKQAgQCBQIGAgcCCAIJAgoCCwKxAg0CCAIIAggCCAIIAggCCAIIAggCCAIIAggCCAIIAggCCAIIAhYCAwL4c3EAfgAAAAAAAnNxAH4ABP///////////////v////7/////dXEAfgAHAAAABAHNSnd4eHeKAh4AArACAgJdAgQCBQIGAgcCCAIJAhwCCwKxAg0CCAIIAggCCAIIAggCCAIIAggCCAIIAggCCAIIAggCCAIIAhYCAwLJAh4AArACAgJNAgQCBQIGAgcCCAIJAhwCCwKxAg0CCAIIAggCCAIIAggCCAIIAggCCAIIAggCCAIIAggCCAIIAhYCAwL5c3EAfgAAAAAAAnNxAH4ABP///////////////v////7/////dXEAfgAHAAAABC6RhSt4eHeKAh4AArACAgIvAgQCBQIGAgcCCAIJAgoCCwKxAg0CCAIIAggCCAIIAggCCAIIAggCCAIIAggCCAIIAggCCAIIAhYCAwLuAh4AArACAgI5AgQCBQIGAgcCCAIJAgoCCwKxAg0CCAIIAggCCAIIAggCCAIIAggCCAIIAggCCAIIAggCCAIIAhYCAwL6c3EAfgAAAAAAAnNxAH4ABP///////////////v////7/////dXEAfgAHAAAABAnitrd4eHdFAh4AArACAgJRAgQCBQIGAgcCCAIJAhwCCwKxAg0CCAIIAggCCAIIAggCCAIIAggCCAIIAggCCAIIAggCCAIIAhYCAwL7c3EAfgAAAAAAAnNxAH4ABP///////////////v////7/////dXEAfgAHAAAABB6uCU94eHdFAh4AArACAgIxAgQCBQIGAgcCCAIJArMCCwKxAg0CCAIIAggCCAIIAggCCAIIAggCCAIIAggCCAIIAggCCAIIAhYCAwL8c3EAfgAAAAAAAnNxAH4ABP///////////////v////7/////dXEAfgAHAAAAAxIpC3h4d0UCHgACsAICAi0CBAIFAgYCBwIIAgkCswILArECDQIIAggCCAIIAggCCAIIAggCCAIIAggCCAIIAggCCAIIAggCFgIDAv1zcQB+AAAAAAACc3EAfgAE///////////////+/////v////91cQB+AAcAAAADEncleHh3RQIeAAKwAgICYQIEAgUCBgIHAggCCQIKAgsCsQINAggCCAIIAggCCAIIAggCCAIIAggCCAIIAggCCAIIAggCCAIWAgMC/nNxAH4AAAAAAAJzcQB+AAT///////////////7////+/////3VxAH4ABwAAAAQC12dUeHh3RQIeAAKwAgICWQIEAgUCBgIHAggCCQIKAgsCsQINAggCCAIIAggCCAIIAggCCAIIAggCCAIIAggCCAIIAggCCAIWAgMC/3NxAH4AAAAAAAJzcQB+AAT///////////////7////+/////3VxAH4ABwAAAAQFh+tKeHh3RgIeAAKwAgICGwIEAgUCBgIHAggCCQIcAgsCsQINAggCCAIIAggCCAIIAggCCAIIAggCCAIIAggCCAIIAggCCAIWAgMEAAFzcQB+AAAAAAACc3EAfgAE///////////////+/////v////91cQB+AAcAAAAELv3gknh4d0YCHgACsAICAiMCBAIFAgYCBwIIAgkCHAILArECDQIIAggCCAIIAggCCAIIAggCCAIIAggCCAIIAggCCAIIAggCFgIDBAEBc3EAfgAAAAAAAnNxAH4ABP///////////////v////7/////dXEAfgAHAAAABASYEfN4eHeLAh4AArACAgJdAgQCBQIGAgcCCAIJAgoCCwKxAg0CCAIIAggCCAIIAggCCAIIAggCCAIIAggCCAIIAggCCAIIAhYCAwLuAh4AArACAgKNAgQCBQIGAgcCCAIJArMCCwKxAg0CCAIIAggCCAIIAggCCAIIAggCCAIIAggCCAIIAggCCAIIAhYCAwQCAXNxAH4AAAAAAAJzcQB+AAT///////////////7////+/////3VxAH4ABwAAAAMSZ2t4eHdGAh4AArACAgJCAgQCBQIGAgcCCAIJAhwCCwKxAg0CCAIIAggCCAIIAggCCAIIAggCCAIIAggCCAIIAggCCAIIAhYCAwQDAXNxAH4AAAAAAAJzcQB+AAT///////////////7////+/////3VxAH4ABwAAAAQISVOheHh3RgIeAAKwAgICXwIEAgUCBgIHAggCCQIcAgsCsQINAggCCAIIAggCCAIIAggCCAIIAggCCAIIAggCCAIIAggCCAIWAgMEBAFzcQB+AAAAAAACc3EAfgAE///////////////+/////v////91cQB+AAcAAAAEGe0oknh4d0YCHgACsAICAisCBAIFAgYCBwIIAgkCCgILArECDQIIAggCCAIIAggCCAIIAggCCAIIAggCCAIIAggCCAIIAggCFgIDBAUBc3EAfgAAAAAAAnNxAH4ABP///////////////v////7/////dXEAfgAHAAAABAJ7zQp4eHdGAh4AArACAgIbAgQCBQIGAgcCCAIJAgoCCwKxAg0CCAIIAggCCAIIAggCCAIIAggCCAIIAggCCAIIAggCCAIIAhYCAwQGAXNxAH4AAAAAAAJzcQB+AAT///////////////7////+/////3VxAH4ABwAAAAQBBpRgeHh3RgIeAAKwAgICRwIEAgUCBgIHAggCCQKzAgsCsQINAggCCAIIAggCCAIIAggCCAIIAggCCAIIAggCCAIIAggCCAIWAgMEBwFzcQB+AAAAAAACc3EAfgAE///////////////+/////v////91cQB+AAcAAAADEobreHh3RgIeAAKwAgICAwIEAgUCBgIHAggCCQKzAgsCsQINAggCCAIIAggCCAIIAggCCAIIAggCCAIIAggCCAIIAggCCAIWAgMECAFzcQB+AAAAAAACc3EAfgAE///////////////+/////v////91cQB+AAcAAAADEnM1eHh3RgIeAAKwAgICiAIEAgUCBgIHAggCCQIKAgsCsQINAggCCAIIAggCCAIIAggCCAIIAggCCAIIAggCCAIIAggCCAIWAgMECQFzcQB+AAAAAAACc3EAfgAE///////////////+/////v////91cQB+AAcAAAAECL1IIXh4d0YCHgACsAICAjkCBAIFAgYCBwIIAgkCHAILArECDQIIAggCCAIIAggCCAIIAggCCAIIAggCCAIIAggCCAIIAggCFgIDBAoBc3EAfgAAAAAAAnNxAH4ABP///////////////v////7/////dXEAfgAHAAAABA///EJ4eHdGAh4AArACAgKBAgQCBQIGAgcCCAIJArMCCwKxAg0CCAIIAggCCAIIAggCCAIIAggCCAIIAggCCAIIAggCCAIIAhYCAwQLAXNxAH4AAAAAAAJzcQB+AAT///////////////7////+/////3VxAH4ABwAAAAMSfwZ4eHdGAh4AArACAgIDAgQCBQIGAgcCCAIJAhwCCwKxAg0CCAIIAggCCAIIAggCCAIIAggCCAIIAggCCAIIAggCCAIIAhYCAwQMAXNxAH4AAAAAAAJzcQB+AAT///////////////7////+/////3VxAH4ABwAAAAQzvJaSeHh3RgIeAAKwAgICRQIEAgUCBgIHAggCCQIKAgsCsQINAggCCAIIAggCCAIIAggCCAIIAggCCAIIAggCCAIIAggCCAIWAgMEDQFzcQB+AAAAAAACc3EAfgAE///////////////+/////v////91cQB+AAcAAAAEBFuSEHh4d0YCHgACsAICAlYCBAIFAgYCBwIIAgkCHAILArECDQIIAggCCAIIAggCCAIIAggCCAIIAggCCAIIAggCCAIIAggCFgIDBA4Bc3EAfgAAAAAAAnNxAH4ABP///////////////v////7/////dXEAfgAHAAAABB2x+kx4eHdGAh4AArACAgIlAgQCBQIGAgcCCAIJArMCCwKxAg0CCAIIAggCCAIIAggCCAIIAggCCAIIAggCCAIIAggCCAIIAhYCAwQPAXNxAH4AAAAAAAJzcQB+AAT///////////////7////+/////3VxAH4ABwAAAAMSPHJ4eHeLAh4AArACAgIvAgQCBQIGAgcCCAIJArMCCwKxAg0CCAIIAggCCAIIAggCCAIIAggCCAIIAggCCAIIAggCCAIIAhYCAwK5Ah4AArACAgJHAgQCBQIGAgcCCAIJAgoCCwKxAg0CCAIIAggCCAIIAggCCAIIAggCCAIIAggCCAIIAggCCAIIAhYCAwQQAXNxAH4AAAAAAAJzcQB+AAT///////////////7////+/////3VxAH4ABwAAAAQOCxxKeHh3RgIeAAKwAgICKwIEAgUCBgIHAggCCQIcAgsCsQINAggCCAIIAggCCAIIAggCCAIIAggCCAIIAggCCAIIAggCCAIWAgMEEQFzcQB+AAAAAAACc3EAfgAE///////////////+/////v////91cQB+AAcAAAAEEkfzrXh4d0YCHgACsAICAmUCBAIFAgYCBwIIAgkCswILArECDQIIAggCCAIIAggCCAIIAggCCAIIAggCCAIIAggCCAIIAggCFgIDBBIBc3EAfgAAAAAAAnNxAH4ABP///////////////v////7/////dXEAfgAHAAAAAxKer3h4d0YCHgACsAICAlYCBAIFAgYCBwIIAgkCCgILArECDQIIAggCCAIIAggCCAIIAggCCAIIAggCCAIIAggCCAIIAggCFgIDBBMBc3EAfgAAAAAAAnNxAH4ABP///////////////v////7/////dXEAfgAHAAAABBQ694N4eHdGAh4AArACAgJuAgQCBQIGAgcCCAIJAhwCCwKxAg0CCAIIAggCCAIIAggCCAIIAggCCAIIAggCCAIIAggCCAIIAhYCAwQUAXNxAH4AAAAAAAJzcQB+AAT///////////////7////+/////3VxAH4ABwAAAAQQJ/b3eHh3TwIeAAKwAgIEFQEABjIwMTQxMgIEAgUCBgIHAggCCQIcAgsCsQINAggCCAIIAggCCAIIAggCCAIIAggCCAIIAggCCAIIAggCCAIWAgMEFgFzcQB+AAAAAAACc3EAfgAE///////////////+/////v////91cQB+AAcAAAAEAnSESXh4d0YCHgACsAICAjsCBAIFAgYCBwIIAgkCswILArECDQIIAggCCAIIAggCCAIIAggCCAIIAggCCAIIAggCCAIIAggCFgIDBBcBc3EAfgAAAAAAAnNxAH4ABP///////////////v////7/////dXEAfgAHAAAAAxI4j3h4d0YCHgACsAICAkUCBAIFAgYCBwIIAgkCHAILArECDQIIAggCCAIIAggCCAIIAggCCAIIAggCCAIIAggCCAIIAggCFgIDBBgBc3EAfgAAAAAAAnNxAH4ABP///////////////v////7/////dXEAfgAHAAAABBuzHlx4eHdGAh4AArACAgL0AgQCBQIGAgcCCAIJAhwCCwKxAg0CCAIIAggCCAIIAggCCAIIAggCCAIIAggCCAIIAggCCAIIAhYCAwQZAXNxAH4AAAAAAAJzcQB+AAT///////////////7////+AAAAAXVxAH4ABwAAAAQB3MJheHh3RgIeAAKwAgICiAIEAgUCBgIHAggCCQKzAgsCsQINAggCCAIIAggCCAIIAggCCAIIAggCCAIIAggCCAIIAggCCAIWAgMEGgFzcQB+AAAAAAACc3EAfgAE///////////////+/////v////91cQB+AAcAAAADEorfeHh3RgIeAAKwAgICAwIEAgUCBgIHAggCCQIKAgsCsQINAggCCAIIAggCCAIIAggCCAIIAggCCAIIAggCCAIIAggCCAIWAgMEGwFzcQB+AAAAAAACc3EAfgAE///////////////+/////v////91cQB+AAcAAAADMvcReHh3RgIeAAKwAgICIQIEAgUCBgIHAggCCQIKAgsCsQINAggCCAIIAggCCAIIAggCCAIIAggCCAIIAggCCAIIAggCCAIWAgMEHAFzcQB+AAAAAAACc3EAfgAE///////////////+/////v////91cQB+AAcAAAAEAci29nh4d0YCHgACsAICAkACBAIFAgYCBwIIAgkCswILArECDQIIAggCCAIIAggCCAIIAggCCAIIAggCCAIIAggCCAIIAggCFgIDBB0Bc3EAfgAAAAAAAnNxAH4ABP///////////////v////7/////dXEAfgAHAAAAAxJP7nh4d0cCHgACsAICBBUBAgQCBQIGAgcCCAIJAgoCCwKxAg0CCAIIAggCCAIIAggCCAIIAggCCAIIAggCCAIIAggCCAIIAhYCAwQeAXNxAH4AAAAAAAJzcQB+AAT///////////////7////+/////3VxAH4ABwAAAAQKWyqVeHh3RgIeAAKwAgICkAIEAgUCBgIHAggCCQKzAgsCsQINAggCCAIIAggCCAIIAggCCAIIAggCCAIIAggCCAIIAggCCAIWAgMEHwFzcQB+AAAAAAACc3EAfgAE///////////////+/////v////91cQB+AAcAAAADEmN/eHh3RgIeAAKwAgICSQIEAgUCBgIHAggCCQIcAgsCsQINAggCCAIIAggCCAIIAggCCAIIAggCCAIIAggCCAIIAggCCAIWAgMEIAFzcQB+AAAAAAACc3EAfgAE///////////////+/////v////91cQB+AAcAAAAEMe+1GXh4d0YCHgACsAICAlECBAIFAgYCBwIIAgkCCgILArECDQIIAggCCAIIAggCCAIIAggCCAIIAggCCAIIAggCCAIIAggCFgIDBCEBc3EAfgAAAAAAAnNxAH4ABP///////////////v////7/////dXEAfgAHAAAABAL7S4t4eHdGAh4AArACAgJNAgQCBQIGAgcCCAIJAgoCCwKxAg0CCAIIAggCCAIIAggCCAIIAggCCAIIAggCCAIIAggCCAIIAhYCAwQiAXNxAH4AAAAAAAJzcQB+AAT///////////////7////+/////3VxAH4ABwAAAANOuAp4eHdGAh4AArACAgIeAgQCBQIGAgcCCAIJAhwCCwKxAg0CCAIIAggCCAIIAggCCAIIAggCCAIIAggCCAIIAggCCAIIAhYCAwQjAXNxAH4AAAAAAAJzcQB+AAT///////////////7////+/////3VxAH4ABwAAAAQHTB8heHh6AAAEAAIeAAQkAQAJMjkxNjY3NjMyAgICLwIEAgUCBgIHAggCCQIfAgsCDAINAggCCAIIAggCCAIIAggCCAIIAggCCAIIAggCCAIIAggCCAIdAgMCfAIeAAQkAQICAiUCBAIFAgYCBwIIAgkCHwILAgwCDQIIAggCCAIIAggCCAIIAggCCAIIAggCCAIIAggCCAIIAggCHQIDAp8CHgAEJAECAgJZAgQCBQIGAgcCCAIJAgoCCwIMAg0CCAIIAggCCAIIAggCCAIIAggCCAIIAggCCAIIAggCCAIIAh0CAwJaAh4ABCQBAgICiAIEAgUCBgIHAggCCQIcAgsCDAINAggCCAIIAggCCAIIAggCCAIIAggCCAIIAggCCAIIAggCCAIdAgMCqwIeAAQkAQICAmECBAIFAgYCBwIIAgkCCgILAgwCDQIIAggCCAIIAggCCAIIAggCCAIIAggCCAIIAggCCAIIAggCHQIDApICHgAEJAECAgIDAgQCBQIGAgcCCAIJAh8CCwIMAg0CCAIIAggCCAIIAggCCAIIAggCCAIIAggCCAIIAggCCAIIAh0CAwJzAh4ABCQBAgICIwIEAgUCBgIHAggCCQIfAgsCDAINAggCCAIIAggCCAIIAggCCAIIAggCCAIIAggCCAIIAggCCAIdAgMCqAIeAAQkAQICAlECBAIFAgYCBwIIAgkCHAILAgwCDQIIAggCCAIIAggCCAIIAggCCAIIAggCCAIIAggCCAIIAggCHQIDAlICHgAEJAECAgJuAgQCBQIGAgcCCAIJAhwCCwIMAg0CCAIIAggCCAIIAggCCAIIAggCCAIIAggCCAIIAggCCAIIAh0CAwJvAh4ABCQBAgICQgIEAgUCBgIHAggCCQIfAgsCDAINAggCCAIIAggCCAIIAggCCAIIAggCCAIIAggCCAIIAggCCAIdAgMCawIeAAQkAQICApACBAIFAgYCBwIIAgkCCgILAgwCDQIIAggCCAIIAggCCAIIAggCCAIIAggCCAIIAggCCAIIAggCHQIDApkCHgAEJAECAgIrAgQCBQIGAgcCCAIJAh8CCwIMAg0CCAIIAggCCAIIAggCCAIIAggCCAIIAggCCAIIAggCCAIIAh0CAwKaAh4ABCQBAgICXwIEAgUCBgIHAggCCQIKAgsCDAINAggCCAIIAggCCAIIAggCCAIIAggCCAIIAggCCAIIAggCCAIdAgMCjwIeAAQkAQICAl0CBAIFAgYCBwIIAgkCHAILAgwCDQIIAggCCAIIAggCCAIIAggCCAIIAggCCAIIAggCCAIIAggCHQIDAjACHgAEJAECAgJJAgQCBQIGAgcCCAIJAhwCCwIMAg0CCAJ6AAAEAAgCCAIIAggCCAIIAggCCAIIAggCCAIIAggCCAIIAggCHQIDAn4CHgAEJAECAgJHAgQCBQIGAgcCCAIJAh8CCwIMAg0CCAIIAggCCAIIAggCCAIIAggCCAIIAggCCAIIAggCCAIIAh0CAwJxAh4ABCQBAgICTQIEAgUCBgIHAggCCQIKAgsCDAINAggCCAIIAggCCAIIAggCCAIIAggCCAIIAggCCAIIAggCCAIdAgMCZAIeAAQkAQICAkICBAIFAgYCBwIIAgkCCgILAgwCDQIIAggCCAIIAggCCAIIAggCCAIIAggCCAIIAggCCAIIAggCHQIDAkMCHgAEJAECAgI5AgQCBQIGAgcCCAIJAh8CCwIMAg0CCAIIAggCCAIIAggCCAIIAggCCAIIAggCCAIIAggCCAIIAh0CAwJsAh4ABCQBAgICVgIEAgUCBgIHAggCCQIcAgsCDAINAggCCAIIAggCCAIIAggCCAIIAggCCAIIAggCCAIIAggCCAIdAgMChwIeAAQkAQICAj0CBAIFAgYCBwIIAgkCCgILAgwCDQIIAggCCAIIAggCCAIIAggCCAIIAggCCAIIAggCCAIIAggCHQIDApYCHgAEJAECAgIbAgQCBQIGAgcCCAIJAh8CCwIMAg0CCAIIAggCCAIIAggCCAIIAggCCAIIAggCCAIIAggCCAIIAh0CAwKFAh4ABCQBAgICkAIEAgUCBgIHAggCCQIcAgsCDAINAggCCAIIAggCCAIIAggCCAIIAggCCAIIAggCCAIIAggCCAIdAgMCowIeAAQkAQICAjcCBAIFAgYCBwIIAgkCHwILAgwCDQIIAggCCAIIAggCCAIIAggCCAIIAggCCAIIAggCCAIIAggCHQIDAjgCHgAEJAECAgJAAgQCBQIGAgcCCAIJAhwCCwIMAg0CCAIIAggCCAIIAggCCAIIAggCCAIIAggCCAIIAggCCAIIAh0CAwJ7Ah4ABCQBAgICTwIEAgUCBgIHAggCCQIcAgsCDAINAggCCAIIAggCCAIIAggCCAIIAggCCAIIAggCCAIIAggCCAIdAgMCfwIeAAQkAQICAlkCBAIFAgYCBwIIAgkCHwILAgwCDQIIAggCCAIIAggCCAIIAggCCAIIAggCCAIIAggCCAIIAggCHQIDAncCHgAEJAECAgJRAgQCBQIGAgcCCAIJAgoCCwIMAg0CCAIIAggCCAIIAggCCAIIAggCCAIIAggCCAIIAggCCAIIAh0CAwJjAh4ABCQBAgICXQIEAgUCBgIHAggCCQIfAgsCDAINAggCCAIIAggCCAIIAggCCAIIAggCCAIIAggCCAIIAggCCAIdAgMCfAIeAAQkAQJ6AAAEAAICjQIEAgUCBgIHAggCCQIcAgsCDAINAggCCAIIAggCCAIIAggCCAIIAggCCAIIAggCCAIIAggCCAIdAgMCjgIeAAQkAQICAlECBAIFAgYCBwIIAgkCHwILAgwCDQIIAggCCAIIAggCCAIIAggCCAIIAggCCAIIAggCCAIIAggCHQIDAoACHgAEJAECAgIjAgQCBQIGAgcCCAIJAgoCCwIMAg0CCAIIAggCCAIIAggCCAIIAggCCAIIAggCCAIIAggCCAIIAh0CAwI2Ah4ABCQBAgICSQIEAgUCBgIHAggCCQIKAgsCDAINAggCCAIIAggCCAIIAggCCAIIAggCCAIIAggCCAIIAggCCAIdAgMCbQIeAAQkAQICAnUCBAIFAgYCBwIIAgkCCgILAgwCDQIIAggCCAIIAggCCAIIAggCCAIIAggCCAIIAggCCAIIAggCHQIDAnYCHgAEJAECAgIbAgQCBQIGAgcCCAIJAhwCCwIMAg0CCAIIAggCCAIIAggCCAIIAggCCAIIAggCCAIIAggCCAIIAh0CAwIdAh4ABCQBAgICPQIEAgUCBgIHAggCCQIcAgsCDAINAggCCAIIAggCCAIIAggCCAIIAggCCAIIAggCCAIIAggCCAIdAgMCPgIeAAQkAQICAlYCBAIFAgYCBwIIAgkCCgILAgwCDQIIAggCCAIIAggCCAIIAggCCAIIAggCCAIIAggCCAIIAggCHQIDAnICHgAEJAECAgJFAgQCBQIGAgcCCAIJAh8CCwIMAg0CCAIIAggCCAIIAggCCAIIAggCCAIIAggCCAIIAggCCAIIAh0CAwJGAh4ABCQBAgICUwIEAgUCBgIHAggCCQIfAgsCDAINAggCCAIIAggCCAIIAggCCAIIAggCCAIIAggCCAIIAggCCAIdAgMCVAIeAAQkAQICAoECBAIFAgYCBwIIAgkCCgILAgwCDQIIAggCCAIIAggCCAIIAggCCAIIAggCCAIIAggCCAIIAggCHQIDAowCHgAEJAECAgIrAgQCBQIGAgcCCAIJAgoCCwIMAg0CCAIIAggCCAIIAggCCAIIAggCCAIIAggCCAIIAggCCAIIAh0CAwIsAh4ABCQBAgICTQIEAgUCBgIHAggCCQIfAgsCDAINAggCCAIIAggCCAIIAggCCAIIAggCCAIIAggCCAIIAggCCAIdAgMCfQIeAAQkAQICAlkCBAIFAgYCBwIIAgkCHAILAgwCDQIIAggCCAIIAggCCAIIAggCCAIIAggCCAIIAggCCAIIAggCHQIDAmoCHgAEJAECAgIeAgQCBQIGAgcCCAIJAh8CCwIMAg0CCAIIAggCCAIIAggCCAIIAggCCAJ6AAAEAAgCCAIIAggCCAIIAggCHQIDAiACHgAEJAECAgIjAgQCBQIGAgcCCAIJAhwCCwIMAg0CCAIIAggCCAIIAggCCAIIAggCCAIIAggCCAIIAggCCAIIAh0CAwIkAh4ABCQBAgICYQIEAgUCBgIHAggCCQIcAgsCDAINAggCCAIIAggCCAIIAggCCAIIAggCCAIIAggCCAIIAggCCAIdAgMCYgIeAAQkAQICAlUCBAIFAgYCBwIIAgkCHAILAgwCDQIIAggCCAIIAggCCAIIAggCCAIIAggCCAIIAggCCAIIAggCHQIDAjACHgAEJAECAgJFAgQCBQIGAgcCCAIJAgoCCwIMAg0CCAIIAggCCAIIAggCCAIIAggCCAIIAggCCAIIAggCCAIIAh0CAwJnAh4ABCQBAgICVgIEAgUCBgIHAggCCQIfAgsCDAINAggCCAIIAggCCAIIAggCCAIIAggCCAIIAggCCAIIAggCCAIdAgMCVwIeAAQkAQICAicCBAIFAgYCBwIIAgkCHwILAgwCDQIIAggCCAIIAggCCAIIAggCCAIIAggCCAIIAggCCAIIAggCHQIDAigCHgAEJAECAgJ1AgQCBQIGAgcCCAIJAhwCCwIMAg0CCAIIAggCCAIIAggCCAIIAggCCAIIAggCCAIIAggCCAIIAh0CAwKEAh4ABCQBAgICbgIEAgUCBgIHAggCCQIKAgsCDAINAggCCAIIAggCCAIIAggCCAIIAggCCAIIAggCCAIIAggCCAIdAgMCeQIeAAQkAQICAl0CBAIFAgYCBwIIAgkCCgILAgwCDQIIAggCCAIIAggCCAIIAggCCAIIAggCCAIIAggCCAIIAggCHQIDAl4CHgAEJAECAgKBAgQCBQIGAgcCCAIJAhwCCwIMAg0CCAIIAggCCAIIAggCCAIIAggCCAIIAggCCAIIAggCCAIIAh0CAwKCAh4ABCQBAgICXwIEAgUCBgIHAggCCQIcAgsCDAINAggCCAIIAggCCAIIAggCCAIIAggCCAIIAggCCAIIAggCCAIdAgMCYAIeAAQkAQICAiECBAIFAgYCBwIIAgkCHwILAgwCDQIIAggCCAIIAggCCAIIAggCCAIIAggCCAIIAggCCAIIAggCHQIDAiICHgAEJAECAgIbAgQCBQIGAgcCCAIJAgoCCwIMAg0CCAIIAggCCAIIAggCCAIIAggCCAIIAggCCAIIAggCCAIIAh0CAwI/Ah4ABCQBAgICMwIEAgUCBgIHAggCCQIKAgsCDAINAggCCAIIAggCCAIIAggCCAIIAggCCAIIAggCCAIIAggCCAIdAgMCpgIeAAQkAQICAkkCBAIFAgYCBwIIAgkCHwJ6AAAEAAsCDAINAggCCAIIAggCCAIIAggCCAIIAggCCAIIAggCCAIIAggCCAIdAgMCSgIeAAQkAQICAjECBAIFAgYCBwIIAgkCCgILAgwCDQIIAggCCAIIAggCCAIIAggCCAIIAggCCAIIAggCCAIIAggCHQIDAp0CHgAEJAECAgIrAgQCBQIGAgcCCAIJAhwCCwIMAg0CCAIIAggCCAIIAggCCAIIAggCCAIIAggCCAIIAggCCAIIAh0CAwJpAh4ABCQBAgICbgIEAgUCBgIHAggCCQIfAgsCDAINAggCCAIIAggCCAIIAggCCAIIAggCCAIIAggCCAIIAggCCAIdAgMCoQIeAAQkAQICAlUCBAIFAgYCBwIIAgkCCgILAgwCDQIIAggCCAIIAggCCAIIAggCCAIIAggCCAIIAggCCAIIAggCHQIDAl4CHgAEJAECAgJFAgQCBQIGAgcCCAIJAhwCCwIMAg0CCAIIAggCCAIIAggCCAIIAggCCAIIAggCCAIIAggCCAIIAh0CAwJbAh4ABCQBAgICKQIEAgUCBgIHAggCCQIKAgsCDAINAggCCAIIAggCCAIIAggCCAIIAggCCAIIAggCCAIIAggCCAIdAgMClQIeAAQkAQICAnUCBAIFAgYCBwIIAgkCHwILAgwCDQIIAggCCAIIAggCCAIIAggCCAIIAggCCAIIAggCCAIIAggCHQIDApQCHgAEJAECAgInAgQCBQIGAgcCCAIJAgoCCwIMAg0CCAIIAggCCAIIAggCCAIIAggCCAIIAggCCAIIAggCCAIIAh0CAwIoAh4ABCQBAgICMQIEAgUCBgIHAggCCQIcAgsCDAINAggCCAIIAggCCAIIAggCCAIIAggCCAIIAggCCAIIAggCCAIdAgMCkwIeAAQkAQICAk8CBAIFAgYCBwIIAgkCHwILAgwCDQIIAggCCAIIAggCCAIIAggCCAIIAggCCAIIAggCCAIIAggCHQIDAlACHgAEJAECAgIzAgQCBQIGAgcCCAIJAhwCCwIMAg0CCAIIAggCCAIIAggCCAIIAggCCAIIAggCCAIIAggCCAIIAh0CAwKYAh4ABCQBAgICUwIEAgUCBgIHAggCCQIKAgsCDAINAggCCAIIAggCCAIIAggCCAIIAggCCAIIAggCCAIIAggCCAIdAgMCXAIeAAQkAQICAh4CBAIFAgYCBwIIAgkCCgILAgwCDQIIAggCCAIIAggCCAIIAggCCAIIAggCCAIIAggCCAIIAggCHQIDAnACHgAEJAECAgI3AgQCBQIGAgcCCAIJAhwCCwIMAg0CCAIIAggCCAIIAggCCAIIAggCCAIIAggCCAIIAggCCAIIAh0CAwJ6AAAEAJcCHgAEJAECAgJAAgQCBQIGAgcCCAIJAh8CCwIMAg0CCAIIAggCCAIIAggCCAIIAggCCAIIAggCCAIIAggCCAIIAh0CAwJBAh4ABCQBAgICLQIEAgUCBgIHAggCCQIcAgsCDAINAggCCAIIAggCCAIIAggCCAIIAggCCAIIAggCCAIIAggCCAIdAgMCqQIeAAQkAQICAoECBAIFAgYCBwIIAgkCHwILAgwCDQIIAggCCAIIAggCCAIIAggCCAIIAggCCAIIAggCCAIIAggCHQIDAq0CHgAEJAECAgJfAgQCBQIGAgcCCAIJAh8CCwIMAg0CCAIIAggCCAIIAggCCAIIAggCCAIIAggCCAIIAggCCAIIAh0CAwKsAh4ABCQBAgICRwIEAgUCBgIHAggCCQIKAgsCDAINAggCCAIIAggCCAIIAggCCAIIAggCCAIIAggCCAIIAggCCAIdAgMCSAIeAAQkAQICAiUCBAIFAgYCBwIIAgkCHAILAgwCDQIIAggCCAIIAggCCAIIAggCCAIIAggCCAIIAggCCAIIAggCHQIDAiYCHgAEJAECAgKNAgQCBQIGAgcCCAIJAgoCCwIMAg0CCAIIAggCCAIIAggCCAIIAggCCAIIAggCCAIIAggCCAIIAh0CAwKgAh4ABCQBAgICLwIEAgUCBgIHAggCCQIcAgsCDAINAggCCAIIAggCCAIIAggCCAIIAggCCAIIAggCCAIIAggCCAIdAgMCMAIeAAQkAQICAicCBAIFAgYCBwIIAgkCHAILAgwCDQIIAggCCAIIAggCCAIIAggCCAIIAggCCAIIAggCCAIIAggCHQIDAigCHgAEJAECAgJlAgQCBQIGAgcCCAIJAh8CCwIMAg0CCAIIAggCCAIIAggCCAIIAggCCAIIAggCCAIIAggCCAIIAh0CAwJmAh4ABCQBAgICOwIEAgUCBgIHAggCCQIfAgsCDAINAggCCAIIAggCCAIIAggCCAIIAggCCAIIAggCCAIIAggCCAIdAgMCPAIeAAQkAQICAiECBAIFAgYCBwIIAgkCCgILAgwCDQIIAggCCAIIAggCCAIIAggCCAIIAggCCAIIAggCCAIIAggCHQIDAlgCHgAEJAECAgIeAgQCBQIGAgcCCAIJAhwCCwIMAg0CCAIIAggCCAIIAggCCAIIAggCCAIIAggCCAIIAggCCAIIAh0CAwKDAh4ABCQBAgICKQIEAgUCBgIHAggCCQIfAgsCDAINAggCCAIIAggCCAIIAggCCAIIAggCCAIIAggCCAIIAggCCAIdAgMCKgIeAAQkAQICAlMCBAIFAgYCBwIIAgkCHAILAgwCDQIIAggCCAIIAggCCAJ6AAAEAAgCCAIIAggCCAIIAggCCAIIAggCCAIdAgMCaAIeAAQkAQICAi0CBAIFAgYCBwIIAgkCHwILAgwCDQIIAggCCAIIAggCCAIIAggCCAIIAggCCAIIAggCCAIIAggCHQIDAi4CHgAEJAECAgIvAgQCBQIGAgcCCAIJAgoCCwIMAg0CCAIIAggCCAIIAggCCAIIAggCCAIIAggCCAIIAggCCAIIAh0CAwJeAh4ABCQBAgICOQIEAgUCBgIHAggCCQIcAgsCDAINAggCCAIIAggCCAIIAggCCAIIAggCCAIIAggCCAIIAggCCAIdAgMCOgIeAAQkAQICAkICBAIFAgYCBwIIAgkCHAILAgwCDQIIAggCCAIIAggCCAIIAggCCAIIAggCCAIIAggCCAIIAggCHQIDAksCHgAEJAECAgJhAgQCBQIGAgcCCAIJAh8CCwIMAg0CCAIIAggCCAIIAggCCAIIAggCCAIIAggCCAIIAggCCAIIAh0CAwJ4Ah4ABCQBAgICMQIEAgUCBgIHAggCCQIfAgsCDAINAggCCAIIAggCCAIIAggCCAIIAggCCAIIAggCCAIIAggCCAIdAgMCMgIeAAQkAQICAiUCBAIFAgYCBwIIAgkCCgILAgwCDQIIAggCCAIIAggCCAIIAggCCAIIAggCCAIIAggCCAIIAggCHQIDAqoCHgAEJAECAgJNAgQCBQIGAgcCCAIJAhwCCwIMAg0CCAIIAggCCAIIAggCCAIIAggCCAIIAggCCAIIAggCCAIIAh0CAwJOAh4ABCQBAgICZQIEAgUCBgIHAggCCQIcAgsCDAINAggCCAIIAggCCAIIAggCCAIIAggCCAIIAggCCAIIAggCCAIdAgMCdAIeAAQkAQICAk8CBAIFAgYCBwIIAgkCCgILAgwCDQIIAggCCAIIAggCCAIIAggCCAIIAggCCAIIAggCCAIIAggCHQIDAqUCHgAEJAECAgJAAgQCBQIGAgcCCAIJAgoCCwIMAg0CCAIIAggCCAIIAggCCAIIAggCCAIIAggCCAIIAggCCAIIAh0CAwKkAh4ABCQBAgICIQIEAgUCBgIHAggCCQIcAgsCDAINAggCCAIIAggCCAIIAggCCAIIAggCCAIIAggCCAIIAggCCAIdAgMCiwIeAAQkAQICAogCBAIFAgYCBwIIAgkCHwILAgwCDQIIAggCCAIIAggCCAIIAggCCAIIAggCCAIIAggCCAIIAggCHQIDAokCHgAEJAECAgJVAgQCBQIGAgcCCAIJAh8CCwIMAg0CCAIIAggCCAIIAggCCAIIAggCCAIIAggCCAIIAggCCAIIAh0CAwJ8Ah4ABCQBAgICkAIEAgUCBgJ6AAAEAAcCCAIJAh8CCwIMAg0CCAIIAggCCAIIAggCCAIIAggCCAIIAggCCAIIAggCCAIIAh0CAwKRAh4ABCQBAgICOwIEAgUCBgIHAggCCQIcAgsCDAINAggCCAIIAggCCAIIAggCCAIIAggCCAIIAggCCAIIAggCCAIdAgMCrgIeAAQkAQICAgMCBAIFAgYCBwIIAgkCCgILAgwCDQIIAggCCAIIAggCCAIIAggCCAIIAggCCAIIAggCCAIIAggCHQIDAg4CHgAEJAECAgI5AgQCBQIGAgcCCAIJAgoCCwIMAg0CCAIIAggCCAIIAggCCAIIAggCCAIIAggCCAIIAggCCAIIAh0CAwJMAh4ABCQBAgICjQIEAgUCBgIHAggCCQIfAgsCDAINAggCCAIIAggCCAIIAggCCAIIAggCCAIIAggCCAIIAggCCAIdAgMCpwIeAAQkAQICAikCBAIFAgYCBwIIAgkCHAILAgwCDQIIAggCCAIIAggCCAIIAggCCAIIAggCCAIIAggCCAIIAggCHQIDApwCHgAEJAECAgKIAgQCBQIGAgcCCAIJAgoCCwIMAg0CCAIIAggCCAIIAggCCAIIAggCCAIIAggCCAIIAggCCAIIAh0CAwKiAh4ABCQBAgICPQIEAgUCBgIHAggCCQIfAgsCDAINAggCCAIIAggCCAIIAggCCAIIAggCCAIIAggCCAIIAggCCAIdAgMCegIeAAQkAQICAjMCBAIFAgYCBwIIAgkCHwILAgwCDQIIAggCCAIIAggCCAIIAggCCAIIAggCCAIIAggCCAIIAggCHQIDAjQCHgAEJAECAgI7AgQCBQIGAgcCCAIJAgoCCwIMAg0CCAIIAggCCAIIAggCCAIIAggCCAIIAggCCAIIAggCCAIIAh0CAwKGAh4ABCQBAgICZQIEAgUCBgIHAggCCQIKAgsCDAINAggCCAIIAggCCAIIAggCCAIIAggCCAIIAggCCAIIAggCCAIdAgMCigIeAAQkAQICAjcCBAIFAgYCBwIIAgkCCgILAgwCDQIIAggCCAIIAggCCAIIAggCCAIIAggCCAIIAggCCAIIAggCHQIDAkQCHgAEJAECAgIDAgQCBQIGAgcCCAIJAhwCCwIMAg0CCAIIAggCCAIIAggCCAIIAggCCAIIAggCCAIIAggCCAIIAh0CAwI1Ah4ABCQBAgICRwIEAgUCBgIHAggCCQIcAgsCDAINAggCCAIIAggCCAIIAggCCAIIAggCCAIIAggCCAIIAggCCAIdAgMCngIeAAQkAQICAi0CBAIFAgYCBwIIAgkCCgILAgwCDQIIAggCCAIIAggCCAIIAggCCAIIAggCCAIIAggCCAJ6AAAEAAgCCAIdAgMCmwIeAAQlAQAJMjkzODQ3NTQ0AgICLwIEAgUCBgIHAggCCQIcAgsCDAINAggCCAIIAggCCAIIAggCCAIIAggCCAIIAggCCAIIAggCCAIPAgMCMAIeAAQlAQICAiUCBAIFAgYCBwIIAgkCHAILAgwCDQIIAggCCAIIAggCCAIIAggCCAIIAggCCAIIAggCCAIIAggCDwIDAiYCHgAEJQECAgIrAgQCBQIGAgcCCAIJAgoCCwIMAg0CCAIIAggCCAIIAggCCAIIAggCCAIIAggCCAIIAggCCAIIAg8CAwIsAh4ABCUBAgICTwIEAgUCBgIHAggCCQIfAgsCDAINAggCCAIIAggCCAIIAggCCAIIAggCCAIIAggCCAIIAggCCAIPAgMCUAIeAAQlAQICAoECBAIFAgYCBwIIAgkCHwILAgwCDQIIAggCCAIIAggCCAIIAggCCAIIAggCCAIIAggCCAIIAggCDwIDAq0CHgAEJQECAgIeAgQCBQIGAgcCCAIJAh8CCwIMAg0CCAIIAggCCAIIAggCCAIIAggCCAIIAggCCAIIAggCCAIIAg8CAwIgAh4ABCUBAgICZQIEAgUCBgIHAggCCQIfAgsCDAINAggCCAIIAggCCAIIAggCCAIIAggCCAIIAggCCAIIAggCCAIPAgMCZgIeAAQlAQICAiECBAIFAgYCBwIIAgkCHwILAgwCDQIIAggCCAIIAggCCAIIAggCCAIIAggCCAIIAggCCAIIAggCDwIDAiICHgAEJQECAgInAgQCBQIGAgcCCAIJAh8CCwIMAg0CCAIIAggCCAIIAggCCAIIAggCCAIIAggCCAIIAggCCAIIAg8CAwIoAh4ABCUBAgICIwIEAgUCBgIHAggCCQIcAgsCDAINAggCCAIIAggCCAIIAggCCAIIAggCCAIIAggCCAIIAggCCAIPAgMCJAIeAAQlAQICAgMCBAIFAgYCBwIIAgkCHAILAgwCDQIIAggCCAIIAggCCAIIAggCCAIIAggCCAIIAggCCAIIAggCDwIDAjUCHgAEJQECAgIpAgQCBQIGAgcCCAIJAh8CCwIMAg0CCAIIAggCCAIIAggCCAIIAggCCAIIAggCCAIIAggCCAIIAg8CAwIqAh4ABCUBAgICKwIEAgUCBgIHAggCCQIcAgsCDAINAggCCAIIAggCCAIIAggCCAIIAggCCAIIAggCCAIIAggCCAIPAgMCaQIeAAQlAQICAkcCBAIFAgYCBwIIAgkCHAILAgwCDQIIAggCCAIIAggCCAIIAggCCAIIAggCCAIIAggCCAIIAggCDwIDAp4CHgAEJQECAgIzAgQCBQIGAgcCCAIJAgp6AAAEAAILAgwCDQIIAggCCAIIAggCCAIIAggCCAIIAggCCAIIAggCCAIIAggCDwIDAqYCHgAEJQECAgI3AgQCBQIGAgcCCAIJAgoCCwIMAg0CCAIIAggCCAIIAggCCAIIAggCCAIIAggCCAIIAggCCAIIAg8CAwJEAh4ABCUBAgICJQIEAgUCBgIHAggCCQIKAgsCDAINAggCCAIIAggCCAIIAggCCAIIAggCCAIIAggCCAIIAggCCAIPAgMCqgIeAAQlAQICAjECBAIFAgYCBwIIAgkCHwILAgwCDQIIAggCCAIIAggCCAIIAggCCAIIAggCCAIIAggCCAIIAggCDwIDAjICHgAEJQECAgIzAgQCBQIGAgcCCAIJAh8CCwIMAg0CCAIIAggCCAIIAggCCAIIAggCCAIIAggCCAIIAggCCAIIAg8CAwI0Ah4ABCUBAgICOQIEAgUCBgIHAggCCQIcAgsCDAINAggCCAIIAggCCAIIAggCCAIIAggCCAIIAggCCAIIAggCCAIPAgMCOgIeAAQlAQICAi8CBAIFAgYCBwIIAgkCCgILAgwCDQIIAggCCAIIAggCCAIIAggCCAIIAggCCAIIAggCCAIIAggCDwIDAl4CHgAEJQECAgJ1AgQCBQIGAgcCCAIJAh8CCwIMAg0CCAIIAggCCAIIAggCCAIIAggCCAIIAggCCAIIAggCCAIIAg8CAwKUAh4ABCUBAgICRQIEAgUCBgIHAggCCQIKAgsCDAINAggCCAIIAggCCAIIAggCCAIIAggCCAIIAggCCAIIAggCCAIPAgMCZwIeAAQlAQICAlUCBAIFAgYCBwIIAgkCHwILAgwCDQIIAggCCAIIAggCCAIIAggCCAIIAggCCAIIAggCCAIIAggCDwIDAnwCHgAEJQECAgI3AgQCBQIGAgcCCAIJAhwCCwIMAg0CCAIIAggCCAIIAggCCAIIAggCCAIIAggCCAIIAggCCAIIAg8CAwKXAh4ABCUBAgICGwIEAgUCBgIHAggCCQIcAgsCDAINAggCCAIIAggCCAIIAggCCAIIAggCCAIIAggCCAIIAggCCAIPAgMCHQIeAAQlAQICAlkCBAIFAgYCBwIIAgkCHAILAgwCDQIIAggCCAIIAggCCAIIAggCCAIIAggCCAIIAggCCAIIAggCDwIDAmoCHgAEJQECAgKNAgQCBQIGAgcCCAIJAh8CCwIMAg0CCAIIAggCCAIIAggCCAIIAggCCAIIAggCCAIIAggCCAIIAg8CAwKnAh4ABCUBAgICUwIEAgUCBgIHAggCCQIKAgsCDAINAggCCAIIAggCCAIIAggCCAIIAggCCAIIAggCCAIIAggCCAIPAgN6AAAEAAJcAh4ABCUBAgICXQIEAgUCBgIHAggCCQIcAgsCDAINAggCCAIIAggCCAIIAggCCAIIAggCCAIIAggCCAIIAggCCAIPAgMCMAIeAAQlAQICAkcCBAIFAgYCBwIIAgkCHwILAgwCDQIIAggCCAIIAggCCAIIAggCCAIIAggCCAIIAggCCAIIAggCDwIDAnECHgAEJQECAgIeAgQCBQIGAgcCCAIJAgoCCwIMAg0CCAIIAggCCAIIAggCCAIIAggCCAIIAggCCAIIAggCCAIIAg8CAwJwAh4ABCUBAgICKQIEAgUCBgIHAggCCQIcAgsCDAINAggCCAIIAggCCAIIAggCCAIIAggCCAIIAggCCAIIAggCCAIPAgMCnAIeAAQlAQICAjkCBAIFAgYCBwIIAgkCCgILAgwCDQIIAggCCAIIAggCCAIIAggCCAIIAggCCAIIAggCCAIIAggCDwIDAkwCHgAEJQECAgJNAgQCBQIGAgcCCAIJAgoCCwIMAg0CCAIIAggCCAIIAggCCAIIAggCCAIIAggCCAIIAggCCAIIAg8CAwJkAh4ABCUBAgICQgIEAgUCBgIHAggCCQIKAgsCDAINAggCCAIIAggCCAIIAggCCAIIAggCCAIIAggCCAIIAggCCAIPAgMCQwIeAAQlAQICAicCBAIFAgYCBwIIAgkCCgILAgwCDQIIAggCCAIIAggCCAIIAggCCAIIAggCCAIIAggCCAIIAggCDwIDAigCHgAEJQECAgJTAgQCBQIGAgcCCAIJAhwCCwIMAg0CCAIIAggCCAIIAggCCAIIAggCCAIIAggCCAIIAggCCAIIAg8CAwJoAh4ABCUBAgICHgIEAgUCBgIHAggCCQIcAgsCDAINAggCCAIIAggCCAIIAggCCAIIAggCCAIIAggCCAIIAggCCAIPAgMCgwIeAAQlAQICAjsCBAIFAgYCBwIIAgkCCgILAgwCDQIIAggCCAIIAggCCAIIAggCCAIIAggCCAIIAggCCAIIAggCDwIDAoYCHgAEJQECAgJFAgQCBQIGAgcCCAIJAhwCCwIMAg0CCAIIAggCCAIIAggCCAIIAggCCAIIAggCCAIIAggCCAIIAg8CAwJbAh4ABCUBAgICIQIEAgUCBgIHAggCCQIKAgsCDAINAggCCAIIAggCCAIIAggCCAIIAggCCAIIAggCCAIIAggCCAIPAgMCWAIeAAQlAQICAi0CBAIFAgYCBwIIAgkCCgILAgwCDQIIAggCCAIIAggCCAIIAggCCAIIAggCCAIIAggCCAIIAggCDwIDApsCHgAEJQECAgJlAgQCBQIGAgcCCAIJAgoCCwIMAg0CCAIIAggCCAIIAgh6AAAEAAIIAggCCAIIAggCCAIIAggCCAIIAggCDwIDAooCHgAEJQECAgItAgQCBQIGAgcCCAIJAh8CCwIMAg0CCAIIAggCCAIIAggCCAIIAggCCAIIAggCCAIIAggCCAIIAg8CAwIuAh4ABCUBAgICLwIEAgUCBgIHAggCCQIfAgsCDAINAggCCAIIAggCCAIIAggCCAIIAggCCAIIAggCCAIIAggCCAIPAgMCfAIeAAQlAQICAlECBAIFAgYCBwIIAgkCCgILAgwCDQIIAggCCAIIAggCCAIIAggCCAIIAggCCAIIAggCCAIIAggCDwIDAmMCHgAEJQECAgJNAgQCBQIGAgcCCAIJAhwCCwIMAg0CCAIIAggCCAIIAggCCAIIAggCCAIIAggCCAIIAggCCAIIAg8CAwJOAh4ABCUBAgICQgIEAgUCBgIHAggCCQIcAgsCDAINAggCCAIIAggCCAIIAggCCAIIAggCCAIIAggCCAIIAggCCAIPAgMCSwIeAAQlAQICAjcCBAIFAgYCBwIIAgkCHwILAgwCDQIIAggCCAIIAggCCAIIAggCCAIIAggCCAIIAggCCAIIAggCDwIDAjgCHgAEJQECAgIpAgQCBQIGAgcCCAIJAgoCCwIMAg0CCAIIAggCCAIIAggCCAIIAggCCAIIAggCCAIIAggCCAIIAg8CAwKVAh4ABCUBAgICOwIEAgUCBgIHAggCCQIfAgsCDAINAggCCAIIAggCCAIIAggCCAIIAggCCAIIAggCCAIIAggCCAIPAgMCPAIeAAQlAQICAlYCBAIFAgYCBwIIAgkCHAILAgwCDQIIAggCCAIIAggCCAIIAggCCAIIAggCCAIIAggCCAIIAggCDwIDAocCHgAEJQECAgIDAgQCBQIGAgcCCAIJAgoCCwIMAg0CCAIIAggCCAIIAggCCAIIAggCCAIIAggCCAIIAggCCAIIAg8CAwIOAh4ABCUBAgICJwIEAgUCBgIHAggCCQIcAgsCDAINAggCCAIIAggCCAIIAggCCAIIAggCCAIIAggCCAIIAggCCAIPAgMCKAIeAAQlAQICAogCBAIFAgYCBwIIAgkCHwILAgwCDQIIAggCCAIIAggCCAIIAggCCAIIAggCCAIIAggCCAIIAggCDwIDAokCHgAEJQECAgJRAgQCBQIGAgcCCAIJAhwCCwIMAg0CCAIIAggCCAIIAggCCAIIAggCCAIIAggCCAIIAggCCAIIAg8CAwJSAh4ABCUBAgICQAIEAgUCBgIHAggCCQIfAgsCDAINAggCCAIIAggCCAIIAggCCAIIAggCCAIIAggCCAIIAggCCAIPAgMCQQIeAAQlAQICAiECBAIFAgZ6AAAEAAIHAggCCQIcAgsCDAINAggCCAIIAggCCAIIAggCCAIIAggCCAIIAggCCAIIAggCCAIPAgMCiwIeAAQlAQICAkcCBAIFAgYCBwIIAgkCCgILAgwCDQIIAggCCAIIAggCCAIIAggCCAIIAggCCAIIAggCCAIIAggCDwIDAkgCHgAEJQECAgJfAgQCBQIGAgcCCAIJAgoCCwIMAg0CCAIIAggCCAIIAggCCAIIAggCCAIIAggCCAIIAggCCAIIAg8CAwKPAh4ABCUBAgICQgIEAgUCBgIHAggCCQIfAgsCDAINAggCCAIIAggCCAIIAggCCAIIAggCCAIIAggCCAIIAggCCAIPAgMCawIeAAQlAQICAk0CBAIFAgYCBwIIAgkCHwILAgwCDQIIAggCCAIIAggCCAIIAggCCAIIAggCCAIIAggCCAIIAggCDwIDAn0CHgAEJQECAgJuAgQCBQIGAgcCCAIJAhwCCwIMAg0CCAIIAggCCAIIAggCCAIIAggCCAIIAggCCAIIAggCCAIIAg8CAwJvAh4ABCUBAgICSQIEAgUCBgIHAggCCQIcAgsCDAINAggCCAIIAggCCAIIAggCCAIIAggCCAIIAggCCAIIAggCCAIPAgMCfgIeAAQlAQICAnUCBAIFAgYCBwIIAgkCHAILAgwCDQIIAggCCAIIAggCCAIIAggCCAIIAggCCAIIAggCCAIIAggCDwIDAoQCHgAEJQECAgJWAgQCBQIGAgcCCAIJAgoCCwIMAg0CCAIIAggCCAIIAggCCAIIAggCCAIIAggCCAIIAggCCAIIAg8CAwJyAh4ABCUBAgICOQIEAgUCBgIHAggCCQIfAgsCDAINAggCCAIIAggCCAIIAggCCAIIAggCCAIIAggCCAIIAggCCAIPAgMCbAIeAAQlAQICApACBAIFAgYCBwIIAgkCHwILAgwCDQIIAggCCAIIAggCCAIIAggCCAIIAggCCAIIAggCCAIIAggCDwIDApECHgAEJQECAgKIAgQCBQIGAgcCCAIJAgoCCwIMAg0CCAIIAggCCAIIAggCCAIIAggCCAIIAggCCAIIAggCCAIIAg8CAwKiAh4ABCUBAgICGwIEAgUCBgIHAggCCQIfAgsCDAINAggCCAIIAggCCAIIAggCCAIIAggCCAIIAggCCAIIAggCCAIPAgMChQIeAAQlAQICAkACBAIFAgYCBwIIAgkCHAILAgwCDQIIAggCCAIIAggCCAIIAggCCAIIAggCCAIIAggCCAIIAggCDwIDAnsCHgAEJQECAgJhAgQCBQIGAgcCCAIJAh8CCwIMAg0CCAIIAggCCAIIAggCCAIIAggCCAIIAggCCAIIAgh6AAAEAAIIAggCDwIDAngCHgAEJQECAgJPAgQCBQIGAgcCCAIJAhwCCwIMAg0CCAIIAggCCAIIAggCCAIIAggCCAIIAggCCAIIAggCCAIIAg8CAwJ/Ah4ABCUBAgICWQIEAgUCBgIHAggCCQIfAgsCDAINAggCCAIIAggCCAIIAggCCAIIAggCCAIIAggCCAIIAggCCAIPAgMCdwIeAAQlAQICAj0CBAIFAgYCBwIIAgkCHwILAgwCDQIIAggCCAIIAggCCAIIAggCCAIIAggCCAIIAggCCAIIAggCDwIDAnoCHgAEJQECAgJuAgQCBQIGAgcCCAIJAgoCCwIMAg0CCAIIAggCCAIIAggCCAIIAggCCAIIAggCCAIIAggCCAIIAg8CAwJ5Ah4ABCUBAgICJQIEAgUCBgIHAggCCQIfAgsCDAINAggCCAIIAggCCAIIAggCCAIIAggCCAIIAggCCAIIAggCCAIPAgMCnwIeAAQlAQICAoECBAIFAgYCBwIIAgkCHAILAgwCDQIIAggCCAIIAggCCAIIAggCCAIIAggCCAIIAggCCAIIAggCDwIDAoICHgAEJQECAgJfAgQCBQIGAgcCCAIJAhwCCwIMAg0CCAIIAggCCAIIAggCCAIIAggCCAIIAggCCAIIAggCCAIIAg8CAwJgAh4ABCUBAgICUQIEAgUCBgIHAggCCQIfAgsCDAINAggCCAIIAggCCAIIAggCCAIIAggCCAIIAggCCAIIAggCCAIPAgMCgAIeAAQlAQICAogCBAIFAgYCBwIIAgkCHAILAgwCDQIIAggCCAIIAggCCAIIAggCCAIIAggCCAIIAggCCAIIAggCDwIDAqsCHgAEJQECAgJJAgQCBQIGAgcCCAIJAgoCCwIMAg0CCAIIAggCCAIIAggCCAIIAggCCAIIAggCCAIIAggCCAIIAg8CAwJtAh4ABCUBAgICAwIEAgUCBgIHAggCCQIfAgsCDAINAggCCAIIAggCCAIIAggCCAIIAggCCAIIAggCCAIIAggCCAIPAgMCcwIeAAQlAQICAmUCBAIFAgYCBwIIAgkCHAILAgwCDQIIAggCCAIIAggCCAIIAggCCAIIAggCCAIIAggCCAIIAggCDwIDAnQCHgAEJQECAgI7AgQCBQIGAgcCCAIJAhwCCwIMAg0CCAIIAggCCAIIAggCCAIIAggCCAIIAggCCAIIAggCCAIIAg8CAwKuAh4ABCUBAgICQAIEAgUCBgIHAggCCQIKAgsCDAINAggCCAIIAggCCAIIAggCCAIIAggCCAIIAggCCAIIAggCCAIPAgMCpAIeAAQlAQICApACBAIFAgYCBwIIAgkCCgILAgwCDQIIAgh6AAAEAAIIAggCCAIIAggCCAIIAggCCAIIAggCCAIIAggCCAIPAgMCmQIeAAQlAQICAiMCBAIFAgYCBwIIAgkCHwILAgwCDQIIAggCCAIIAggCCAIIAggCCAIIAggCCAIIAggCCAIIAggCDwIDAqgCHgAEJQECAgJPAgQCBQIGAgcCCAIJAgoCCwIMAg0CCAIIAggCCAIIAggCCAIIAggCCAIIAggCCAIIAggCCAIIAg8CAwKlAh4ABCUBAgICgQIEAgUCBgIHAggCCQIKAgsCDAINAggCCAIIAggCCAIIAggCCAIIAggCCAIIAggCCAIIAggCCAIPAgMCjAIeAAQlAQICAi0CBAIFAgYCBwIIAgkCHAILAgwCDQIIAggCCAIIAggCCAIIAggCCAIIAggCCAIIAggCCAIIAggCDwIDAqkCHgAEJQECAgKNAgQCBQIGAgcCCAIJAgoCCwIMAg0CCAIIAggCCAIIAggCCAIIAggCCAIIAggCCAIIAggCCAIIAg8CAwKgAh4ABCUBAgICYQIEAgUCBgIHAggCCQIcAgsCDAINAggCCAIIAggCCAIIAggCCAIIAggCCAIIAggCCAIIAggCCAIPAgMCYgIeAAQlAQICAjECBAIFAgYCBwIIAgkCHAILAgwCDQIIAggCCAIIAggCCAIIAggCCAIIAggCCAIIAggCCAIIAggCDwIDApMCHgAEJQECAgJfAgQCBQIGAgcCCAIJAh8CCwIMAg0CCAIIAggCCAIIAggCCAIIAggCCAIIAggCCAIIAggCCAIIAg8CAwKsAh4ABCUBAgICVgIEAgUCBgIHAggCCQIfAgsCDAINAggCCAIIAggCCAIIAggCCAIIAggCCAIIAggCCAIIAggCCAIPAgMCVwIeAAQlAQICAlUCBAIFAgYCBwIIAgkCHAILAgwCDQIIAggCCAIIAggCCAIIAggCCAIIAggCCAIIAggCCAIIAggCDwIDAjACHgAEJQECAgI9AgQCBQIGAgcCCAIJAgoCCwIMAg0CCAIIAggCCAIIAggCCAIIAggCCAIIAggCCAIIAggCCAIIAg8CAwKWAh4ABCUBAgICWQIEAgUCBgIHAggCCQIKAgsCDAINAggCCAIIAggCCAIIAggCCAIIAggCCAIIAggCCAIIAggCCAIPAgMCWgIeAAQlAQICApACBAIFAgYCBwIIAgkCHAILAgwCDQIIAggCCAIIAggCCAIIAggCCAIIAggCCAIIAggCCAIIAggCDwIDAqMCHgAEJQECAgIbAgQCBQIGAgcCCAIJAgoCCwIMAg0CCAIIAggCCAIIAggCCAIIAggCCAIIAggCCAIIAggCCAIIAg8CAwI/Ah4ABCUBAgJ6AAAEAAJdAgQCBQIGAgcCCAIJAgoCCwIMAg0CCAIIAggCCAIIAggCCAIIAggCCAIIAggCCAIIAggCCAIIAg8CAwJeAh4ABCUBAgICXQIEAgUCBgIHAggCCQIfAgsCDAINAggCCAIIAggCCAIIAggCCAIIAggCCAIIAggCCAIIAggCCAIPAgMCfAIeAAQlAQICAkkCBAIFAgYCBwIIAgkCHwILAgwCDQIIAggCCAIIAggCCAIIAggCCAIIAggCCAIIAggCCAIIAggCDwIDAkoCHgAEJQECAgIxAgQCBQIGAgcCCAIJAgoCCwIMAg0CCAIIAggCCAIIAggCCAIIAggCCAIIAggCCAIIAggCCAIIAg8CAwKdAh4ABCUBAgICjQIEAgUCBgIHAggCCQIcAgsCDAINAggCCAIIAggCCAIIAggCCAIIAggCCAIIAggCCAIIAggCCAIPAgMCjgIeAAQlAQICAm4CBAIFAgYCBwIIAgkCHwILAgwCDQIIAggCCAIIAggCCAIIAggCCAIIAggCCAIIAggCCAIIAggCDwIDAqECHgAEJQECAgJhAgQCBQIGAgcCCAIJAgoCCwIMAg0CCAIIAggCCAIIAggCCAIIAggCCAIIAggCCAIIAggCCAIIAg8CAwKSAh4ABCUBAgICIwIEAgUCBgIHAggCCQIKAgsCDAINAggCCAIIAggCCAIIAggCCAIIAggCCAIIAggCCAIIAggCCAIPAgMCNgIeAAQlAQICAlUCBAIFAgYCBwIIAgkCCgILAgwCDQIIAggCCAIIAggCCAIIAggCCAIIAggCCAIIAggCCAIIAggCDwIDAl4CHgAEJQECAgI9AgQCBQIGAgcCCAIJAhwCCwIMAg0CCAIIAggCCAIIAggCCAIIAggCCAIIAggCCAIIAggCCAIIAg8CAwI+Ah4ABCUBAgICUwIEAgUCBgIHAggCCQIfAgsCDAINAggCCAIIAggCCAIIAggCCAIIAggCCAIIAggCCAIIAggCCAIPAgMCVAIeAAQlAQICAnUCBAIFAgYCBwIIAgkCCgILAgwCDQIIAggCCAIIAggCCAIIAggCCAIIAggCCAIIAggCCAIIAggCDwIDAnYCHgAEJQECAgIzAgQCBQIGAgcCCAIJAhwCCwIMAg0CCAIIAggCCAIIAggCCAIIAggCCAIIAggCCAIIAggCCAIIAg8CAwKYAh4ABCUBAgICKwIEAgUCBgIHAggCCQIfAgsCDAINAggCCAIIAggCCAIIAggCCAIIAggCCAIIAggCCAIIAggCCAIPAgMCmgIeAAQlAQICAkUCBAIFAgYCBwIIAgkCHwILAgwCDQIIAggCCAIIAggCCAIIAggCCAIIAgh6AAAEAAIIAggCCAIIAggCCAIPAgMCRgIeAAQmAQAJNTY2NDA1OTY4AgICRwIEAgUCBgIHAggCCQIKAgsCDAINAggCCAIIAggCCAIIAggCCAIIAggCCAIIAggCCAIIAggCCAIZAgMCSAIeAAQmAQICAo0CBAIFAgYCBwIIAgkCHwILAgwCDQIIAggCCAIIAggCCAIIAggCCAIIAggCCAIIAggCCAIIAggCGQIDAqcCHgAEJgECAgIrAgQCBQIGAgcCCAIJAgoCCwIMAg0CCAIIAggCCAIIAggCCAIIAggCCAIIAggCCAIIAggCCAIIAhkCAwIsAh4ABCYBAgICAwIEAgUCBgIHAggCCQIcAgsCDAINAggCCAIIAggCCAIIAggCCAIIAggCCAIIAggCCAIIAggCCAIZAgMCNQIeAAQmAQICAk8CBAIFAgYCBwIIAgkCHwILAgwCDQIIAggCCAIIAggCCAIIAggCCAIIAggCCAIIAggCCAIIAggCGQIDAlACHgAEJgECAgIvAgQCBQIGAgcCCAIJAhwCCwIMAg0CCAIIAggCCAIIAggCCAIIAggCCAIIAggCCAIIAggCCAIIAhkCAwIwAh4ABCYBAgICgQIEAgUCBgIHAggCCQIfAgsCDAINAggCCAIIAggCCAIIAggCCAIIAggCCAIIAggCCAIIAggCCAIZAgMCrQIeAAQmAQICAjsCBAIFAgYCBwIIAgkCHwILAgwCDQIIAggCCAIIAggCCAIIAggCCAIIAggCCAIIAggCCAIIAggCGQIDAjwCHgAEJgECAgJTAgQCBQIGAgcCCAIJAh8CCwIMAg0CCAIIAggCCAIIAggCCAIIAggCCAIIAggCCAIIAggCCAIIAhkCAwJUAh4ABCYBAgICAwIEAgUCBgIHAggCCQIKAgsCDAINAggCCAIIAggCCAIIAggCCAIIAggCCAIIAggCCAIIAggCCAIZAgMCDgIeAAQmAQICAkUCBAIFAgYCBwIIAgkCCgILAgwCDQIIAggCCAIIAggCCAIIAggCCAIIAggCCAIIAggCCAIIAggCGQIDAmcCHgAEJgECAgIbAgQCBQIGAgcCCAIJAhwCCwIMAg0CCAIIAggCCAIIAggCCAIIAggCCAIIAggCCAIIAggCCAIIAhkCAwIdAh4ABCYBAgICJQIEAgUCBgIHAggCCQIcAgsCDAINAggCCAIIAggCCAIIAggCCAIIAggCCAIIAggCCAIIAggCCAIZAgMCJgIeAAQmAQICAkACBAIFAgYCBwIIAgkCHwILAgwCDQIIAggCCAIIAggCCAIIAggCCAIIAggCCAIIAggCCAIIAggCGQIDAkECHgAEJgECAgJuAgQCBQJ6AAAEAAYCBwIIAgkCHwILAgwCDQIIAggCCAIIAggCCAIIAggCCAIIAggCCAIIAggCCAIIAggCGQIDAqECHgAEJgECAgJFAgQCBQIGAgcCCAIJAhwCCwIMAg0CCAIIAggCCAIIAggCCAIIAggCCAIIAggCCAIIAggCCAIIAhkCAwJbAh4ABCYBAgICMQIEAgUCBgIHAggCCQIKAgsCDAINAggCCAIIAggCCAIIAggCCAIIAggCCAIIAggCCAIIAggCCAIZAgMCnQIeAAQmAQICAiUCBAIFAgYCBwIIAgkCCgILAgwCDQIIAggCCAIIAggCCAIIAggCCAIIAggCCAIIAggCCAIIAggCGQIDAqoCHgAEJgECAgIjAgQCBQIGAgcCCAIJAgoCCwIMAg0CCAIIAggCCAIIAggCCAIIAggCCAIIAggCCAIIAggCCAIIAhkCAwI2Ah4ABCYBAgICdQIEAgUCBgIHAggCCQIfAgsCDAINAggCCAIIAggCCAIIAggCCAIIAggCCAIIAggCCAIIAggCCAIZAgMClAIeAAQmAQICAi0CBAIFAgYCBwIIAgkCHwILAgwCDQIIAggCCAIIAggCCAIIAggCCAIIAggCCAIIAggCCAIIAggCGQIDAi4CHgAEJgECAgIvAgQCBQIGAgcCCAIJAgoCCwIMAg0CCAIIAggCCAIIAggCCAIIAggCCAIIAggCCAIIAggCCAIIAhkCAwJeAh4ABCYBAgICVQIEAgUCBgIHAggCCQIKAgsCDAINAggCCAIIAggCCAIIAggCCAIIAggCCAIIAggCCAIIAggCCAIZAgMCXgIeAAQmAQICApACBAIFAgYCBwIIAgkCHAILAgwCDQIIAggCCAIIAggCCAIIAggCCAIIAggCCAIIAggCCAIIAggCGQIDAqMCHgAEJgECAgIhAgQCBQIGAgcCCAIJAgoCCwIMAg0CCAIIAggCCAIIAggCCAIIAggCCAIIAggCCAIIAggCCAIIAhkCAwJYAh4ABCYBAgICZQIEAgUCBgIHAggCCQIfAgsCDAINAggCCAIIAggCCAIIAggCCAIIAggCCAIIAggCCAIIAggCCAIZAgMCZgIeAAQmAQICAjcCBAIFAgYCBwIIAgkCHwILAgwCDQIIAggCCAIIAggCCAIIAggCCAIIAggCCAIIAggCCAIIAggCGQIDAjgCHgAEJgECAgIrAgQCBQIGAgcCCAIJAhwCCwIMAg0CCAIIAggCCAIIAggCCAIIAggCCAIIAggCCAIIAggCCAIIAhkCAwJpAh4ABCYBAgICMwIEAgUCBgIHAggCCQIKAgsCDAINAggCCAIIAggCCAIIAggCCAIIAggCCAIIAggCCAJ6AAAEAAgCCAIIAhkCAwKmAh4ABCYBAgICKQIEAgUCBgIHAggCCQIfAgsCDAINAggCCAIIAggCCAIIAggCCAIIAggCCAIIAggCCAIIAggCCAIZAgMCKgIeAAQmAQICAi0CBAIFAgYCBwIIAgkCHAILAgwCDQIIAggCCAIIAggCCAIIAggCCAIIAggCCAIIAggCCAIIAggCGQIDAqkCHgAEJgECAgIpAgQCBQIGAgcCCAIJAhwCCwIMAg0CCAIIAggCCAIIAggCCAIIAggCCAIIAggCCAIIAggCCAIIAhkCAwKcAh4ABCYBAgICOQIEAgUCBgIHAggCCQIKAgsCDAINAggCCAIIAggCCAIIAggCCAIIAggCCAIIAggCCAIIAggCCAIZAgMCTAIeAAQmAQICAkICBAIFAgYCBwIIAgkCCgILAgwCDQIIAggCCAIIAggCCAIIAggCCAIIAggCCAIIAggCCAIIAggCGQIDAkMCHgAEJgECAgInAgQCBQIGAgcCCAIJAhwCCwIMAg0CCAIIAggCCAIIAggCCAIIAggCCAIIAggCCAIIAggCCAIIAhkCAwIoAh4ABCYBAgICXwIEAgUCBgIHAggCCQIfAgsCDAINAggCCAIIAggCCAIIAggCCAIIAggCCAIIAggCCAIIAggCCAIZAgMCrAIeAAQmAQICAk0CBAIFAgYCBwIIAgkCCgILAgwCDQIIAggCCAIIAggCCAIIAggCCAIIAggCCAIIAggCCAIIAggCGQIDAmQCHgAEJgECAgI3AgQCBQIGAgcCCAIJAhwCCwIMAg0CCAIIAggCCAIIAggCCAIIAggCCAIIAggCCAIIAggCCAIIAhkCAwKXAh4ABCYBAgICVQIEAgUCBgIHAggCCQIfAgsCDAINAggCCAIIAggCCAIIAggCCAIIAggCCAIIAggCCAIIAggCCAIZAgMCfAIeAAQmAQICAlECBAIFAgYCBwIIAgkCHAILAgwCDQIIAggCCAIIAggCCAIIAggCCAIIAggCCAIIAggCCAIIAggCGQIDAlICHgAEJgECAgJAAgQCBQIGAgcCCAIJAgoCCwIMAg0CCAIIAggCCAIIAggCCAIIAggCCAIIAggCCAIIAggCCAIIAhkCAwKkAh4ABCYBAgICiAIEAgUCBgIHAggCCQIfAgsCDAINAggCCAIIAggCCAIIAggCCAIIAggCCAIIAggCCAIIAggCCAIZAgMCiQIeAAQmAQICAiECBAIFAgYCBwIIAgkCHAILAgwCDQIIAggCCAIIAggCCAIIAggCCAIIAggCCAIIAggCCAIIAggCGQIDAosCHgAEJgECAgKQAgQCBQIGAgcCCAIJAgoCCwIMAg0CCAJ6AAAEAAgCCAIIAggCCAIIAggCCAIIAggCCAIIAggCCAIIAggCGQIDApkCHgAEJgECAgJPAgQCBQIGAgcCCAIJAgoCCwIMAg0CCAIIAggCCAIIAggCCAIIAggCCAIIAggCCAIIAggCCAIIAhkCAwKlAh4ABCYBAgICLQIEAgUCBgIHAggCCQIKAgsCDAINAggCCAIIAggCCAIIAggCCAIIAggCCAIIAggCCAIIAggCCAIZAgMCmwIeAAQmAQICAkICBAIFAgYCBwIIAgkCHAILAgwCDQIIAggCCAIIAggCCAIIAggCCAIIAggCCAIIAggCCAIIAggCGQIDAksCHgAEJgECAgJNAgQCBQIGAgcCCAIJAhwCCwIMAg0CCAIIAggCCAIIAggCCAIIAggCCAIIAggCCAIIAggCCAIIAhkCAwJOAh4ABCYBAgICLwIEAgUCBgIHAggCCQIfAgsCDAINAggCCAIIAggCCAIIAggCCAIIAggCCAIIAggCCAIIAggCCAIZAgMCfAIeAAQmAQICAjkCBAIFAgYCBwIIAgkCHAILAgwCDQIIAggCCAIIAggCCAIIAggCCAIIAggCCAIIAggCCAIIAggCGQIDAjoCHgAEJgECAgIzAgQCBQIGAgcCCAIJAh8CCwIMAg0CCAIIAggCCAIIAggCCAIIAggCCAIIAggCCAIIAggCCAIIAhkCAwI0Ah4ABCYBAgICMQIEAgUCBgIHAggCCQIfAgsCDAINAggCCAIIAggCCAIIAggCCAIIAggCCAIIAggCCAIIAggCCAIZAgMCMgIeAAQmAQICAikCBAIFAgYCBwIIAgkCCgILAgwCDQIIAggCCAIIAggCCAIIAggCCAIIAggCCAIIAggCCAIIAggCGQIDApUCHgAEJgECAgI7AgQCBQIGAgcCCAIJAgoCCwIMAg0CCAIIAggCCAIIAggCCAIIAggCCAIIAggCCAIIAggCCAIIAhkCAwKGAh4ABCYBAgICNwIEAgUCBgIHAggCCQIKAgsCDAINAggCCAIIAggCCAIIAggCCAIIAggCCAIIAggCCAIIAggCCAIZAgMCRAIeAAQmAQICAkcCBAIFAgYCBwIIAgkCHAILAgwCDQIIAggCCAIIAggCCAIIAggCCAIIAggCCAIIAggCCAIIAggCGQIDAp4CHgAEJgECAgIlAgQCBQIGAgcCCAIJAh8CCwIMAg0CCAIIAggCCAIIAggCCAIIAggCCAIIAggCCAIIAggCCAIIAhkCAwKfAh4ABCYBAgICZQIEAgUCBgIHAggCCQIKAgsCDAINAggCCAIIAggCCAIIAggCCAIIAggCCAIIAggCCAIIAggCCAIZAgMCigIeAAQmAQJ6AAAEAAICPQIEAgUCBgIHAggCCQIfAgsCDAINAggCCAIIAggCCAIIAggCCAIIAggCCAIIAggCCAIIAggCCAIZAgMCegIeAAQmAQICAkICBAIFAgYCBwIIAgkCHwILAgwCDQIIAggCCAIIAggCCAIIAggCCAIIAggCCAIIAggCCAIIAggCGQIDAmsCHgAEJgECAgJNAgQCBQIGAgcCCAIJAh8CCwIMAg0CCAIIAggCCAIIAggCCAIIAggCCAIIAggCCAIIAggCCAIIAhkCAwJ9Ah4ABCYBAgICbgIEAgUCBgIHAggCCQIcAgsCDAINAggCCAIIAggCCAIIAggCCAIIAggCCAIIAggCCAIIAggCCAIZAgMCbwIeAAQmAQICAl8CBAIFAgYCBwIIAgkCCgILAgwCDQIIAggCCAIIAggCCAIIAggCCAIIAggCCAIIAggCCAIIAggCGQIDAo8CHgAEJgECAgJJAgQCBQIGAgcCCAIJAhwCCwIMAg0CCAIIAggCCAIIAggCCAIIAggCCAIIAggCCAIIAggCCAIIAhkCAwJ+Ah4ABCYBAgICdQIEAgUCBgIHAggCCQIcAgsCDAINAggCCAIIAggCCAIIAggCCAIIAggCCAIIAggCCAIIAggCCAIZAgMChAIeAAQmAQICAlYCBAIFAgYCBwIIAgkCHAILAgwCDQIIAggCCAIIAggCCAIIAggCCAIIAggCCAIIAggCCAIIAggCGQIDAocCHgAEJgECAgI5AgQCBQIGAgcCCAIJAh8CCwIMAg0CCAIIAggCCAIIAggCCAIIAggCCAIIAggCCAIIAggCCAIIAhkCAwJsAh4ABCYBAgICkAIEAgUCBgIHAggCCQIfAgsCDAINAggCCAIIAggCCAIIAggCCAIIAggCCAIIAggCCAIIAggCCAIZAgMCkQIeAAQmAQICAlYCBAIFAgYCBwIIAgkCCgILAgwCDQIIAggCCAIIAggCCAIIAggCCAIIAggCCAIIAggCCAIIAggCGQIDAnICHgAEJgECAgIbAgQCBQIGAgcCCAIJAh8CCwIMAg0CCAIIAggCCAIIAggCCAIIAggCCAIIAggCCAIIAggCCAIIAhkCAwKFAh4ABCYBAgICiAIEAgUCBgIHAggCCQIKAgsCDAINAggCCAIIAggCCAIIAggCCAIIAggCCAIIAggCCAIIAggCCAIZAgMCogIeAAQmAQICAmUCBAIFAgYCBwIIAgkCHAILAgwCDQIIAggCCAIIAggCCAIIAggCCAIIAggCCAIIAggCCAIIAggCGQIDAnQCHgAEJgECAgJ1AgQCBQIGAgcCCAIJAgoCCwIMAg0CCAIIAggCCAIIAggCCAIIAggCCAJ6AAAEAAgCCAIIAggCCAIIAggCGQIDAnYCHgAEJgECAgIjAgQCBQIGAgcCCAIJAh8CCwIMAg0CCAIIAggCCAIIAggCCAIIAggCCAIIAggCCAIIAggCCAIIAhkCAwKoAh4ABCYBAgICXQIEAgUCBgIHAggCCQIfAgsCDAINAggCCAIIAggCCAIIAggCCAIIAggCCAIIAggCCAIIAggCCAIZAgMCfAIeAAQmAQICAkkCBAIFAgYCBwIIAgkCCgILAgwCDQIIAggCCAIIAggCCAIIAggCCAIIAggCCAIIAggCCAIIAggCGQIDAm0CHgAEJgECAgJhAgQCBQIGAgcCCAIJAh8CCwIMAg0CCAIIAggCCAIIAggCCAIIAggCCAIIAggCCAIIAggCCAIIAhkCAwJ4Ah4ABCYBAgICTwIEAgUCBgIHAggCCQIcAgsCDAINAggCCAIIAggCCAIIAggCCAIIAggCCAIIAggCCAIIAggCCAIZAgMCfwIeAAQmAQICAogCBAIFAgYCBwIIAgkCHAILAgwCDQIIAggCCAIIAggCCAIIAggCCAIIAggCCAIIAggCCAIIAggCGQIDAqsCHgAEJgECAgI7AgQCBQIGAgcCCAIJAhwCCwIMAg0CCAIIAggCCAIIAggCCAIIAggCCAIIAggCCAIIAggCCAIIAhkCAwKuAh4ABCYBAgICAwIEAgUCBgIHAggCCQIfAgsCDAINAggCCAIIAggCCAIIAggCCAIIAggCCAIIAggCCAIIAggCCAIZAgMCcwIeAAQmAQICAj0CBAIFAgYCBwIIAgkCCgILAgwCDQIIAggCCAIIAggCCAIIAggCCAIIAggCCAIIAggCCAIIAggCGQIDApYCHgAEJgECAgIeAgQCBQIGAgcCCAIJAhwCCwIMAg0CCAIIAggCCAIIAggCCAIIAggCCAIIAggCCAIIAggCCAIIAhkCAwKDAh4ABCYBAgICUwIEAgUCBgIHAggCCQIcAgsCDAINAggCCAIIAggCCAIIAggCCAIIAggCCAIIAggCCAIIAggCCAIZAgMCaAIeAAQmAQICAlECBAIFAgYCBwIIAgkCCgILAgwCDQIIAggCCAIIAggCCAIIAggCCAIIAggCCAIIAggCCAIIAggCGQIDAmMCHgAEJgECAgJZAgQCBQIGAgcCCAIJAh8CCwIMAg0CCAIIAggCCAIIAggCCAIIAggCCAIIAggCCAIIAggCCAIIAhkCAwJ3Ah4ABCYBAgICQAIEAgUCBgIHAggCCQIcAgsCDAINAggCCAIIAggCCAIIAggCCAIIAggCCAIIAggCCAIIAggCCAIZAgMCewIeAAQmAQICAlkCBAIFAgYCBwIIAgkCHAJ6AAAEAAsCDAINAggCCAIIAggCCAIIAggCCAIIAggCCAIIAggCCAIIAggCCAIZAgMCagIeAAQmAQICAoECBAIFAgYCBwIIAgkCCgILAgwCDQIIAggCCAIIAggCCAIIAggCCAIIAggCCAIIAggCCAIIAggCGQIDAowCHgAEJgECAgJhAgQCBQIGAgcCCAIJAhwCCwIMAg0CCAIIAggCCAIIAggCCAIIAggCCAIIAggCCAIIAggCCAIIAhkCAwJiAh4ABCYBAgICXQIEAgUCBgIHAggCCQIcAgsCDAINAggCCAIIAggCCAIIAggCCAIIAggCCAIIAggCCAIIAggCCAIZAgMCMAIeAAQmAQICAkcCBAIFAgYCBwIIAgkCHwILAgwCDQIIAggCCAIIAggCCAIIAggCCAIIAggCCAIIAggCCAIIAggCGQIDAnECHgAEJgECAgKNAgQCBQIGAgcCCAIJAgoCCwIMAg0CCAIIAggCCAIIAggCCAIIAggCCAIIAggCCAIIAggCCAIIAhkCAwKgAh4ABCYBAgICMQIEAgUCBgIHAggCCQIcAgsCDAINAggCCAIIAggCCAIIAggCCAIIAggCCAIIAggCCAIIAggCCAIZAgMCkwIeAAQmAQICAicCBAIFAgYCBwIIAgkCCgILAgwCDQIIAggCCAIIAggCCAIIAggCCAIIAggCCAIIAggCCAIIAggCGQIDAigCHgAEJgECAgI9AgQCBQIGAgcCCAIJAhwCCwIMAg0CCAIIAggCCAIIAggCCAIIAggCCAIIAggCCAIIAggCCAIIAhkCAwI+Ah4ABCYBAgICHgIEAgUCBgIHAggCCQIKAgsCDAINAggCCAIIAggCCAIIAggCCAIIAggCCAIIAggCCAIIAggCCAIZAgMCcAIeAAQmAQICAkUCBAIFAgYCBwIIAgkCHwILAgwCDQIIAggCCAIIAggCCAIIAggCCAIIAggCCAIIAggCCAIIAggCGQIDAkYCHgAEJgECAgIzAgQCBQIGAgcCCAIJAhwCCwIMAg0CCAIIAggCCAIIAggCCAIIAggCCAIIAggCCAIIAggCCAIIAhkCAwKYAh4ABCYBAgICKwIEAgUCBgIHAggCCQIfAgsCDAINAggCCAIIAggCCAIIAggCCAIIAggCCAIIAggCCAIIAggCCAIZAgMCmgIeAAQmAQICAlMCBAIFAgYCBwIIAgkCCgILAgwCDQIIAggCCAIIAggCCAIIAggCCAIIAggCCAIIAggCCAIIAggCGQIDAlwCHgAEJgECAgKNAgQCBQIGAgcCCAIJAhwCCwIMAg0CCAIIAggCCAIIAggCCAIIAggCCAIIAggCCAIIAggCCAIIAhkCAwJ6AAAEAI4CHgAEJgECAgJfAgQCBQIGAgcCCAIJAhwCCwIMAg0CCAIIAggCCAIIAggCCAIIAggCCAIIAggCCAIIAggCCAIIAhkCAwJgAh4ABCYBAgICgQIEAgUCBgIHAggCCQIcAgsCDAINAggCCAIIAggCCAIIAggCCAIIAggCCAIIAggCCAIIAggCCAIZAgMCggIeAAQmAQICAlECBAIFAgYCBwIIAgkCHwILAgwCDQIIAggCCAIIAggCCAIIAggCCAIIAggCCAIIAggCCAIIAggCGQIDAoACHgAEJgECAgJhAgQCBQIGAgcCCAIJAgoCCwIMAg0CCAIIAggCCAIIAggCCAIIAggCCAIIAggCCAIIAggCCAIIAhkCAwKSAh4ABCYBAgICVQIEAgUCBgIHAggCCQIcAgsCDAINAggCCAIIAggCCAIIAggCCAIIAggCCAIIAggCCAIIAggCCAIZAgMCMAIeAAQmAQICAh4CBAIFAgYCBwIIAgkCHwILAgwCDQIIAggCCAIIAggCCAIIAggCCAIIAggCCAIIAggCCAIIAggCGQIDAiACHgAEJgECAgIbAgQCBQIGAgcCCAIJAgoCCwIMAg0CCAIIAggCCAIIAggCCAIIAggCCAIIAggCCAIIAggCCAIIAhkCAwI/Ah4ABCYBAgICVgIEAgUCBgIHAggCCQIfAgsCDAINAggCCAIIAggCCAIIAggCCAIIAggCCAIIAggCCAIIAggCCAIZAgMCVwIeAAQmAQICAiMCBAIFAgYCBwIIAgkCHAILAgwCDQIIAggCCAIIAggCCAIIAggCCAIIAggCCAIIAggCCAIIAggCGQIDAiQCHgAEJgECAgJZAgQCBQIGAgcCCAIJAgoCCwIMAg0CCAIIAggCCAIIAggCCAIIAggCCAIIAggCCAIIAggCCAIIAhkCAwJaAh4ABCYBAgICbgIEAgUCBgIHAggCCQIKAgsCDAINAggCCAIIAggCCAIIAggCCAIIAggCCAIIAggCCAIIAggCCAIZAgMCeQIeAAQmAQICAiECBAIFAgYCBwIIAgkCHwILAgwCDQIIAggCCAIIAggCCAIIAggCCAIIAggCCAIIAggCCAIIAggCGQIDAiICHgAEJgECAgInAgQCBQIGAgcCCAIJAh8CCwIMAg0CCAIIAggCCAIIAggCCAIIAggCCAIIAggCCAIIAggCCAIIAhkCAwIoAh4ABCYBAgICSQIEAgUCBgIHAggCCQIfAgsCDAINAggCCAIIAggCCAIIAggCCAIIAggCCAIIAggCCAIIAggCCAIZAgMCSgIeAAQmAQICAl0CBAIFAgYCBwIIAgkCCgILAgwCDQIIAggCCAIIAggCCAJ6AAAEAAgCCAIIAggCCAIIAggCCAIIAggCCAIZAgMCXgIeAAQnAQAJMjkzODUxMDI0AgICLQIEAgUCBgIHAggCCQIKAgsCsQINAggCCAIIAggCCAIIAggCCAIIAggCCAIIAggCCAIIAggCCAACAwLLAh4ABCcBAgICXwIEAgUCBgIHAggCCQKzAgsCsQINAggCCAIIAggCCAIIAggCCAIIAggCCAIIAggCCAIIAggCCAACAwLSAh4ABCcBAgICRQIEAgUCBgIHAggCCQIcAgsCsQINAggCCAIIAggCCAIIAggCCAIIAggCCAIIAggCCAIIAggCCAACAwQYAQIeAAQnAQICAlUCBAIFAgYCBwIIAgkCHAILArECDQIIAggCCAIIAggCCAIIAggCCAIIAggCCAIIAggCCAIIAggAAgMCyQIeAAQnAQICAikCBAIFAgYCBwIIAgkCCgILArECDQIIAggCCAIIAggCCAIIAggCCAIIAggCCAIIAggCCAIIAggAAgMCxwIeAAQnAQICAicCBAIFAgYCBwIIAgkCCgILArECDQIIAggCCAIIAggCCAIIAggCCAIIAggCCAIIAggCCAIIAggAAgMCKAIeAAQnAQICAlUCBAIFAgYCBwIIAgkCCgILArECDQIIAggCCAIIAggCCAIIAggCCAIIAggCCAIIAggCCAIIAggAAgMC7gIeAAQnAQICAisCBAIFAgYCBwIIAgkCHAILArECDQIIAggCCAIIAggCCAIIAggCCAIIAggCCAIIAggCCAIIAggAAgMEEQECHgAEJwECAgIhAgQCBQIGAgcCCAIJAgoCCwKxAg0CCAIIAggCCAIIAggCCAIIAggCCAIIAggCCAIIAggCCAIIAAIDBBwBAh4ABCcBAgICiAIEAgUCBgIHAggCCQKzAgsCsQINAggCCAIIAggCCAIIAggCCAIIAggCCAIIAggCCAIIAggCCAACAwQaAQIeAAQnAQICAjECBAIFAgYCBwIIAgkCCgILArECDQIIAggCCAIIAggCCAIIAggCCAIIAggCCAIIAggCCAIIAggAAgMC6wIeAAQnAQICAkcCBAIFAgYCBwIIAgkCHAILArECDQIIAggCCAIIAggCCAIIAggCCAIIAggCCAIIAggCCAIIAggAAgMC0QIeAAQnAQICAjcCBAIFAgYCBwIIAgkCCgILArECDQIIAggCCAIIAggCCAIIAggCCAIIAggCCAIIAggCCAIIAggAAgMC0AIeAAQnAQICAjMCBAIFAgYCBwIIAgkCCgILArECDQIIAggCCAIIAggCCAIIAggCCAIIAggCCAIIAggCCAIIAggAAgMC6gIeAAQnAQICAkkCBAIFAgZ6AAAEAAIHAggCCQKzAgsCsQINAggCCAIIAggCCAIIAggCCAIIAggCCAIIAggCCAIIAggCCAACAwLZAh4ABCcBAgICjQIEAgUCBgIHAggCCQIKAgsCsQINAggCCAIIAggCCAIIAggCCAIIAggCCAIIAggCCAIIAggCCAACAwK4Ah4ABCcBAgICUQIEAgUCBgIHAggCCQKzAgsCsQINAggCCAIIAggCCAIIAggCCAIIAggCCAIIAggCCAIIAggCCAACAwLFAh4ABCcBAgICLwIEAgUCBgIHAggCCQIcAgsCsQINAggCCAIIAggCCAIIAggCCAIIAggCCAIIAggCCAIIAggCCAACAwLJAh4ABCcBAgICJwIEAgUCBgIHAggCCQIcAgsCsQINAggCCAIIAggCCAIIAggCCAIIAggCCAIIAggCCAIIAggCCAACAwIoAh4ABCcBAgICHgIEAgUCBgIHAggCCQIcAgsCsQINAggCCAIIAggCCAIIAggCCAIIAggCCAIIAggCCAIIAggCCAACAwQjAQIeAAQnAQICAjECBAIFAgYCBwIIAgkCHAILArECDQIIAggCCAIIAggCCAIIAggCCAIIAggCCAIIAggCCAIIAggAAgMCxgIeAAQnAQICAlYCBAIFAgYCBwIIAgkCswILArECDQIIAggCCAIIAggCCAIIAggCCAIIAggCCAIIAggCCAIIAggAAgMC7AIeAAQnAQICAj0CBAIFAgYCBwIIAgkCswILArECDQIIAggCCAIIAggCCAIIAggCCAIIAggCCAIIAggCCAIIAggAAgMCuwIeAAQnAQICAjMCBAIFAgYCBwIIAgkCHAILArECDQIIAggCCAIIAggCCAIIAggCCAIIAggCCAIIAggCCAIIAggAAgMCwgIeAAQnAQICAoECBAIFAgYCBwIIAgkCCgILArECDQIIAggCCAIIAggCCAIIAggCCAIIAggCCAIIAggCCAIIAggAAgMCwQIeAAQnAQICAiUCBAIFAgYCBwIIAgkCHAILArECDQIIAggCCAIIAggCCAIIAggCCAIIAggCCAIIAggCCAIIAggAAgMC2gIeAAQnAQICAgMCBAIFAgYCBwIIAgkCCgILArECDQIIAggCCAIIAggCCAIIAggCCAIIAggCCAIIAggCCAIIAggAAgMEGwECHgAEJwECAgIhAgQCBQIGAgcCCAIJAhwCCwKxAg0CCAIIAggCCAIIAggCCAIIAggCCAIIAggCCAIIAggCCAIIAAIDArICHgAEJwECAgJHAgQCBQIGAgcCCAIJAgoCCwKxAg0CCAIIAggCCAIIAggCCAIIAggCCAIIAggCCAIIAggCCAIIAAIDBBABAh56AAAEAAAEJwECAgJPAgQCBQIGAgcCCAIJAhwCCwKxAg0CCAIIAggCCAIIAggCCAIIAggCCAIIAggCCAIIAggCCAIIAAIDAt8CHgAEJwECAgJAAgQCBQIGAgcCCAIJAhwCCwKxAg0CCAIIAggCCAIIAggCCAIIAggCCAIIAggCCAIIAggCCAIIAAIDAuMCHgAEJwECAgKNAgQCBQIGAgcCCAIJArMCCwKxAg0CCAIIAggCCAIIAggCCAIIAggCCAIIAggCCAIIAggCCAIIAAIDBAIBAh4ABCcBAgICgQIEAgUCBgIHAggCCQKzAgsCsQINAggCCAIIAggCCAIIAggCCAIIAggCCAIIAggCCAIIAggCCAACAwQLAQIeAAQnAQICAiUCBAIFAgYCBwIIAgkCCgILArECDQIIAggCCAIIAggCCAIIAggCCAIIAggCCAIIAggCCAIIAggAAgMC4gIeAAQnAQICAjsCBAIFAgYCBwIIAgkCHAILArECDQIIAggCCAIIAggCCAIIAggCCAIIAggCCAIIAggCCAIIAggAAgMC3gIeAAQnAQICAk0CBAIFAgYCBwIIAgkCHAILArECDQIIAggCCAIIAggCCAIIAggCCAIIAggCCAIIAggCCAIIAggAAgMC+QIeAAQnAQICAh4CBAIFAgYCBwIIAgkCswILArECDQIIAggCCAIIAggCCAIIAggCCAIIAggCCAIIAggCCAIIAggAAgMC6AIeAAQnAQICAiMCBAIFAgYCBwIIAgkCCgILArECDQIIAggCCAIIAggCCAIIAggCCAIIAggCCAIIAggCCAIIAggAAgMC5wIeAAQnAQICAjkCBAIFAgYCBwIIAgkCHAILArECDQIIAggCCAIIAggCCAIIAggCCAIIAggCCAIIAggCCAIIAggAAgMECgECHgAEJwECAgIvAgQCBQIGAgcCCAIJAgoCCwKxAg0CCAIIAggCCAIIAggCCAIIAggCCAIIAggCCAIIAggCCAIIAAIDAu4CHgAEJwECAgQVAQIEAgUCBgIHAggCCQIcAgsCsQINAggCCAIIAggCCAIIAggCCAIIAggCCAIIAggCCAIIAggCCAACAwQWAQIeAAQnAQICApACBAIFAgYCBwIIAgkCHAILArECDQIIAggCCAIIAggCCAIIAggCCAIIAggCCAIIAggCCAIIAggAAgMC7QIeAAQnAQICAlMCBAIFAgYCBwIIAgkCswILArECDQIIAggCCAIIAggCCAIIAggCCAIIAggCCAIIAggCCAIIAggAAgMC6QIeAAQnAQICAjsCBAIFAgYCBwIIAgkCCgILArECDQIIAggCCAIIAggCCAIIAggCCAIIAggCCAJ6AAAEAAgCCAIIAggCCAACAwLVAh4ABCcBAgICQgIEAgUCBgIHAggCCQIcAgsCsQINAggCCAIIAggCCAIIAggCCAIIAggCCAIIAggCCAIIAggCCAACAwQDAQIeAAQnAQICAmUCBAIFAgYCBwIIAgkCCgILArECDQIIAggCCAIIAggCCAIIAggCCAIIAggCCAIIAggCCAIIAggAAgMCvAIeAAQnAQICAl0CBAIFAgYCBwIIAgkCswILArECDQIIAggCCAIIAggCCAIIAggCCAIIAggCCAIIAggCCAIIAggAAgMCuQIeAAQnAQICAgMCBAIFAgYCBwIIAgkCHAILArECDQIIAggCCAIIAggCCAIIAggCCAIIAggCCAIIAggCCAIIAggAAgMEDAECHgAEJwECAgIpAgQCBQIGAgcCCAIJAhwCCwKxAg0CCAIIAggCCAIIAggCCAIIAggCCAIIAggCCAIIAggCCAIIAAIDAr0CHgAEJwECAgJhAgQCBQIGAgcCCAIJArMCCwKxAg0CCAIIAggCCAIIAggCCAIIAggCCAIIAggCCAIIAggCCAIIAAIDArQCHgAEJwECAgItAgQCBQIGAgcCCAIJAhwCCwKxAg0CCAIIAggCCAIIAggCCAIIAggCCAIIAggCCAIIAggCCAIIAAIDAr4CHgAEJwECAgJ1AgQCBQIGAgcCCAIJArMCCwKxAg0CCAIIAggCCAIIAggCCAIIAggCCAIIAggCCAIIAggCCAIIAAIDAtMCHgAEJwECAgKIAgQCBQIGAgcCCAIJAgoCCwKxAg0CCAIIAggCCAIIAggCCAIIAggCCAIIAggCCAIIAggCCAIIAAIDBAkBAh4ABCcBAgICGwIEAgUCBgIHAggCCQKzAgsCsQINAggCCAIIAggCCAIIAggCCAIIAggCCAIIAggCCAIIAggCCAACAwLdAh4ABCcBAgICkAIEAgUCBgIHAggCCQIKAgsCsQINAggCCAIIAggCCAIIAggCCAIIAggCCAIIAggCCAIIAggCCAACAwL4Ah4ABCcBAgICNwIEAgUCBgIHAggCCQIcAgsCsQINAggCCAIIAggCCAIIAggCCAIIAggCCAIIAggCCAIIAggCCAACAwLEAh4ABCcBAgIC1wIEAgUCBgIHAggCCQIKAgsCsQINAggCCAIIAggCCAIIAggCCAIIAggCCAIIAggCCAIIAggCCAACAwLYAh4ABCcBAgICZQIEAgUCBgIHAggCCQIcAgsCsQINAggCCAIIAggCCAIIAggCCAIIAggCCAIIAggCCAIIAggCCAACAwLMAh4ABCcBAgICQAIEAgUCBgIHAggCCQIKAgsCsQINAggCCAIIAggCCAJ6AAAEAAgCCAIIAggCCAIIAggCCAIIAggCCAIIAAIDArYCHgAEJwECAgJPAgQCBQIGAgcCCAIJAgoCCwKxAg0CCAIIAggCCAIIAggCCAIIAggCCAIIAggCCAIIAggCCAIIAAIDArcCHgAEJwECAgJZAgQCBQIGAgcCCAIJArMCCwKxAg0CCAIIAggCCAIIAggCCAIIAggCCAIIAggCCAIIAggCCAIIAAIDArUCHgAEJwECAgLXAgQCBQIGAgcCCAIJAhwCCwKxAg0CCAIIAggCCAIIAggCCAIIAggCCAIIAggCCAIIAggCCAIIAAIDAuYCHgAEJwECAgKIAgQCBQIGAgcCCAIJAhwCCwKxAg0CCAIIAggCCAIIAggCCAIIAggCCAIIAggCCAIIAggCCAIIAAIDAuACHgAEJwECAgJHAgQCBQIGAgcCCAIJArMCCwKxAg0CCAIIAggCCAIIAggCCAIIAggCCAIIAggCCAIIAggCCAIIAAIDBAcBAh4ABCcBAgICWQIEAgUCBgIHAggCCQIKAgsCsQINAggCCAIIAggCCAIIAggCCAIIAggCCAIIAggCCAIIAggCCAACAwL/Ah4ABCcBAgICYQIEAgUCBgIHAggCCQIKAgsCsQINAggCCAIIAggCCAIIAggCCAIIAggCCAIIAggCCAIIAggCCAACAwL+Ah4ABCcBAgICPQIEAgUCBgIHAggCCQIKAgsCsQINAggCCAIIAggCCAIIAggCCAIIAggCCAIIAggCCAIIAggCCAACAwLhAh4ABCcBAgICXwIEAgUCBgIHAggCCQIcAgsCsQINAggCCAIIAggCCAIIAggCCAIIAggCCAIIAggCCAIIAggCCAACAwQEAQIeAAQnAQICAgMCBAIFAgYCBwIIAgkCswILArECDQIIAggCCAIIAggCCAIIAggCCAIIAggCCAIIAggCCAIIAggAAgMECAECHgAEJwECAgJVAgQCBQIGAgcCCAIJArMCCwKxAg0CCAIIAggCCAIIAggCCAIIAggCCAIIAggCCAIIAggCCAIIAAIDArkCHgAEJwECAgJFAgQCBQIGAgcCCAIJArMCCwKxAg0CCAIIAggCCAIIAggCCAIIAggCCAIIAggCCAIIAggCCAIIAAIDAuUCHgAEJwECAgJRAgQCBQIGAgcCCAIJAgoCCwKxAg0CCAIIAggCCAIIAggCCAIIAggCCAIIAggCCAIIAggCCAIIAAIDBCEBAh4ABCcBAgICKwIEAgUCBgIHAggCCQKzAgsCsQINAggCCAIIAggCCAIIAggCCAIIAggCCAIIAggCCAIIAggCCAACAwLkAh4ABCcBAgICXQIEAgUCBgIHAggCCQIKAgt6AAAEAAKxAg0CCAIIAggCCAIIAggCCAIIAggCCAIIAggCCAIIAggCCAIIAAIDAu4CHgAEJwECAgIvAgQCBQIGAgcCCAIJArMCCwKxAg0CCAIIAggCCAIIAggCCAIIAggCCAIIAggCCAIIAggCCAIIAAIDArkCHgAEJwECAgI9AgQCBQIGAgcCCAIJAhwCCwKxAg0CCAIIAggCCAIIAggCCAIIAggCCAIIAggCCAIIAggCCAIIAAIDAu8CHgAEJwECAgI5AgQCBQIGAgcCCAIJAgoCCwKxAg0CCAIIAggCCAIIAggCCAIIAggCCAIIAggCCAIIAggCCAIIAAIDAvoCHgAEJwECAgJCAgQCBQIGAgcCCAIJAgoCCwKxAg0CCAIIAggCCAIIAggCCAIIAggCCAIIAggCCAIIAggCCAIIAAIDAvMCHgAEJwECAgIxAgQCBQIGAgcCCAIJArMCCwKxAg0CCAIIAggCCAIIAggCCAIIAggCCAIIAggCCAIIAggCCAIIAAIDAvwCHgAEJwECAgJWAgQCBQIGAgcCCAIJAhwCCwKxAg0CCAIIAggCCAIIAggCCAIIAggCCAIIAggCCAIIAggCCAIIAAIDBA4BAh4ABCcBAgICTQIEAgUCBgIHAggCCQIKAgsCsQINAggCCAIIAggCCAIIAggCCAIIAggCCAIIAggCCAIIAggCCAACAwQiAQIeAAQnAQICAlECBAIFAgYCBwIIAgkCHAILArECDQIIAggCCAIIAggCCAIIAggCCAIIAggCCAIIAggCCAIIAggAAgMC+wIeAAQnAQICAkkCBAIFAgYCBwIIAgkCHAILArECDQIIAggCCAIIAggCCAIIAggCCAIIAggCCAIIAggCCAIIAggAAgMEIAECHgAEJwECAgInAgQCBQIGAgcCCAIJArMCCwKxAg0CCAIIAggCCAIIAggCCAIIAggCCAIIAggCCAIIAggCCAIIAAIDAigCHgAEJwECAgJ1AgQCBQIGAgcCCAIJAgoCCwKxAg0CCAIIAggCCAIIAggCCAIIAggCCAIIAggCCAIIAggCCAIIAAIDAtwCHgAEJwECAgIzAgQCBQIGAgcCCAIJArMCCwKxAg0CCAIIAggCCAIIAggCCAIIAggCCAIIAggCCAIIAggCCAIIAAIDAvcCHgAEJwECAgJfAgQCBQIGAgcCCAIJAgoCCwKxAg0CCAIIAggCCAIIAggCCAIIAggCCAIIAggCCAIIAggCCAIIAAIDAtsCHgAEJwECAgIlAgQCBQIGAgcCCAIJArMCCwKxAg0CCAIIAggCCAIIAggCCAIIAggCCAIIAggCCAIIAggCCAIIAAIDBA8BAh4ABCcBAgICIQJ6AAAEAAQCBQIGAgcCCAIJArMCCwKxAg0CCAIIAggCCAIIAggCCAIIAggCCAIIAggCCAIIAggCCAIIAAIDAvICHgAEJwECAgL0AgQCBQIGAgcCCAIJAhwCCwKxAg0CCAIIAggCCAIIAggCCAIIAggCCAIIAggCCAIIAggCCAIIAAIDBBkBAh4ABCcBAgICSQIEAgUCBgIHAggCCQIKAgsCsQINAggCCAIIAggCCAIIAggCCAIIAggCCAIIAggCCAIIAggCCAACAwLDAh4ABCcBAgICTQIEAgUCBgIHAggCCQKzAgsCsQINAggCCAIIAggCCAIIAggCCAIIAggCCAIIAggCCAIIAggCCAACAwLKAh4ABCcBAgICjQIEAgUCBgIHAggCCQIcAgsCsQINAggCCAIIAggCCAIIAggCCAIIAggCCAIIAggCCAIIAggCCAACAwLNAh4ABCcBAgICGwIEAgUCBgIHAggCCQIcAgsCsQINAggCCAIIAggCCAIIAggCCAIIAggCCAIIAggCCAIIAggCCAACAwQAAQIeAAQnAQICBBUBAgQCBQIGAgcCCAIJAgoCCwKxAg0CCAIIAggCCAIIAggCCAIIAggCCAIIAggCCAIIAggCCAIIAAIDBB4BAh4ABCcBAgICOQIEAgUCBgIHAggCCQKzAgsCsQINAggCCAIIAggCCAIIAggCCAIIAggCCAIIAggCCAIIAggCCAACAwLUAh4ABCcBAgICVgIEAgUCBgIHAggCCQIKAgsCsQINAggCCAIIAggCCAIIAggCCAIIAggCCAIIAggCCAIIAggCCAACAwQTAQIeAAQnAQICAhsCBAIFAgYCBwIIAgkCCgILArECDQIIAggCCAIIAggCCAIIAggCCAIIAggCCAIIAggCCAIIAggAAgMEBgECHgAEJwECAgJTAgQCBQIGAgcCCAIJAhwCCwKxAg0CCAIIAggCCAIIAggCCAIIAggCCAIIAggCCAIIAggCCAIIAAIDAroCHgAEJwECAgKQAgQCBQIGAgcCCAIJArMCCwKxAg0CCAIIAggCCAIIAggCCAIIAggCCAIIAggCCAIIAggCCAIIAAIDBB8BAh4ABCcBAgICgQIEAgUCBgIHAggCCQIcAgsCsQINAggCCAIIAggCCAIIAggCCAIIAggCCAIIAggCCAIIAggCCAACAwLPAh4ABCcBAgICIwIEAgUCBgIHAggCCQIcAgsCsQINAggCCAIIAggCCAIIAggCCAIIAggCCAIIAggCCAIIAggCCAACAwQBAQIeAAQnAQICAm4CBAIFAgYCBwIIAgkCCgILArECDQIIAggCCAIIAggCCAIIAggCCAIIAggCCAIIAggCCAJ6AAAEAAgCCAACAwLIAh4ABCcBAgICQgIEAgUCBgIHAggCCQKzAgsCsQINAggCCAIIAggCCAIIAggCCAIIAggCCAIIAggCCAIIAggCCAACAwLOAh4ABCcBAgICQAIEAgUCBgIHAggCCQKzAgsCsQINAggCCAIIAggCCAIIAggCCAIIAggCCAIIAggCCAIIAggCCAACAwQdAQIeAAQnAQICAi0CBAIFAgYCBwIIAgkCswILArECDQIIAggCCAIIAggCCAIIAggCCAIIAggCCAIIAggCCAIIAggAAgMC/QIeAAQnAQICAlkCBAIFAgYCBwIIAgkCHAILArECDQIIAggCCAIIAggCCAIIAggCCAIIAggCCAIIAggCCAIIAggAAgMC9gIeAAQnAQICAmECBAIFAgYCBwIIAgkCHAILArECDQIIAggCCAIIAggCCAIIAggCCAIIAggCCAIIAggCCAIIAggAAgMC8QIeAAQnAQICAm4CBAIFAgYCBwIIAgkCHAILArECDQIIAggCCAIIAggCCAIIAggCCAIIAggCCAIIAggCCAIIAggAAgMEFAECHgAEJwECAgJFAgQCBQIGAgcCCAIJAgoCCwKxAg0CCAIIAggCCAIIAggCCAIIAggCCAIIAggCCAIIAggCCAIIAAIDBA0BAh4ABCcBAgICdQIEAgUCBgIHAggCCQIcAgsCsQINAggCCAIIAggCCAIIAggCCAIIAggCCAIIAggCCAIIAggCCAACAwLWAh4ABCcBAgICOwIEAgUCBgIHAggCCQKzAgsCsQINAggCCAIIAggCCAIIAggCCAIIAggCCAIIAggCCAIIAggCCAACAwQXAQIeAAQnAQICAmUCBAIFAgYCBwIIAgkCswILArECDQIIAggCCAIIAggCCAIIAggCCAIIAggCCAIIAggCCAIIAggAAgMEEgECHgAEJwECAgIeAgQCBQIGAgcCCAIJAgoCCwKxAg0CCAIIAggCCAIIAggCCAIIAggCCAIIAggCCAIIAggCCAIIAAIDAsACHgAEJwECAgIrAgQCBQIGAgcCCAIJAgoCCwKxAg0CCAIIAggCCAIIAggCCAIIAggCCAIIAggCCAIIAggCCAIIAAIDBAUBAh4ABCcBAgICXQIEAgUCBgIHAggCCQIcAgsCsQINAggCCAIIAggCCAIIAggCCAIIAggCCAIIAggCCAIIAggCCAACAwLJAh4ABCcBAgIC9AIEAgUCBgIHAggCCQIKAgsCsQINAggCCAIIAggCCAIIAggCCAIIAggCCAIIAggCCAIIAggCCAACAwL1Ah4ABCcBAgICKQIEAgUCBgIHAggCCQKzAgsCsQINAggCCAIIAggCCAIIAgh6AAAEAAIIAggCCAIIAggCCAIIAggCCAIIAAIDAvACHgAEJwECAgJTAgQCBQIGAgcCCAIJAgoCCwKxAg0CCAIIAggCCAIIAggCCAIIAggCCAIIAggCCAIIAggCCAIIAAIDAr8CHgAEKAEACTU2NjM5OTAwOAICAm4CBAIFAgYCBwIIAgkCHAILAgwCDQIIAggCCAIIAggCCAIIAggCCAIIAggCCAIIAggCCAIIAggCEwIDAm8CHgAEKAECAgJNAgQCBQIGAgcCCAIJAh8CCwIMAg0CCAIIAggCCAIIAggCCAIIAggCCAIIAggCCAIIAggCCAIIAhMCAwJ9Ah4ABCgBAgICXwIEAgUCBgIHAggCCQIKAgsCDAINAggCCAIIAggCCAIIAggCCAIIAggCCAIIAggCCAIIAggCCAITAgMCjwIeAAQoAQICAkICBAIFAgYCBwIIAgkCHwILAgwCDQIIAggCCAIIAggCCAIIAggCCAIIAggCCAIIAggCCAIIAggCEwIDAmsCHgAEKAECAgI5AgQCBQIGAgcCCAIJAh8CCwIMAg0CCAIIAggCCAIIAggCCAIIAggCCAIIAggCCAIIAggCCAIIAhMCAwJsAh4ABCgBAgICSQIEAgUCBgIHAggCCQIcAgsCDAINAggCCAIIAggCCAIIAggCCAIIAggCCAIIAggCCAIIAggCCAITAgMCfgIeAAQoAQICAlYCBAIFAgYCBwIIAgkCHAILAgwCDQIIAggCCAIIAggCCAIIAggCCAIIAggCCAIIAggCCAIIAggCEwIDAocCHgAEKAECAgJ1AgQCBQIGAgcCCAIJAgoCCwIMAg0CCAIIAggCCAIIAggCCAIIAggCCAIIAggCCAIIAggCCAIIAhMCAwJ2Ah4ABCgBAgICVgIEAgUCBgIHAggCCQIKAgsCDAINAggCCAIIAggCCAIIAggCCAIIAggCCAIIAggCCAIIAggCCAITAgMCcgIeAAQoAQICAiMCBAIFAgYCBwIIAgkCHwILAgwCDQIIAggCCAIIAggCCAIIAggCCAIIAggCCAIIAggCCAIIAggCEwIDAqgCHgAEKAECAgI7AgQCBQIGAgcCCAIJAhwCCwIMAg0CCAIIAggCCAIIAggCCAIIAggCCAIIAggCCAIIAggCCAIIAhMCAwKuAh4ABCgBAgICkAIEAgUCBgIHAggCCQIfAgsCDAINAggCCAIIAggCCAIIAggCCAIIAggCCAIIAggCCAIIAggCCAITAgMCkQIeAAQoAQICAmUCBAIFAgYCBwIIAgkCHAILAgwCDQIIAggCCAIIAggCCAIIAggCCAIIAggCCAIIAggCCAIIAggCEwIDAnQCHgAEKAECAgJ6AAAEAEkCBAIFAgYCBwIIAgkCCgILAgwCDQIIAggCCAIIAggCCAIIAggCCAIIAggCCAIIAggCCAIIAggCEwIDAm0CHgAEKAECAgJhAgQCBQIGAgcCCAIJAh8CCwIMAg0CCAIIAggCCAIIAggCCAIIAggCCAIIAggCCAIIAggCCAIIAhMCAwJ4Ah4ABCgBAgICXQIEAgUCBgIHAggCCQIfAgsCDAINAggCCAIIAggCCAIIAggCCAIIAggCCAIIAggCCAIIAggCCAITAgMCfAIeAAQoAQICAkACBAIFAgYCBwIIAgkCHAILAgwCDQIIAggCCAIIAggCCAIIAggCCAIIAggCCAIIAggCCAIIAggCEwIDAnsCHgAEKAECAgKIAgQCBQIGAgcCCAIJAhwCCwIMAg0CCAIIAggCCAIIAggCCAIIAggCCAIIAggCCAIIAggCCAIIAhMCAwKrAh4ABCgBAgICHgIEAgUCBgIHAggCCQIcAgsCDAINAggCCAIIAggCCAIIAggCCAIIAggCCAIIAggCCAIIAggCCAITAgMCgwIeAAQoAQICAlMCBAIFAgYCBwIIAgkCHAILAgwCDQIIAggCCAIIAggCCAIIAggCCAIIAggCCAIIAggCCAIIAggCEwIDAmgCHgAEKAECAgIbAgQCBQIGAgcCCAIJAh8CCwIMAg0CCAIIAggCCAIIAggCCAIIAggCCAIIAggCCAIIAggCCAIIAhMCAwKFAh4ABCgBAgICUQIEAgUCBgIHAggCCQIKAgsCDAINAggCCAIIAggCCAIIAggCCAIIAggCCAIIAggCCAIIAggCCAITAgMCYwIeAAQoAQICAlkCBAIFAgYCBwIIAgkCHwILAgwCDQIIAggCCAIIAggCCAIIAggCCAIIAggCCAIIAggCCAIIAggCEwIDAncCHgAEKAECAgJPAgQCBQIGAgcCCAIJAhwCCwIMAg0CCAIIAggCCAIIAggCCAIIAggCCAIIAggCCAIIAggCCAIIAhMCAwJ/Ah4ABCgBAgICWQIEAgUCBgIHAggCCQIcAgsCDAINAggCCAIIAggCCAIIAggCCAIIAggCCAIIAggCCAIIAggCCAITAgMCagIeAAQoAQICAj0CBAIFAgYCBwIIAgkCHAILAgwCDQIIAggCCAIIAggCCAIIAggCCAIIAggCCAIIAggCCAIIAggCEwIDAj4CHgAEKAECAgKNAgQCBQIGAgcCCAIJAgoCCwIMAg0CCAIIAggCCAIIAggCCAIIAggCCAIIAggCCAIIAggCCAIIAhMCAwKgAh4ABCgBAgICYQIEAgUCBgIHAggCCQIcAgsCDAINAggCCAIIAggCCAIIAggCCAIIAggCCAJ6AAAEAAgCCAIIAggCCAIIAhMCAwJiAh4ABCgBAgICJwIEAgUCBgIHAggCCQIKAgsCDAINAggCCAIIAggCCAIIAggCCAIIAggCCAIIAggCCAIIAggCCAITAgMCKAIeAAQoAQICAjECBAIFAgYCBwIIAgkCHAILAgwCDQIIAggCCAIIAggCCAIIAggCCAIIAggCCAIIAggCCAIIAggCEwIDApMCHgAEKAECAgIDAgQCBQIGAgcCCAIJAh8CCwIMAg0CCAIIAggCCAIIAggCCAIIAggCCAIIAggCCAIIAggCCAIIAhMCAwJzAh4ABCgBAgICRQIEAgUCBgIHAggCCQIfAgsCDAINAggCCAIIAggCCAIIAggCCAIIAggCCAIIAggCCAIIAggCCAITAgMCRgIeAAQoAQICAlMCBAIFAgYCBwIIAgkCCgILAgwCDQIIAggCCAIIAggCCAIIAggCCAIIAggCCAIIAggCCAIIAggCEwIDAlwCHgAEKAECAgIeAgQCBQIGAgcCCAIJAgoCCwIMAg0CCAIIAggCCAIIAggCCAIIAggCCAIIAggCCAIIAggCCAIIAhMCAwJwAh4ABCgBAgICKwIEAgUCBgIHAggCCQIfAgsCDAINAggCCAIIAggCCAIIAggCCAIIAggCCAIIAggCCAIIAggCCAITAgMCmgIeAAQoAQICAkcCBAIFAgYCBwIIAgkCHwILAgwCDQIIAggCCAIIAggCCAIIAggCCAIIAggCCAIIAggCCAIIAggCEwIDAnECHgAEKAECAgJdAgQCBQIGAgcCCAIJAhwCCwIMAg0CCAIIAggCCAIIAggCCAIIAggCCAIIAggCCAIIAggCCAIIAhMCAwIwAh4ABCgBAgICMwIEAgUCBgIHAggCCQIcAgsCDAINAggCCAIIAggCCAIIAggCCAIIAggCCAIIAggCCAIIAggCCAITAgMCmAIeAAQoAQICAoECBAIFAgYCBwIIAgkCCgILAgwCDQIIAggCCAIIAggCCAIIAggCCAIIAggCCAIIAggCCAIIAggCEwIDAowCHgAEKAECAgKNAgQCBQIGAgcCCAIJAhwCCwIMAg0CCAIIAggCCAIIAggCCAIIAggCCAIIAggCCAIIAggCCAIIAhMCAwKOAh4ABCgBAgICSQIEAgUCBgIHAggCCQIfAgsCDAINAggCCAIIAggCCAIIAggCCAIIAggCCAIIAggCCAIIAggCCAITAgMCSgIeAAQoAQICAl0CBAIFAgYCBwIIAgkCCgILAgwCDQIIAggCCAIIAggCCAIIAggCCAIIAggCCAIIAggCCAIIAggCEwIDAl4CHgAEKAECAgJZAgQCBQIGAgcCCAIJAgoCCwJ6AAAEAAwCDQIIAggCCAIIAggCCAIIAggCCAIIAggCCAIIAggCCAIIAggCEwIDAloCHgAEKAECAgJhAgQCBQIGAgcCCAIJAgoCCwIMAg0CCAIIAggCCAIIAggCCAIIAggCCAIIAggCCAIIAggCCAIIAhMCAwKSAh4ABCgBAgICVQIEAgUCBgIHAggCCQIcAgsCDAINAggCCAIIAggCCAIIAggCCAIIAggCCAIIAggCCAIIAggCCAITAgMCMAIeAAQoAQICAlYCBAIFAgYCBwIIAgkCHwILAgwCDQIIAggCCAIIAggCCAIIAggCCAIIAggCCAIIAggCCAIIAggCEwIDAlcCHgAEKAECAgInAgQCBQIGAgcCCAIJAh8CCwIMAg0CCAIIAggCCAIIAggCCAIIAggCCAIIAggCCAIIAggCCAIIAhMCAwIoAh4ABCgBAgICUQIEAgUCBgIHAggCCQIfAgsCDAINAggCCAIIAggCCAIIAggCCAIIAggCCAIIAggCCAIIAggCCAITAgMCgAIeAAQoAQICAl8CBAIFAgYCBwIIAgkCHAILAgwCDQIIAggCCAIIAggCCAIIAggCCAIIAggCCAIIAggCCAIIAggCEwIDAmACHgAEKAECAgJ1AgQCBQIGAgcCCAIJAhwCCwIMAg0CCAIIAggCCAIIAggCCAIIAggCCAIIAggCCAIIAggCCAIIAhMCAwKEAh4ABCgBAgICbgIEAgUCBgIHAggCCQIKAgsCDAINAggCCAIIAggCCAIIAggCCAIIAggCCAIIAggCCAIIAggCCAITAgMCeQIeAAQoAQICAoECBAIFAgYCBwIIAgkCHAILAgwCDQIIAggCCAIIAggCCAIIAggCCAIIAggCCAIIAggCCAIIAggCEwIDAoICHgAEKAECAgIbAgQCBQIGAgcCCAIJAgoCCwIMAg0CCAIIAggCCAIIAggCCAIIAggCCAIIAggCCAIIAggCCAIIAhMCAwI/Ah4ABCgBAgICIQIEAgUCBgIHAggCCQIfAgsCDAINAggCCAIIAggCCAIIAggCCAIIAggCCAIIAggCCAIIAggCCAITAgMCIgIeAAQoAQICAo0CBAIFAgYCBwIIAgkCHwILAgwCDQIIAggCCAIIAggCCAIIAggCCAIIAggCCAIIAggCCAIIAggCEwIDAqcCHgAEKAECAgJHAgQCBQIGAgcCCAIJAgoCCwIMAg0CCAIIAggCCAIIAggCCAIIAggCCAIIAggCCAIIAggCCAIIAhMCAwJIAh4ABCgBAgICJQIEAgUCBgIHAggCCQIcAgsCDAINAggCCAIIAggCCAIIAggCCAIIAggCCAIIAggCCAIIAggCCAITAgMCJgJ6AAAEAB4ABCgBAgICTwIEAgUCBgIHAggCCQIfAgsCDAINAggCCAIIAggCCAIIAggCCAIIAggCCAIIAggCCAIIAggCCAITAgMCUAIeAAQoAQICAoECBAIFAgYCBwIIAgkCHwILAgwCDQIIAggCCAIIAggCCAIIAggCCAIIAggCCAIIAggCCAIIAggCEwIDAq0CHgAEKAECAgIvAgQCBQIGAgcCCAIJAhwCCwIMAg0CCAIIAggCCAIIAggCCAIIAggCCAIIAggCCAIIAggCCAIIAhMCAwIwAh4ABCgBAgICKwIEAgUCBgIHAggCCQIKAgsCDAINAggCCAIIAggCCAIIAggCCAIIAggCCAIIAggCCAIIAggCCAITAgMCLAIeAAQoAQICAkUCBAIFAgYCBwIIAgkCCgILAgwCDQIIAggCCAIIAggCCAIIAggCCAIIAggCCAIIAggCCAIIAggCEwIDAmcCHgAEKAECAgI7AgQCBQIGAgcCCAIJAh8CCwIMAg0CCAIIAggCCAIIAggCCAIIAggCCAIIAggCCAIIAggCCAIIAhMCAwI8Ah4ABCgBAgICIwIEAgUCBgIHAggCCQIcAgsCDAINAggCCAIIAggCCAIIAggCCAIIAggCCAIIAggCCAIIAggCCAITAgMCJAIeAAQoAQICAgMCBAIFAgYCBwIIAgkCCgILAgwCDQIIAggCCAIIAggCCAIIAggCCAIIAggCCAIIAggCCAIIAggCEwIDAg4CHgAEKAECAgIeAgQCBQIGAgcCCAIJAh8CCwIMAg0CCAIIAggCCAIIAggCCAIIAggCCAIIAggCCAIIAggCCAIIAhMCAwIgAh4ABCgBAgICUwIEAgUCBgIHAggCCQIfAgsCDAINAggCCAIIAggCCAIIAggCCAIIAggCCAIIAggCCAIIAggCCAITAgMCVAIeAAQoAQICAkACBAIFAgYCBwIIAgkCHwILAgwCDQIIAggCCAIIAggCCAIIAggCCAIIAggCCAIIAggCCAIIAggCEwIDAkECHgAEKAECAgIbAgQCBQIGAgcCCAIJAhwCCwIMAg0CCAIIAggCCAIIAggCCAIIAggCCAIIAggCCAIIAggCCAIIAhMCAwIdAh4ABCgBAgICJQIEAgUCBgIHAggCCQIKAgsCDAINAggCCAIIAggCCAIIAggCCAIIAggCCAIIAggCCAIIAggCCAITAgMCqgIeAAQoAQICAi8CBAIFAgYCBwIIAgkCCgILAgwCDQIIAggCCAIIAggCCAIIAggCCAIIAggCCAIIAggCCAIIAggCEwIDAl4CHgAEKAECAgIpAgQCBQIGAgcCCAIJAh8CCwIMAg0CCAIIAggCCAIIAggCCAJ6AAAEAAgCCAIIAggCCAIIAggCCAIIAggCEwIDAioCHgAEKAECAgIzAgQCBQIGAgcCCAIJAgoCCwIMAg0CCAIIAggCCAIIAggCCAIIAggCCAIIAggCCAIIAggCCAIIAhMCAwKmAh4ABCgBAgICLQIEAgUCBgIHAggCCQIfAgsCDAINAggCCAIIAggCCAIIAggCCAIIAggCCAIIAggCCAIIAggCCAITAgMCLgIeAAQoAQICAm4CBAIFAgYCBwIIAgkCHwILAgwCDQIIAggCCAIIAggCCAIIAggCCAIIAggCCAIIAggCCAIIAggCEwIDAqECHgAEKAECAgJ1AgQCBQIGAgcCCAIJAh8CCwIMAg0CCAIIAggCCAIIAggCCAIIAggCCAIIAggCCAIIAggCCAIIAhMCAwKUAh4ABCgBAgICRQIEAgUCBgIHAggCCQIcAgsCDAINAggCCAIIAggCCAIIAggCCAIIAggCCAIIAggCCAIIAggCCAITAgMCWwIeAAQoAQICAiMCBAIFAgYCBwIIAgkCCgILAgwCDQIIAggCCAIIAggCCAIIAggCCAIIAggCCAIIAggCCAIIAggCEwIDAjYCHgAEKAECAgKQAgQCBQIGAgcCCAIJAhwCCwIMAg0CCAIIAggCCAIIAggCCAIIAggCCAIIAggCCAIIAggCCAIIAhMCAwKjAh4ABCgBAgICIQIEAgUCBgIHAggCCQIKAgsCDAINAggCCAIIAggCCAIIAggCCAIIAggCCAIIAggCCAIIAggCCAITAgMCWAIeAAQoAQICAmUCBAIFAgYCBwIIAgkCHwILAgwCDQIIAggCCAIIAggCCAIIAggCCAIIAggCCAIIAggCCAIIAggCEwIDAmYCHgAEKAECAgJVAgQCBQIGAgcCCAIJAgoCCwIMAg0CCAIIAggCCAIIAggCCAIIAggCCAIIAggCCAIIAggCCAIIAhMCAwJeAh4ABCgBAgICNwIEAgUCBgIHAggCCQIfAgsCDAINAggCCAIIAggCCAIIAggCCAIIAggCCAIIAggCCAIIAggCCAITAgMCOAIeAAQoAQICAisCBAIFAgYCBwIIAgkCHAILAgwCDQIIAggCCAIIAggCCAIIAggCCAIIAggCCAIIAggCCAIIAggCEwIDAmkCHgAEKAECAgIxAgQCBQIGAgcCCAIJAgoCCwIMAg0CCAIIAggCCAIIAggCCAIIAggCCAIIAggCCAIIAggCCAIIAhMCAwKdAh4ABCgBAgICOQIEAgUCBgIHAggCCQIKAgsCDAINAggCCAIIAggCCAIIAggCCAIIAggCCAIIAggCCAIIAggCCAITAgMCTAIeAAQoAQICAikCBAIFAgYCBwJ6AAAEAAgCCQIcAgsCDAINAggCCAIIAggCCAIIAggCCAIIAggCCAIIAggCCAIIAggCCAITAgMCnAIeAAQoAQICAk0CBAIFAgYCBwIIAgkCCgILAgwCDQIIAggCCAIIAggCCAIIAggCCAIIAggCCAIIAggCCAIIAggCEwIDAmQCHgAEKAECAgJfAgQCBQIGAgcCCAIJAh8CCwIMAg0CCAIIAggCCAIIAggCCAIIAggCCAIIAggCCAIIAggCCAIIAhMCAwKsAh4ABCgBAgICiAIEAgUCBgIHAggCCQIfAgsCDAINAggCCAIIAggCCAIIAggCCAIIAggCCAIIAggCCAIIAggCCAITAgMCiQIeAAQoAQICAkACBAIFAgYCBwIIAgkCCgILAgwCDQIIAggCCAIIAggCCAIIAggCCAIIAggCCAIIAggCCAIIAggCEwIDAqQCHgAEKAECAgJCAgQCBQIGAgcCCAIJAgoCCwIMAg0CCAIIAggCCAIIAggCCAIIAggCCAIIAggCCAIIAggCCAIIAhMCAwJDAh4ABCgBAgICJwIEAgUCBgIHAggCCQIcAgsCDAINAggCCAIIAggCCAIIAggCCAIIAggCCAIIAggCCAIIAggCCAITAgMCKAIeAAQoAQICAj0CBAIFAgYCBwIIAgkCCgILAgwCDQIIAggCCAIIAggCCAIIAggCCAIIAggCCAIIAggCCAIIAggCEwIDApYCHgAEKAECAgJVAgQCBQIGAgcCCAIJAh8CCwIMAg0CCAIIAggCCAIIAggCCAIIAggCCAIIAggCCAIIAggCCAIIAhMCAwJ8Ah4ABCgBAgICIQIEAgUCBgIHAggCCQIcAgsCDAINAggCCAIIAggCCAIIAggCCAIIAggCCAIIAggCCAIIAggCCAITAgMCiwIeAAQoAQICApACBAIFAgYCBwIIAgkCCgILAgwCDQIIAggCCAIIAggCCAIIAggCCAIIAggCCAIIAggCCAIIAggCEwIDApkCHgAEKAECAgJPAgQCBQIGAgcCCAIJAgoCCwIMAg0CCAIIAggCCAIIAggCCAIIAggCCAIIAggCCAIIAggCCAIIAhMCAwKlAh4ABCgBAgICUQIEAgUCBgIHAggCCQIcAgsCDAINAggCCAIIAggCCAIIAggCCAIIAggCCAIIAggCCAIIAggCCAITAgMCUgIeAAQoAQICAi0CBAIFAgYCBwIIAgkCHAILAgwCDQIIAggCCAIIAggCCAIIAggCCAIIAggCCAIIAggCCAIIAggCEwIDAqkCHgAEKAECAgI3AgQCBQIGAgcCCAIJAhwCCwIMAg0CCAIIAggCCAIIAggCCAIIAggCCAIIAggCCAIIAggCCAJ6AAAEAAgCEwIDApcCHgAEKAECAgJNAgQCBQIGAgcCCAIJAhwCCwIMAg0CCAIIAggCCAIIAggCCAIIAggCCAIIAggCCAIIAggCCAIIAhMCAwJOAh4ABCgBAgICLwIEAgUCBgIHAggCCQIfAgsCDAINAggCCAIIAggCCAIIAggCCAIIAggCCAIIAggCCAIIAggCCAITAgMCfAIeAAQoAQICAkICBAIFAgYCBwIIAgkCHAILAgwCDQIIAggCCAIIAggCCAIIAggCCAIIAggCCAIIAggCCAIIAggCEwIDAksCHgAEKAECAgIpAgQCBQIGAgcCCAIJAgoCCwIMAg0CCAIIAggCCAIIAggCCAIIAggCCAIIAggCCAIIAggCCAIIAhMCAwKVAh4ABCgBAgICMQIEAgUCBgIHAggCCQIfAgsCDAINAggCCAIIAggCCAIIAggCCAIIAggCCAIIAggCCAIIAggCCAITAgMCMgIeAAQoAQICAogCBAIFAgYCBwIIAgkCCgILAgwCDQIIAggCCAIIAggCCAIIAggCCAIIAggCCAIIAggCCAIIAggCEwIDAqICHgAEKAECAgJlAgQCBQIGAgcCCAIJAgoCCwIMAg0CCAIIAggCCAIIAggCCAIIAggCCAIIAggCCAIIAggCCAIIAhMCAwKKAh4ABCgBAgICPQIEAgUCBgIHAggCCQIfAgsCDAINAggCCAIIAggCCAIIAggCCAIIAggCCAIIAggCCAIIAggCCAITAgMCegIeAAQoAQICAjkCBAIFAgYCBwIIAgkCHAILAgwCDQIIAggCCAIIAggCCAIIAggCCAIIAggCCAIIAggCCAIIAggCEwIDAjoCHgAEKAECAgI3AgQCBQIGAgcCCAIJAgoCCwIMAg0CCAIIAggCCAIIAggCCAIIAggCCAIIAggCCAIIAggCCAIIAhMCAwJEAh4ABCgBAgICAwIEAgUCBgIHAggCCQIcAgsCDAINAggCCAIIAggCCAIIAggCCAIIAggCCAIIAggCCAIIAggCCAITAgMCNQIeAAQoAQICAkcCBAIFAgYCBwIIAgkCHAILAgwCDQIIAggCCAIIAggCCAIIAggCCAIIAggCCAIIAggCCAIIAggCEwIDAp4CHgAEKAECAgIzAgQCBQIGAgcCCAIJAh8CCwIMAg0CCAIIAggCCAIIAggCCAIIAggCCAIIAggCCAIIAggCCAIIAhMCAwI0Ah4ABCgBAgICJQIEAgUCBgIHAggCCQIfAgsCDAINAggCCAIIAggCCAIIAggCCAIIAggCCAIIAggCCAIIAggCCAITAgMCnwIeAAQoAQICAjsCBAIFAgYCBwIIAgkCCgILAgwCDQIIAggCCAJ6AAAEAAgCCAIIAggCCAIIAggCCAIIAggCCAIIAggCCAITAgMChgIeAAQoAQICAi0CBAIFAgYCBwIIAgkCCgILAgwCDQIIAggCCAIIAggCCAIIAggCCAIIAggCCAIIAggCCAIIAggCEwIDApsCHgAEKQEACTU2NjQwMDE2OAICApACBAIFAgYCBwIIAgkCswILArECDQIIAggCCAIIAggCCAIIAggCCAIIAggCCAIIAggCCAIIAggCFAIDBB8BAh4ABCkBAgIEFQECBAIFAgYCBwIIAgkCCgILArECDQIIAggCCAIIAggCCAIIAggCCAIIAggCCAIIAggCCAIIAggCFAIDBB4BAh4ABCkBAgICgQIEAgUCBgIHAggCCQIcAgsCsQINAggCCAIIAggCCAIIAggCCAIIAggCCAIIAggCCAIIAggCCAIUAgMCzwIeAAQpAQICAo0CBAIFAgYCBwIIAgkCHAILArECDQIIAggCCAIIAggCCAIIAggCCAIIAggCCAIIAggCCAIIAggCFAIDAs0CHgAEKQECAgI7AgQCBQIGAgcCCAIJAgoCCwKxAg0CCAIIAggCCAIIAggCCAIIAggCCAIIAggCCAIIAggCCAIIAhQCAwLVAh4ABCkBAgICSQIEAgUCBgIHAggCCQIKAgsCsQINAggCCAIIAggCCAIIAggCCAIIAggCCAIIAggCCAIIAggCCAIUAgMCwwIeAAQpAQICAh4CBAIFAgYCBwIIAgkCHAILArECDQIIAggCCAIIAggCCAIIAggCCAIIAggCCAIIAggCCAIIAggCFAIDBCMBAh4ABCkBAgICOQIEAgUCBgIHAggCCQKzAgsCsQINAggCCAIIAggCCAIIAggCCAIIAggCCAIIAggCCAIIAggCCAIUAgMC1AIeAAQpAQICAiECBAIFAgYCBwIIAgkCHAILArECDQIIAggCCAIIAggCCAIIAggCCAIIAggCCAIIAggCCAIIAggCFAIDArICHgAEKQECAgInAgQCBQIGAgcCCAIJAhwCCwKxAg0CCAIIAggCCAIIAggCCAIIAggCCAIIAggCCAIIAggCCAIIAhQCAwIoAh4ABCkBAgICjQIEAgUCBgIHAggCCQIKAgsCsQINAggCCAIIAggCCAIIAggCCAIIAggCCAIIAggCCAIIAggCCAIUAgMCuAIeAAQpAQICAmUCBAIFAgYCBwIIAgkCHAILArECDQIIAggCCAIIAggCCAIIAggCCAIIAggCCAIIAggCCAIIAggCFAIDAswCHgAEKQECAgJAAgQCBQIGAgcCCAIJAgoCCwKxAg0CCAIIAggCCAIIAggCCAIIAggCCAIIAggCCAIIAggCCAIIAhR6AAAEAAIDArYCHgAEKQECAgJhAgQCBQIGAgcCCAIJArMCCwKxAg0CCAIIAggCCAIIAggCCAIIAggCCAIIAggCCAIIAggCCAIIAhQCAwK0Ah4ABCkBAgICdQIEAgUCBgIHAggCCQIKAgsCsQINAggCCAIIAggCCAIIAggCCAIIAggCCAIIAggCCAIIAggCCAIUAgMC3AIeAAQpAQICAikCBAIFAgYCBwIIAgkCHAILArECDQIIAggCCAIIAggCCAIIAggCCAIIAggCCAIIAggCCAIIAggCFAIDAr0CHgAEKQECAgJdAgQCBQIGAgcCCAIJArMCCwKxAg0CCAIIAggCCAIIAggCCAIIAggCCAIIAggCCAIIAggCCAIIAhQCAwK5Ah4ABCkBAgICgQIEAgUCBgIHAggCCQIKAgsCsQINAggCCAIIAggCCAIIAggCCAIIAggCCAIIAggCCAIIAggCCAIUAgMCwQIeAAQpAQICAj0CBAIFAgYCBwIIAgkCswILArECDQIIAggCCAIIAggCCAIIAggCCAIIAggCCAIIAggCCAIIAggCFAIDArsCHgAEKQECAgJPAgQCBQIGAgcCCAIJAgoCCwKxAg0CCAIIAggCCAIIAggCCAIIAggCCAIIAggCCAIIAggCCAIIAhQCAwK3Ah4ABCkBAgICWQIEAgUCBgIHAggCCQKzAgsCsQINAggCCAIIAggCCAIIAggCCAIIAggCCAIIAggCCAIIAggCCAIUAgMCtQIeAAQpAQICAhsCBAIFAgYCBwIIAgkCswILArECDQIIAggCCAIIAggCCAIIAggCCAIIAggCCAIIAggCCAIIAggCFAIDAt0CHgAEKQECAgItAgQCBQIGAgcCCAIJAhwCCwKxAg0CCAIIAggCCAIIAggCCAIIAggCCAIIAggCCAIIAggCCAIIAhQCAwK+Ah4ABCkBAgICHgIEAgUCBgIHAggCCQIKAgsCsQINAggCCAIIAggCCAIIAggCCAIIAggCCAIIAggCCAIIAggCCAIUAgMCwAIeAAQpAQICAkkCBAIFAgYCBwIIAgkCHAILArECDQIIAggCCAIIAggCCAIIAggCCAIIAggCCAIIAggCCAIIAggCFAIDBCABAh4ABCkBAgICJwIEAgUCBgIHAggCCQIKAgsCsQINAggCCAIIAggCCAIIAggCCAIIAggCCAIIAggCCAIIAggCCAIUAgMCKAIeAAQpAQICAjsCBAIFAgYCBwIIAgkCHAILArECDQIIAggCCAIIAggCCAIIAggCCAIIAggCCAIIAggCCAIIAggCFAIDAt4CHgAEKQECAgJWAgQCBQIGAgcCCAIJAgoCCwKxAg0CCAIIAggCCAJ6AAAEAAgCCAIIAggCCAIIAggCCAIIAggCCAIIAggCFAIDBBMBAh4ABCkBAgICTwIEAgUCBgIHAggCCQIcAgsCsQINAggCCAIIAggCCAIIAggCCAIIAggCCAIIAggCCAIIAggCCAIUAgMC3wIeAAQpAQICAkUCBAIFAgYCBwIIAgkCHAILArECDQIIAggCCAIIAggCCAIIAggCCAIIAggCCAIIAggCCAIIAggCFAIDBBgBAh4ABCkBAgICiAIEAgUCBgIHAggCCQKzAgsCsQINAggCCAIIAggCCAIIAggCCAIIAggCCAIIAggCCAIIAggCCAIUAgMEGgECHgAEKQECAgJTAgQCBQIGAgcCCAIJAhwCCwKxAg0CCAIIAggCCAIIAggCCAIIAggCCAIIAggCCAIIAggCCAIIAhQCAwK6Ah4ABCkBAgICIQIEAgUCBgIHAggCCQIKAgsCsQINAggCCAIIAggCCAIIAggCCAIIAggCCAIIAggCCAIIAggCCAIUAgMEHAECHgAEKQECAgJAAgQCBQIGAgcCCAIJAhwCCwKxAg0CCAIIAggCCAIIAggCCAIIAggCCAIIAggCCAIIAggCCAIIAhQCAwLjAh4ABCkBAgICMwIEAgUCBgIHAggCCQIKAgsCsQINAggCCAIIAggCCAIIAggCCAIIAggCCAIIAggCCAIIAggCCAIUAgMC6gIeAAQpAQICAl8CBAIFAgYCBwIIAgkCHAILArECDQIIAggCCAIIAggCCAIIAggCCAIIAggCCAIIAggCCAIIAggCFAIDBAQBAh4ABCkBAgICVgIEAgUCBgIHAggCCQKzAgsCsQINAggCCAIIAggCCAIIAggCCAIIAggCCAIIAggCCAIIAggCCAIUAgMC7AIeAAQpAQICAjECBAIFAgYCBwIIAgkCCgILArECDQIIAggCCAIIAggCCAIIAggCCAIIAggCCAIIAggCCAIIAggCFAIDAusCHgAEKQECAgIDAgQCBQIGAgcCCAIJArMCCwKxAg0CCAIIAggCCAIIAggCCAIIAggCCAIIAggCCAIIAggCCAIIAhQCAwQIAQIeAAQpAQICAlUCBAIFAgYCBwIIAgkCCgILArECDQIIAggCCAIIAggCCAIIAggCCAIIAggCCAIIAggCCAIIAggCFAIDAu4CHgAEKQECAgJFAgQCBQIGAgcCCAIJAgoCCwKxAg0CCAIIAggCCAIIAggCCAIIAggCCAIIAggCCAIIAggCCAIIAhQCAwQNAQIeAAQpAQICAm4CBAIFAgYCBwIIAgkCHAILArECDQIIAggCCAIIAggCCAIIAggCCAIIAggCCAIIAggCCAIIAggCFAIDBBQBAh4ABCl6AAAEAAECAgJJAgQCBQIGAgcCCAIJArMCCwKxAg0CCAIIAggCCAIIAggCCAIIAggCCAIIAggCCAIIAggCCAIIAhQCAwLZAh4ABCkBAgICXwIEAgUCBgIHAggCCQIKAgsCsQINAggCCAIIAggCCAIIAggCCAIIAggCCAIIAggCCAIIAggCCAIUAgMC2wIeAAQpAQICAlMCBAIFAgYCBwIIAgkCCgILArECDQIIAggCCAIIAggCCAIIAggCCAIIAggCCAIIAggCCAIIAggCFAIDAr8CHgAEKQECAgIzAgQCBQIGAgcCCAIJAhwCCwKxAg0CCAIIAggCCAIIAggCCAIIAggCCAIIAggCCAIIAggCCAIIAhQCAwLCAh4ABCkBAgICKwIEAgUCBgIHAggCCQIKAgsCsQINAggCCAIIAggCCAIIAggCCAIIAggCCAIIAggCCAIIAggCCAIUAgMEBQECHgAEKQECAgJRAgQCBQIGAgcCCAIJArMCCwKxAg0CCAIIAggCCAIIAggCCAIIAggCCAIIAggCCAIIAggCCAIIAhQCAwLFAh4ABCkBAgICIwIEAgUCBgIHAggCCQIcAgsCsQINAggCCAIIAggCCAIIAggCCAIIAggCCAIIAggCCAIIAggCCAIUAgMEAQECHgAEKQECAgJhAgQCBQIGAgcCCAIJAhwCCwKxAg0CCAIIAggCCAIIAggCCAIIAggCCAIIAggCCAIIAggCCAIIAhQCAwLxAh4ABCkBAgICMQIEAgUCBgIHAggCCQIcAgsCsQINAggCCAIIAggCCAIIAggCCAIIAggCCAIIAggCCAIIAggCCAIUAgMCxgIeAAQpAQICAmECBAIFAgYCBwIIAgkCCgILArECDQIIAggCCAIIAggCCAIIAggCCAIIAggCCAIIAggCCAIIAggCFAIDAv4CHgAEKQECAgJZAgQCBQIGAgcCCAIJAgoCCwKxAg0CCAIIAggCCAIIAggCCAIIAggCCAIIAggCCAIIAggCCAIIAhQCAwL/Ah4ABCkBAgICbgIEAgUCBgIHAggCCQIKAgsCsQINAggCCAIIAggCCAIIAggCCAIIAggCCAIIAggCCAIIAggCCAIUAgMCyAIeAAQpAQICAnUCBAIFAgYCBwIIAgkCHAILArECDQIIAggCCAIIAggCCAIIAggCCAIIAggCCAIIAggCCAIIAggCFAIDAtYCHgAEKQECAgJVAgQCBQIGAgcCCAIJAhwCCwKxAg0CCAIIAggCCAIIAggCCAIIAggCCAIIAggCCAIIAggCCAIIAhQCAwLJAh4ABCkBAgICTQIEAgUCBgIHAggCCQKzAgsCsQINAggCCAIIAggCCAIIAggCCAJ6AAAEAAgCCAIIAggCCAIIAggCCAIIAhQCAwLKAh4ABCkBAgICRwIEAgUCBgIHAggCCQKzAgsCsQINAggCCAIIAggCCAIIAggCCAIIAggCCAIIAggCCAIIAggCCAIUAgMEBwECHgAEKQECAgIbAgQCBQIGAgcCCAIJAgoCCwKxAg0CCAIIAggCCAIIAggCCAIIAggCCAIIAggCCAIIAggCCAIIAhQCAwQGAQIeAAQpAQICAl0CBAIFAgYCBwIIAgkCCgILArECDQIIAggCCAIIAggCCAIIAggCCAIIAggCCAIIAggCCAIIAggCFAIDAu4CHgAEKQECAgJCAgQCBQIGAgcCCAIJArMCCwKxAg0CCAIIAggCCAIIAggCCAIIAggCCAIIAggCCAIIAggCCAIIAhQCAwLOAh4ABCkBAgICHgIEAgUCBgIHAggCCQKzAgsCsQINAggCCAIIAggCCAIIAggCCAIIAggCCAIIAggCCAIIAggCCAIUAgMC6AIeAAQpAQICAlMCBAIFAgYCBwIIAgkCswILArECDQIIAggCCAIIAggCCAIIAggCCAIIAggCCAIIAggCCAIIAggCFAIDAukCHgAEKQECAgI5AgQCBQIGAgcCCAIJAhwCCwKxAg0CCAIIAggCCAIIAggCCAIIAggCCAIIAggCCAIIAggCCAIIAhQCAwQKAQIeAAQpAQICAiMCBAIFAgYCBwIIAgkCCgILArECDQIIAggCCAIIAggCCAIIAggCCAIIAggCCAIIAggCCAIIAggCFAIDAucCHgAEKQECAgInAgQCBQIGAgcCCAIJArMCCwKxAg0CCAIIAggCCAIIAggCCAIIAggCCAIIAggCCAIIAggCCAIIAhQCAwIoAh4ABCkBAgICkAIEAgUCBgIHAggCCQIcAgsCsQINAggCCAIIAggCCAIIAggCCAIIAggCCAIIAggCCAIIAggCCAIUAgMC7QIeAAQpAQICAk0CBAIFAgYCBwIIAgkCHAILArECDQIIAggCCAIIAggCCAIIAggCCAIIAggCCAIIAggCCAIIAggCFAIDAvkCHgAEKQECAgKBAgQCBQIGAgcCCAIJArMCCwKxAg0CCAIIAggCCAIIAggCCAIIAggCCAIIAggCCAIIAggCCAIIAhQCAwQLAQIeAAQpAQICAi8CBAIFAgYCBwIIAgkCCgILArECDQIIAggCCAIIAggCCAIIAggCCAIIAggCCAIIAggCCAIIAggCFAIDAu4CHgAEKQECAgI9AgQCBQIGAgcCCAIJAhwCCwKxAg0CCAIIAggCCAIIAggCCAIIAggCCAIIAggCCAIIAggCCAIIAhQCAwLvAh4ABCkBAgICKQIEAgUCBgJ6AAAEAAcCCAIJArMCCwKxAg0CCAIIAggCCAIIAggCCAIIAggCCAIIAggCCAIIAggCCAIIAhQCAwLwAh4ABCkBAgICQgIEAgUCBgIHAggCCQIKAgsCsQINAggCCAIIAggCCAIIAggCCAIIAggCCAIIAggCCAIIAggCCAIUAgMC8wIeAAQpAQICAhsCBAIFAgYCBwIIAgkCHAILArECDQIIAggCCAIIAggCCAIIAggCCAIIAggCCAIIAggCCAIIAggCFAIDBAABAh4ABCkBAgICWQIEAgUCBgIHAggCCQIcAgsCsQINAggCCAIIAggCCAIIAggCCAIIAggCCAIIAggCCAIIAggCCAIUAgMC9gIeAAQpAQICAgMCBAIFAgYCBwIIAgkCCgILArECDQIIAggCCAIIAggCCAIIAggCCAIIAggCCAIIAggCCAIIAggCFAIDBBsBAh4ABCkBAgIC9AIEAgUCBgIHAggCCQIKAgsCsQINAggCCAIIAggCCAIIAggCCAIIAggCCAIIAggCCAIIAggCCAIUAgMC9QIeAAQpAQICAiECBAIFAgYCBwIIAgkCswILArECDQIIAggCCAIIAggCCAIIAggCCAIIAggCCAIIAggCCAIIAggCFAIDAvICHgAEKQECAgIlAgQCBQIGAgcCCAIJAhwCCwKxAg0CCAIIAggCCAIIAggCCAIIAggCCAIIAggCCAIIAggCCAIIAhQCAwLaAh4ABCkBAgICkAIEAgUCBgIHAggCCQIKAgsCsQINAggCCAIIAggCCAIIAggCCAIIAggCCAIIAggCCAIIAggCCAIUAgMC+AIeAAQpAQICAi8CBAIFAgYCBwIIAgkCHAILArECDQIIAggCCAIIAggCCAIIAggCCAIIAggCCAIIAggCCAIIAggCFAIDAskCHgAEKQECAgJlAgQCBQIGAgcCCAIJArMCCwKxAg0CCAIIAggCCAIIAggCCAIIAggCCAIIAggCCAIIAggCCAIIAhQCAwQSAQIeAAQpAQICAl0CBAIFAgYCBwIIAgkCHAILArECDQIIAggCCAIIAggCCAIIAggCCAIIAggCCAIIAggCCAIIAggCFAIDAskCHgAEKQECAgI9AgQCBQIGAgcCCAIJAgoCCwKxAg0CCAIIAggCCAIIAggCCAIIAggCCAIIAggCCAIIAggCCAIIAhQCAwLhAh4ABCkBAgICLQIEAgUCBgIHAggCCQKzAgsCsQINAggCCAIIAggCCAIIAggCCAIIAggCCAIIAggCCAIIAggCCAIUAgMC/QIeAAQpAQICAjsCBAIFAgYCBwIIAgkCswILArECDQIIAggCCAIIAggCCAIIAggCCAIIAggCCAIIAgh6AAAEAAIIAggCCAIUAgMEFwECHgAEKQECAgJNAgQCBQIGAgcCCAIJAgoCCwKxAg0CCAIIAggCCAIIAggCCAIIAggCCAIIAggCCAIIAggCCAIIAhQCAwQiAQIeAAQpAQICAogCBAIFAgYCBwIIAgkCHAILArECDQIIAggCCAIIAggCCAIIAggCCAIIAggCCAIIAggCCAIIAggCFAIDAuACHgAEKQECAgIlAgQCBQIGAgcCCAIJAgoCCwKxAg0CCAIIAggCCAIIAggCCAIIAggCCAIIAggCCAIIAggCCAIIAhQCAwLiAh4ABCkBAgICRQIEAgUCBgIHAggCCQKzAgsCsQINAggCCAIIAggCCAIIAggCCAIIAggCCAIIAggCCAIIAggCCAIUAgMC5QIeAAQpAQICAvQCBAIFAgYCBwIIAgkCHAILArECDQIIAggCCAIIAggCCAIIAggCCAIIAggCCAIIAggCCAIIAggCFAIDBBkBAh4ABCkBAgIC1wIEAgUCBgIHAggCCQIcAgsCsQINAggCCAIIAggCCAIIAggCCAIIAggCCAIIAggCCAIIAggCCAIUAgMC5gIeAAQpAQICAisCBAIFAgYCBwIIAgkCHAILArECDQIIAggCCAIIAggCCAIIAggCCAIIAggCCAIIAggCCAIIAggCFAIDBBEBAh4ABCkBAgICKwIEAgUCBgIHAggCCQKzAgsCsQINAggCCAIIAggCCAIIAggCCAIIAggCCAIIAggCCAIIAggCCAIUAgMC5AIeAAQpAQICAkACBAIFAgYCBwIIAgkCswILArECDQIIAggCCAIIAggCCAIIAggCCAIIAggCCAIIAggCCAIIAggCFAIDBB0BAh4ABCkBAgICRwIEAgUCBgIHAggCCQIcAgsCsQINAggCCAIIAggCCAIIAggCCAIIAggCCAIIAggCCAIIAggCCAIUAgMC0QIeAAQpAQICAjcCBAIFAgYCBwIIAgkCCgILArECDQIIAggCCAIIAggCCAIIAggCCAIIAggCCAIIAggCCAIIAggCFAIDAtACHgAEKQECAgJRAgQCBQIGAgcCCAIJAgoCCwKxAg0CCAIIAggCCAIIAggCCAIIAggCCAIIAggCCAIIAggCCAIIAhQCAwQhAQIeAAQpAQICAl8CBAIFAgYCBwIIAgkCswILArECDQIIAggCCAIIAggCCAIIAggCCAIIAggCCAIIAggCCAIIAggCFAIDAtICHgAEKQECAgJ1AgQCBQIGAgcCCAIJArMCCwKxAg0CCAIIAggCCAIIAggCCAIIAggCCAIIAggCCAIIAggCCAIIAhQCAwLTAh4ABCkBAgICiAIEAgUCBgIHAggCCQIKAgt6AAAEAAKxAg0CCAIIAggCCAIIAggCCAIIAggCCAIIAggCCAIIAggCCAIIAhQCAwQJAQIeAAQpAQICAlYCBAIFAgYCBwIIAgkCHAILArECDQIIAggCCAIIAggCCAIIAggCCAIIAggCCAIIAggCCAIIAggCFAIDBA4BAh4ABCkBAgIC1wIEAgUCBgIHAggCCQIKAgsCsQINAggCCAIIAggCCAIIAggCCAIIAggCCAIIAggCCAIIAggCCAIUAgMC2AIeAAQpAQICAi8CBAIFAgYCBwIIAgkCswILArECDQIIAggCCAIIAggCCAIIAggCCAIIAggCCAIIAggCCAIIAggCFAIDArkCHgAEKQECAgI3AgQCBQIGAgcCCAIJAhwCCwKxAg0CCAIIAggCCAIIAggCCAIIAggCCAIIAggCCAIIAggCCAIIAhQCAwLEAh4ABCkBAgICJQIEAgUCBgIHAggCCQKzAgsCsQINAggCCAIIAggCCAIIAggCCAIIAggCCAIIAggCCAIIAggCCAIUAgMEDwECHgAEKQECAgJHAgQCBQIGAgcCCAIJAgoCCwKxAg0CCAIIAggCCAIIAggCCAIIAggCCAIIAggCCAIIAggCCAIIAhQCAwQQAQIeAAQpAQICAjMCBAIFAgYCBwIIAgkCswILArECDQIIAggCCAIIAggCCAIIAggCCAIIAggCCAIIAggCCAIIAggCFAIDAvcCHgAEKQECAgJRAgQCBQIGAgcCCAIJAhwCCwKxAg0CCAIIAggCCAIIAggCCAIIAggCCAIIAggCCAIIAggCCAIIAhQCAwL7Ah4ABCkBAgICOQIEAgUCBgIHAggCCQIKAgsCsQINAggCCAIIAggCCAIIAggCCAIIAggCCAIIAggCCAIIAggCCAIUAgMC+gIeAAQpAQICAlUCBAIFAgYCBwIIAgkCswILArECDQIIAggCCAIIAggCCAIIAggCCAIIAggCCAIIAggCCAIIAggCFAIDArkCHgAEKQECAgQVAQIEAgUCBgIHAggCCQIcAgsCsQINAggCCAIIAggCCAIIAggCCAIIAggCCAIIAggCCAIIAggCCAIUAgMEFgECHgAEKQECAgIxAgQCBQIGAgcCCAIJArMCCwKxAg0CCAIIAggCCAIIAggCCAIIAggCCAIIAggCCAIIAggCCAIIAhQCAwL8Ah4ABCkBAgICKQIEAgUCBgIHAggCCQIKAgsCsQINAggCCAIIAggCCAIIAggCCAIIAggCCAIIAggCCAIIAggCCAIUAgMCxwIeAAQpAQICAgMCBAIFAgYCBwIIAgkCHAILArECDQIIAggCCAIIAggCCAIIAggCCAIIAggCCAIIAggCCAIIAgh6AAAEAAIUAgMEDAECHgAEKQECAgKNAgQCBQIGAgcCCAIJArMCCwKxAg0CCAIIAggCCAIIAggCCAIIAggCCAIIAggCCAIIAggCCAIIAhQCAwQCAQIeAAQpAQICAi0CBAIFAgYCBwIIAgkCCgILArECDQIIAggCCAIIAggCCAIIAggCCAIIAggCCAIIAggCCAIIAggCFAIDAssCHgAEKQECAgJCAgQCBQIGAgcCCAIJAhwCCwKxAg0CCAIIAggCCAIIAggCCAIIAggCCAIIAggCCAIIAggCCAIIAhQCAwQDAQIeAAQpAQICAmUCBAIFAgYCBwIIAgkCCgILArECDQIIAggCCAIIAggCCAIIAggCCAIIAggCCAIIAggCCAIIAggCFAIDArwCHgAEKgEACTcwOTI1OTUxMgICAm4CBAIFAgYCBwIIAgkCHwILAgwCDQIIAggCCAIIAggCCAIIAggCCAIIAggCCAIIAggCCAIIAggCJwIDAqECHgAEKwEACTI5MTY2ODc5MgICAj0CBAIFAgYCBwIIAgkCHAILArECDQIIAggCCAIIAggCCAIIAggCCAIIAggCCAIIAggCCAIIAggCHgIDAu8CHgAEKwECAgJCAgQCBQIGAgcCCAIJAgoCCwKxAg0CCAIIAggCCAIIAggCCAIIAggCCAIIAggCCAIIAggCCAIIAh4CAwLzAh4ABCsBAgICTQIEAgUCBgIHAggCCQIKAgsCsQINAggCCAIIAggCCAIIAggCCAIIAggCCAIIAggCCAIIAggCCAIeAgMEIgECHgAEKwECAgJhAgQCBQIGAgcCCAIJAhwCCwKxAg0CCAIIAggCCAIIAggCCAIIAggCCAIIAggCCAIIAggCCAIIAh4CAwLxAh4ABCsBAgICJwIEAgUCBgIHAggCCQKzAgsCsQINAggCCAIIAggCCAIIAggCCAIIAggCCAIIAggCCAIIAggCCAIeAgMCKAIeAAQrAQICAiECBAIFAgYCBwIIAgkCswILArECDQIIAggCCAIIAggCCAIIAggCCAIIAggCCAIIAggCCAIIAggCHgIDAvICHgAEKwECAgL0AgQCBQIGAgcCCAIJAgoCCwKxAg0CCAIIAggCCAIIAggCCAIIAggCCAIIAggCCAIIAggCCAIIAh4CAwL1Ah4ABCsBAgICKQIEAgUCBgIHAggCCQKzAgsCsQINAggCCAIIAggCCAIIAggCCAIIAggCCAIIAggCCAIIAggCCAIeAgMC8AIeAAQrAQICAlkCBAIFAgYCBwIIAgkCHAILArECDQIIAggCCAIIAggCCAIIAggCCAIIAggCCAIIAggCCAIIAggCHgIDAvYCHgAEKwECAgIeAgR6AAAEAAIFAgYCBwIIAgkCswILArECDQIIAggCCAIIAggCCAIIAggCCAIIAggCCAIIAggCCAIIAggCHgIDAugCHgAEKwECAgJTAgQCBQIGAgcCCAIJArMCCwKxAg0CCAIIAggCCAIIAggCCAIIAggCCAIIAggCCAIIAggCCAIIAh4CAwLpAh4ABCsBAgICIwIEAgUCBgIHAggCCQIKAgsCsQINAggCCAIIAggCCAIIAggCCAIIAggCCAIIAggCCAIIAggCCAIeAgMC5wIeAAQrAQICAjkCBAIFAgYCBwIIAgkCHAILArECDQIIAggCCAIIAggCCAIIAggCCAIIAggCCAIIAggCCAIIAggCHgIDBAoBAh4ABCsBAgICGwIEAgUCBgIHAggCCQIKAgsCsQINAggCCAIIAggCCAIIAggCCAIIAggCCAIIAggCCAIIAggCCAIeAgMEBgECHgAEKwECAgKQAgQCBQIGAgcCCAIJAhwCCwKxAg0CCAIIAggCCAIIAggCCAIIAggCCAIIAggCCAIIAggCCAIIAh4CAwLtAh4ABCsBAgICgQIEAgUCBgIHAggCCQKzAgsCsQINAggCCAIIAggCCAIIAggCCAIIAggCCAIIAggCCAIIAggCCAIeAgMECwECHgAEKwECAgL0AgQCBQIGAgcCCAIJAhwCCwKxAg0CCAIIAggCCAIIAggCCAIIAggCCAIIAggCCAIIAggCCAIIAh4CAwQZAQIeAAQrAQICAogCBAIFAgYCBwIIAgkCHAILArECDQIIAggCCAIIAggCCAIIAggCCAIIAggCCAIIAggCCAIIAggCHgIDAuACHgAEKwECAgI9AgQCBQIGAgcCCAIJAgoCCwKxAg0CCAIIAggCCAIIAggCCAIIAggCCAIIAggCCAIIAggCCAIIAh4CAwLhAh4ABCsBAgICRQIEAgUCBgIHAggCCQKzAgsCsQINAggCCAIIAggCCAIIAggCCAIIAggCCAIIAggCCAIIAggCCAIeAgMC5QIeAAQrAQICAisCBAIFAgYCBwIIAgkCswILArECDQIIAggCCAIIAggCCAIIAggCCAIIAggCCAIIAggCCAIIAggCHgIDAuQCHgAEKwECAgIlAgQCBQIGAgcCCAIJAgoCCwKxAg0CCAIIAggCCAIIAggCCAIIAggCCAIIAggCCAIIAggCCAIIAh4CAwLiAh4ABCsBAgICQAIEAgUCBgIHAggCCQKzAgsCsQINAggCCAIIAggCCAIIAggCCAIIAggCCAIIAggCCAIIAggCCAIeAgMEHQECHgAEKwECAgLXAgQCBQIGAgcCCAIJAhwCCwKxAg0CCAIIAggCCAIIAggCCAIIAggCCAJ6AAAEAAgCCAIIAggCCAIIAggCHgIDAuYCHgAEKwECAgJdAgQCBQIGAgcCCAIJAhwCCwKxAg0CCAIIAggCCAIIAggCCAIIAggCCAIIAggCCAIIAggCCAIIAh4CAwLJAh4ABCsBAgICZQIEAgUCBgIHAggCCQKzAgsCsQINAggCCAIIAggCCAIIAggCCAIIAggCCAIIAggCCAIIAggCCAIeAgMEEgECHgAEKwECAgKQAgQCBQIGAgcCCAIJAgoCCwKxAg0CCAIIAggCCAIIAggCCAIIAggCCAIIAggCCAIIAggCCAIIAh4CAwL4Ah4ABCsBAgICLwIEAgUCBgIHAggCCQIKAgsCsQINAggCCAIIAggCCAIIAggCCAIIAggCCAIIAggCCAIIAggCCAIeAgMC7gIeAAQrAQICAjsCBAIFAgYCBwIIAgkCswILArECDQIIAggCCAIIAggCCAIIAggCCAIIAggCCAIIAggCCAIIAggCHgIDBBcBAh4ABCsBAgICLQIEAgUCBgIHAggCCQKzAgsCsQINAggCCAIIAggCCAIIAggCCAIIAggCCAIIAggCCAIIAggCCAIeAgMC/QIeAAQrAQICAhsCBAIFAgYCBwIIAgkCHAILArECDQIIAggCCAIIAggCCAIIAggCCAIIAggCCAIIAggCCAIIAggCHgIDBAABAh4ABCsBAgICdQIEAgUCBgIHAggCCQIcAgsCsQINAggCCAIIAggCCAIIAggCCAIIAggCCAIIAggCCAIIAggCCAIeAgMC1gIeAAQrAQICAkUCBAIFAgYCBwIIAgkCCgILArECDQIIAggCCAIIAggCCAIIAggCCAIIAggCCAIIAggCCAIIAggCHgIDBA0BAh4ABCsBAgICKwIEAgUCBgIHAggCCQIKAgsCsQINAggCCAIIAggCCAIIAggCCAIIAggCCAIIAggCCAIIAggCCAIeAgMEBQECHgAEKwECAgJJAgQCBQIGAgcCCAIJArMCCwKxAg0CCAIIAggCCAIIAggCCAIIAggCCAIIAggCCAIIAggCCAIIAh4CAwLZAh4ABCsBAgICJQIEAgUCBgIHAggCCQIcAgsCsQINAggCCAIIAggCCAIIAggCCAIIAggCCAIIAggCCAIIAggCCAIeAgMC2gIeAAQrAQICAl8CBAIFAgYCBwIIAgkCHAILArECDQIIAggCCAIIAggCCAIIAggCCAIIAggCCAIIAggCCAIIAggCHgIDBAQBAh4ABCsBAgICMwIEAgUCBgIHAggCCQIKAgsCsQINAggCCAIIAggCCAIIAggCCAIIAggCCAIIAggCCAIIAggCCAIeAgMC6gIeAAQrAQICAjECBAIFAgYCBwJ6AAAEAAgCCQIKAgsCsQINAggCCAIIAggCCAIIAggCCAIIAggCCAIIAggCCAIIAggCCAIeAgMC6wIeAAQrAQICAlUCBAIFAgYCBwIIAgkCCgILArECDQIIAggCCAIIAggCCAIIAggCCAIIAggCCAIIAggCCAIIAggCHgIDAu4CHgAEKwECAgJWAgQCBQIGAgcCCAIJArMCCwKxAg0CCAIIAggCCAIIAggCCAIIAggCCAIIAggCCAIIAggCCAIIAh4CAwLsAh4ABCsBAgICLwIEAgUCBgIHAggCCQIcAgsCsQINAggCCAIIAggCCAIIAggCCAIIAggCCAIIAggCCAIIAggCCAIeAgMCyQIeAAQrAQICAgMCBAIFAgYCBwIIAgkCswILArECDQIIAggCCAIIAggCCAIIAggCCAIIAggCCAIIAggCCAIIAggCHgIDBAgBAh4ABCsBAgICRwIEAgUCBgIHAggCCQKzAgsCsQINAggCCAIIAggCCAIIAggCCAIIAggCCAIIAggCCAIIAggCCAIeAgMEBwECHgAEKwECAgJNAgQCBQIGAgcCCAIJArMCCwKxAg0CCAIIAggCCAIIAggCCAIIAggCCAIIAggCCAIIAggCCAIIAh4CAwLKAh4ABCsBAgICbgIEAgUCBgIHAggCCQIKAgsCsQINAggCCAIIAggCCAIIAggCCAIIAggCCAIIAggCCAIIAggCCAIeAgMCyAIeAAQrAQICAkICBAIFAgYCBwIIAgkCswILArECDQIIAggCCAIIAggCCAIIAggCCAIIAggCCAIIAggCCAIIAggCHgIDAs4CHgAEKwECAgJZAgQCBQIGAgcCCAIJAgoCCwKxAg0CCAIIAggCCAIIAggCCAIIAggCCAIIAggCCAIIAggCCAIIAh4CAwL/Ah4ABCsBAgICYQIEAgUCBgIHAggCCQIKAgsCsQINAggCCAIIAggCCAIIAggCCAIIAggCCAIIAggCCAIIAggCCAIeAgMC/gIeAAQrAQICAlUCBAIFAgYCBwIIAgkCHAILArECDQIIAggCCAIIAggCCAIIAggCCAIIAggCCAIIAggCCAIIAggCHgIDAskCHgAEKwECAgKNAgQCBQIGAgcCCAIJAhwCCwKxAg0CCAIIAggCCAIIAggCCAIIAggCCAIIAggCCAIIAggCCAIIAh4CAwLNAh4ABCsBAgICXQIEAgUCBgIHAggCCQIKAgsCsQINAggCCAIIAggCCAIIAggCCAIIAggCCAIIAggCCAIIAggCCAIeAgMC7gIeAAQrAQICAiMCBAIFAgYCBwIIAgkCHAILArECDQIIAggCCAIIAggCCAIIAggCCAIIAggCCAIIAggCCAJ6AAAEAAgCCAIeAgMEAQECHgAEKwECAgKBAgQCBQIGAgcCCAIJAgoCCwKxAg0CCAIIAggCCAIIAggCCAIIAggCCAIIAggCCAIIAggCCAIIAh4CAwLBAh4ABCsBAgICMwIEAgUCBgIHAggCCQIcAgsCsQINAggCCAIIAggCCAIIAggCCAIIAggCCAIIAggCCAIIAggCCAIeAgMCwgIeAAQrAQICAl8CBAIFAgYCBwIIAgkCCgILArECDQIIAggCCAIIAggCCAIIAggCCAIIAggCCAIIAggCCAIIAggCHgIDAtsCHgAEKwECAgJ1AgQCBQIGAgcCCAIJAgoCCwKxAg0CCAIIAggCCAIIAggCCAIIAggCCAIIAggCCAIIAggCCAIIAh4CAwLcAh4ABCsBAgICMQIEAgUCBgIHAggCCQIcAgsCsQINAggCCAIIAggCCAIIAggCCAIIAggCCAIIAggCCAIIAggCCAIeAgMCxgIeAAQrAQICAlECBAIFAgYCBwIIAgkCswILArECDQIIAggCCAIIAggCCAIIAggCCAIIAggCCAIIAggCCAIIAggCHgIDAsUCHgAEKwECAgIhAgQCBQIGAgcCCAIJAhwCCwKxAg0CCAIIAggCCAIIAggCCAIIAggCCAIIAggCCAIIAggCCAIIAh4CAwKyAh4ABCsBAgICWQIEAgUCBgIHAggCCQKzAgsCsQINAggCCAIIAggCCAIIAggCCAIIAggCCAIIAggCCAIIAggCCAIeAgMCtQIeAAQrAQICAl0CBAIFAgYCBwIIAgkCswILArECDQIIAggCCAIIAggCCAIIAggCCAIIAggCCAIIAggCCAIIAggCHgIDArkCHgAEKwECAgJPAgQCBQIGAgcCCAIJAgoCCwKxAg0CCAIIAggCCAIIAggCCAIIAggCCAIIAggCCAIIAggCCAIIAh4CAwK3Ah4ABCsBAgICYQIEAgUCBgIHAggCCQKzAgsCsQINAggCCAIIAggCCAIIAggCCAIIAggCCAIIAggCCAIIAggCCAIeAgMCtAIeAAQrAQICAicCBAIFAgYCBwIIAgkCHAILArECDQIIAggCCAIIAggCCAIIAggCCAIIAggCCAIIAggCCAIIAggCHgIDAigCHgAEKwECAgKNAgQCBQIGAgcCCAIJAgoCCwKxAg0CCAIIAggCCAIIAggCCAIIAggCCAIIAggCCAIIAggCCAIIAh4CAwK4Ah4ABCsBAgICKQIEAgUCBgIHAggCCQIcAgsCsQINAggCCAIIAggCCAIIAggCCAIIAggCCAIIAggCCAIIAggCCAIeAgMCvQIeAAQrAQICAmUCBAIFAgYCBwIIAgkCCgILArECDQIIAgh6AAAEAAIIAggCCAIIAggCCAIIAggCCAIIAggCCAIIAggCCAIeAgMCvAIeAAQrAQICAkACBAIFAgYCBwIIAgkCCgILArECDQIIAggCCAIIAggCCAIIAggCCAIIAggCCAIIAggCCAIIAggCHgIDArYCHgAEKwECAgI9AgQCBQIGAgcCCAIJArMCCwKxAg0CCAIIAggCCAIIAggCCAIIAggCCAIIAggCCAIIAggCCAIIAh4CAwK7Ah4ABCsBAgICgQIEAgUCBgIHAggCCQIcAgsCsQINAggCCAIIAggCCAIIAggCCAIIAggCCAIIAggCCAIIAggCCAIeAgMCzwIeAAQrAQICApACBAIFAgYCBwIIAgkCswILArECDQIIAggCCAIIAggCCAIIAggCCAIIAggCCAIIAggCCAIIAggCHgIDBB8BAh4ABCsBAgICUwIEAgUCBgIHAggCCQIcAgsCsQINAggCCAIIAggCCAIIAggCCAIIAggCCAIIAggCCAIIAggCCAIeAgMCugIeAAQrAQICAh4CBAIFAgYCBwIIAgkCHAILArECDQIIAggCCAIIAggCCAIIAggCCAIIAggCCAIIAggCCAIIAggCHgIDBCMBAh4ABCsBAgICOQIEAgUCBgIHAggCCQKzAgsCsQINAggCCAIIAggCCAIIAggCCAIIAggCCAIIAggCCAIIAggCCAIeAgMC1AIeAAQrAQICAjsCBAIFAgYCBwIIAgkCCgILArECDQIIAggCCAIIAggCCAIIAggCCAIIAggCCAIIAggCCAIIAggCHgIDAtUCHgAEKwECAgQVAQIEAgUCBgIHAggCCQIKAgsCsQINAggCCAIIAggCCAIIAggCCAIIAggCCAIIAggCCAIIAggCCAIeAgMEHgECHgAEKwECAgJFAgQCBQIGAgcCCAIJAhwCCwKxAg0CCAIIAggCCAIIAggCCAIIAggCCAIIAggCCAIIAggCCAIIAh4CAwQYAQIeAAQrAQICAk8CBAIFAgYCBwIIAgkCHAILArECDQIIAggCCAIIAggCCAIIAggCCAIIAggCCAIIAggCCAIIAggCHgIDAt8CHgAEKwECAgJlAgQCBQIGAgcCCAIJAhwCCwKxAg0CCAIIAggCCAIIAggCCAIIAggCCAIIAggCCAIIAggCCAIIAh4CAwLMAh4ABCsBAgICSQIEAgUCBgIHAggCCQIKAgsCsQINAggCCAIIAggCCAIIAggCCAIIAggCCAIIAggCCAIIAggCCAIeAgMCwwIeAAQrAQICAiECBAIFAgYCBwIIAgkCCgILArECDQIIAggCCAIIAggCCAIIAggCCAIIAggCCAIIAggCCAIIAggCHgIDBBwBAh56AAAEAAAEKwECAgKIAgQCBQIGAgcCCAIJArMCCwKxAg0CCAIIAggCCAIIAggCCAIIAggCCAIIAggCCAIIAggCCAIIAh4CAwQaAQIeAAQrAQICAkACBAIFAgYCBwIIAgkCHAILArECDQIIAggCCAIIAggCCAIIAggCCAIIAggCCAIIAggCCAIIAggCHgIDAuMCHgAEKwECAgIeAgQCBQIGAgcCCAIJAgoCCwKxAg0CCAIIAggCCAIIAggCCAIIAggCCAIIAggCCAIIAggCCAIIAh4CAwLAAh4ABCsBAgICUwIEAgUCBgIHAggCCQIKAgsCsQINAggCCAIIAggCCAIIAggCCAIIAggCCAIIAggCCAIIAggCCAIeAgMCvwIeAAQrAQICAjcCBAIFAgYCBwIIAgkCHAILArECDQIIAggCCAIIAggCCAIIAggCCAIIAggCCAIIAggCCAIIAggCHgIDAsQCHgAEKwECAgJuAgQCBQIGAgcCCAIJAhwCCwKxAg0CCAIIAggCCAIIAggCCAIIAggCCAIIAggCCAIIAggCCAIIAh4CAwQUAQIeAAQrAQICAlYCBAIFAgYCBwIIAgkCCgILArECDQIIAggCCAIIAggCCAIIAggCCAIIAggCCAIIAggCCAIIAggCHgIDBBMBAh4ABCsBAgICJwIEAgUCBgIHAggCCQIKAgsCsQINAggCCAIIAggCCAIIAggCCAIIAggCCAIIAggCCAIIAggCCAIeAgMCKAIeAAQrAQICAhsCBAIFAgYCBwIIAgkCswILArECDQIIAggCCAIIAggCCAIIAggCCAIIAggCCAIIAggCCAIIAggCHgIDAt0CHgAEKwECAgI7AgQCBQIGAgcCCAIJAhwCCwKxAg0CCAIIAggCCAIIAggCCAIIAggCCAIIAggCCAIIAggCCAIIAh4CAwLeAh4ABCsBAgICLQIEAgUCBgIHAggCCQIcAgsCsQINAggCCAIIAggCCAIIAggCCAIIAggCCAIIAggCCAIIAggCCAIeAgMCvgIeAAQrAQICAgMCBAIFAgYCBwIIAgkCHAILArECDQIIAggCCAIIAggCCAIIAggCCAIIAggCCAIIAggCCAIIAggCHgIDBAwBAh4ABCsBAgICLwIEAgUCBgIHAggCCQKzAgsCsQINAggCCAIIAggCCAIIAggCCAIIAggCCAIIAggCCAIIAggCCAIeAgMCuQIeAAQrAQICAlYCBAIFAgYCBwIIAgkCHAILArECDQIIAggCCAIIAggCCAIIAggCCAIIAggCCAIIAggCCAIIAggCHgIDBA4BAh4ABCsBAgICJQIEAgUCBgIHAggCCQKzAgsCsQINAggCCAIIAggCCAJ6AAAEAAgCCAIIAggCCAIIAggCCAIIAggCCAIIAh4CAwQPAQIeAAQrAQICAtcCBAIFAgYCBwIIAgkCCgILArECDQIIAggCCAIIAggCCAIIAggCCAIIAggCCAIIAggCCAIIAggCHgIDAtgCHgAEKwECAgJHAgQCBQIGAgcCCAIJAgoCCwKxAg0CCAIIAggCCAIIAggCCAIIAggCCAIIAggCCAIIAggCCAIIAh4CAwQQAQIeAAQrAQICAisCBAIFAgYCBwIIAgkCHAILArECDQIIAggCCAIIAggCCAIIAggCCAIIAggCCAIIAggCCAIIAggCHgIDBBEBAh4ABCsBAgICNwIEAgUCBgIHAggCCQIKAgsCsQINAggCCAIIAggCCAIIAggCCAIIAggCCAIIAggCCAIIAggCCAIeAgMC0AIeAAQrAQICAkkCBAIFAgYCBwIIAgkCHAILArECDQIIAggCCAIIAggCCAIIAggCCAIIAggCCAIIAggCCAIIAggCHgIDBCABAh4ABCsBAgICUQIEAgUCBgIHAggCCQIKAgsCsQINAggCCAIIAggCCAIIAggCCAIIAggCCAIIAggCCAIIAggCCAIeAgMEIQECHgAEKwECAgJHAgQCBQIGAgcCCAIJAhwCCwKxAg0CCAIIAggCCAIIAggCCAIIAggCCAIIAggCCAIIAggCCAIIAh4CAwLRAh4ABCsBAgICdQIEAgUCBgIHAggCCQKzAgsCsQINAggCCAIIAggCCAIIAggCCAIIAggCCAIIAggCCAIIAggCCAIeAgMC0wIeAAQrAQICAl8CBAIFAgYCBwIIAgkCswILArECDQIIAggCCAIIAggCCAIIAggCCAIIAggCCAIIAggCCAIIAggCHgIDAtICHgAEKwECAgKIAgQCBQIGAgcCCAIJAgoCCwKxAg0CCAIIAggCCAIIAggCCAIIAggCCAIIAggCCAIIAggCCAIIAh4CAwQJAQIeAAQrAQICAo0CBAIFAgYCBwIIAgkCswILArECDQIIAggCCAIIAggCCAIIAggCCAIIAggCCAIIAggCCAIIAggCHgIDBAIBAh4ABCsBAgICLQIEAgUCBgIHAggCCQIKAgsCsQINAggCCAIIAggCCAIIAggCCAIIAggCCAIIAggCCAIIAggCCAIeAgMCywIeAAQrAQICAikCBAIFAgYCBwIIAgkCCgILArECDQIIAggCCAIIAggCCAIIAggCCAIIAggCCAIIAggCCAIIAggCHgIDAscCHgAEKwECAgIDAgQCBQIGAgcCCAIJAgoCCwKxAg0CCAIIAggCCAIIAggCCAIIAggCCAIIAggCCAIIAggCCAIIAh4CAwQbAQIeAAQrAQJ6AAAEAAICQgIEAgUCBgIHAggCCQIcAgsCsQINAggCCAIIAggCCAIIAggCCAIIAggCCAIIAggCCAIIAggCCAIeAgMEAwECHgAEKwECAgJVAgQCBQIGAgcCCAIJArMCCwKxAg0CCAIIAggCCAIIAggCCAIIAggCCAIIAggCCAIIAggCCAIIAh4CAwK5Ah4ABCsBAgICMwIEAgUCBgIHAggCCQKzAgsCsQINAggCCAIIAggCCAIIAggCCAIIAggCCAIIAggCCAIIAggCCAIeAgMC9wIeAAQrAQICBBUBAgQCBQIGAgcCCAIJAhwCCwKxAg0CCAIIAggCCAIIAggCCAIIAggCCAIIAggCCAIIAggCCAIIAh4CAwQWAQIeAAQrAQICAk0CBAIFAgYCBwIIAgkCHAILArECDQIIAggCCAIIAggCCAIIAggCCAIIAggCCAIIAggCCAIIAggCHgIDAvkCHgAEKwECAgI5AgQCBQIGAgcCCAIJAgoCCwKxAg0CCAIIAggCCAIIAggCCAIIAggCCAIIAggCCAIIAggCCAIIAh4CAwL6Ah4ABCsBAgICUQIEAgUCBgIHAggCCQIcAgsCsQINAggCCAIIAggCCAIIAggCCAIIAggCCAIIAggCCAIIAggCCAIeAgMC+wIeAAQrAQICAjECBAIFAgYCBwIIAgkCswILArECDQIIAggCCAIIAggCCAIIAggCCAIIAggCCAIIAggCCAIIAggCHgIDAvwCHgAELAEACTI5MTY2NjQ3MgICAjkCBAIFAgYCBwIIAgkCHAILArECDQIIAggCCAIIAggCCAIIAggCCAIIAggCCAIIAggCCAIIAggCHAIDBAoBAh4ABCwBAgICIwIEAgUCBgIHAggCCQIKAgsCsQINAggCCAIIAggCCAIIAggCCAIIAggCCAIIAggCCAIIAggCCAIcAgMC5wIeAAQsAQICAhsCBAIFAgYCBwIIAgkCCgILArECDQIIAggCCAIIAggCCAIIAggCCAIIAggCCAIIAggCCAIIAggCHAIDBAYBAh4ABCwBAgICUwIEAgUCBgIHAggCCQKzAgsCsQINAggCCAIIAggCCAIIAggCCAIIAggCCAIIAggCCAIIAggCCAIcAgMC6QIeAAQsAQICAicCBAIFAgYCBwIIAgkCswILArECDQIIAggCCAIIAggCCAIIAggCCAIIAggCCAIIAggCCAIIAggCHAIDAigCHgAELAECAgKQAgQCBQIGAgcCCAIJAhwCCwKxAg0CCAIIAggCCAIIAggCCAIIAggCCAIIAggCCAIIAggCCAIIAhwCAwLtAh4ABCwBAgICTQIEAgUCBgIHAggCCQIcAgsCsQINAggCCAJ6AAAEAAgCCAIIAggCCAIIAggCCAIIAggCCAIIAggCCAIIAhwCAwL5Ah4ABCwBAgICgQIEAgUCBgIHAggCCQKzAgsCsQINAggCCAIIAggCCAIIAggCCAIIAggCCAIIAggCCAIIAggCCAIcAgMECwECHgAELAECAgIvAgQCBQIGAgcCCAIJAgoCCwKxAg0CCAIIAggCCAIIAggCCAIIAggCCAIIAggCCAIIAggCCAIIAhwCAwLuAh4ABCwBAgICHgIEAgUCBgIHAggCCQKzAgsCsQINAggCCAIIAggCCAIIAggCCAIIAggCCAIIAggCCAIIAggCCAIcAgMC6AIeAAQsAQICAvQCBAIFAgYCBwIIAgkCHAILArECDQIIAggCCAIIAggCCAIIAggCCAIIAggCCAIIAggCCAIIAggCHAIDBBkBAh4ABCwBAgICjQIEAgUCBgIHAggCCQKzAgsCsQINAggCCAIIAggCCAIIAggCCAIIAggCCAIIAggCCAIIAggCCAIcAgMEAgECHgAELAECAgIlAgQCBQIGAgcCCAIJAgoCCwKxAg0CCAIIAggCCAIIAggCCAIIAggCCAIIAggCCAIIAggCCAIIAhwCAwLiAh4ABCwBAgICQgIEAgUCBgIHAggCCQIcAgsCsQINAggCCAIIAggCCAIIAggCCAIIAggCCAIIAggCCAIIAggCCAIcAgMEAwECHgAELAECAgJAAgQCBQIGAgcCCAIJArMCCwKxAg0CCAIIAggCCAIIAggCCAIIAggCCAIIAggCCAIIAggCCAIIAhwCAwQdAQIeAAQsAQICAlECBAIFAgYCBwIIAgkCHAILArECDQIIAggCCAIIAggCCAIIAggCCAIIAggCCAIIAggCCAIIAggCHAIDAvsCHgAELAECAgIvAgQCBQIGAgcCCAIJAhwCCwKxAg0CCAIIAggCCAIIAggCCAIIAggCCAIIAggCCAIIAggCCAIIAhwCAwLJAh4ABCwBAgICMwIEAgUCBgIHAggCCQKzAgsCsQINAggCCAIIAggCCAIIAggCCAIIAggCCAIIAggCCAIIAggCCAIcAgMC9wIeAAQsAQICAiMCBAIFAgYCBwIIAgkCHAILArECDQIIAggCCAIIAggCCAIIAggCCAIIAggCCAIIAggCCAIIAggCHAIDBAEBAh4ABCwBAgICVQIEAgUCBgIHAggCCQKzAgsCsQINAggCCAIIAggCCAIIAggCCAIIAggCCAIIAggCCAIIAggCCAIcAgMCuQIeAAQsAQICAjkCBAIFAgYCBwIIAgkCCgILArECDQIIAggCCAIIAggCCAIIAggCCAIIAggCCAIIAggCCAIIAggCHAIDAvoCHgB6AAAEAAQsAQICAmECBAIFAgYCBwIIAgkCCgILArECDQIIAggCCAIIAggCCAIIAggCCAIIAggCCAIIAggCCAIIAggCHAIDAv4CHgAELAECAgJNAgQCBQIGAgcCCAIJAgoCCwKxAg0CCAIIAggCCAIIAggCCAIIAggCCAIIAggCCAIIAggCCAIIAhwCAwQiAQIeAAQsAQICAjECBAIFAgYCBwIIAgkCswILArECDQIIAggCCAIIAggCCAIIAggCCAIIAggCCAIIAggCCAIIAggCHAIDAvwCHgAELAECAgI9AgQCBQIGAgcCCAIJAhwCCwKxAg0CCAIIAggCCAIIAggCCAIIAggCCAIIAggCCAIIAggCCAIIAhwCAwLvAh4ABCwBAgICQgIEAgUCBgIHAggCCQIKAgsCsQINAggCCAIIAggCCAIIAggCCAIIAggCCAIIAggCCAIIAggCCAIcAgMC8wIeAAQsAQICAgMCBAIFAgYCBwIIAgkCCgILArECDQIIAggCCAIIAggCCAIIAggCCAIIAggCCAIIAggCCAIIAggCHAIDBBsBAh4ABCwBAgICRwIEAgUCBgIHAggCCQIKAgsCsQINAggCCAIIAggCCAIIAggCCAIIAggCCAIIAggCCAIIAggCCAIcAgMEEAECHgAELAECAgJJAgQCBQIGAgcCCAIJArMCCwKxAg0CCAIIAggCCAIIAggCCAIIAggCCAIIAggCCAIIAggCCAIIAhwCAwLZAh4ABCwBAgICJQIEAgUCBgIHAggCCQIcAgsCsQINAggCCAIIAggCCAIIAggCCAIIAggCCAIIAggCCAIIAggCCAIcAgMC2gIeAAQsAQICAiECBAIFAgYCBwIIAgkCswILArECDQIIAggCCAIIAggCCAIIAggCCAIIAggCCAIIAggCCAIIAggCHAIDAvICHgAELAECAgJfAgQCBQIGAgcCCAIJAhwCCwKxAg0CCAIIAggCCAIIAggCCAIIAggCCAIIAggCCAIIAggCCAIIAhwCAwQEAQIeAAQsAQICAisCBAIFAgYCBwIIAgkCHAILArECDQIIAggCCAIIAggCCAIIAggCCAIIAggCCAIIAggCCAIIAggCHAIDBBEBAh4ABCwBAgICUQIEAgUCBgIHAggCCQIKAgsCsQINAggCCAIIAggCCAIIAggCCAIIAggCCAIIAggCCAIIAggCCAIcAgMEIQECHgAELAECAgJFAgQCBQIGAgcCCAIJAgoCCwKxAg0CCAIIAggCCAIIAggCCAIIAggCCAIIAggCCAIIAggCCAIIAhwCAwQNAQIeAAQsAQICAgMCBAIFAgYCBwIIAgkCswILArECDQIIAggCCAIIAgh6AAAEAAIIAggCCAIIAggCCAIIAggCCAIIAggCCAIcAgMECAECHgAELAECAgJFAgQCBQIGAgcCCAIJAhwCCwKxAg0CCAIIAggCCAIIAggCCAIIAggCCAIIAggCCAIIAggCCAIIAhwCAwQYAQIeAAQsAQICAnUCBAIFAgYCBwIIAgkCHAILArECDQIIAggCCAIIAggCCAIIAggCCAIIAggCCAIIAggCCAIIAggCHAIDAtYCHgAELAECAgJHAgQCBQIGAgcCCAIJArMCCwKxAg0CCAIIAggCCAIIAggCCAIIAggCCAIIAggCCAIIAggCCAIIAhwCAwQHAQIeAAQsAQICAlkCBAIFAgYCBwIIAgkCCgILArECDQIIAggCCAIIAggCCAIIAggCCAIIAggCCAIIAggCCAIIAggCHAIDAv8CHgAELAECAgIhAgQCBQIGAgcCCAIJAgoCCwKxAg0CCAIIAggCCAIIAggCCAIIAggCCAIIAggCCAIIAggCCAIIAhwCAwQcAQIeAAQsAQICAl0CBAIFAgYCBwIIAgkCCgILArECDQIIAggCCAIIAggCCAIIAggCCAIIAggCCAIIAggCCAIIAggCHAIDAu4CHgAELAECAgJTAgQCBQIGAgcCCAIJAgoCCwKxAg0CCAIIAggCCAIIAggCCAIIAggCCAIIAggCCAIIAggCCAIIAhwCAwK/Ah4ABCwBAgICHgIEAgUCBgIHAggCCQIKAgsCsQINAggCCAIIAggCCAIIAggCCAIIAggCCAIIAggCCAIIAggCCAIcAgMCwAIeAAQsAQICAl0CBAIFAgYCBwIIAgkCHAILArECDQIIAggCCAIIAggCCAIIAggCCAIIAggCCAIIAggCCAIIAggCHAIDAskCHgAELAECAgIrAgQCBQIGAgcCCAIJAgoCCwKxAg0CCAIIAggCCAIIAggCCAIIAggCCAIIAggCCAIIAggCCAIIAhwCAwQFAQIeAAQsAQICAmUCBAIFAgYCBwIIAgkCswILArECDQIIAggCCAIIAggCCAIIAggCCAIIAggCCAIIAggCCAIIAggCHAIDBBIBAh4ABCwBAgICiAIEAgUCBgIHAggCCQKzAgsCsQINAggCCAIIAggCCAIIAggCCAIIAggCCAIIAggCCAIIAggCCAIcAgMEGgECHgAELAECAgInAgQCBQIGAgcCCAIJAgoCCwKxAg0CCAIIAggCCAIIAggCCAIIAggCCAIIAggCCAIIAggCCAIIAhwCAwIoAh4ABCwBAgICVgIEAgUCBgIHAggCCQIKAgsCsQINAggCCAIIAggCCAIIAggCCAIIAggCCAIIAggCCAIIAggCCAIcAgMEEwECHgAELAF6AAAEAAICAjsCBAIFAgYCBwIIAgkCswILArECDQIIAggCCAIIAggCCAIIAggCCAIIAggCCAIIAggCCAIIAggCHAIDBBcBAh4ABCwBAgICLQIEAgUCBgIHAggCCQKzAgsCsQINAggCCAIIAggCCAIIAggCCAIIAggCCAIIAggCCAIIAggCCAIcAgMC/QIeAAQsAQICAikCBAIFAgYCBwIIAgkCswILArECDQIIAggCCAIIAggCCAIIAggCCAIIAggCCAIIAggCCAIIAggCHAIDAvACHgAELAECAgIbAgQCBQIGAgcCCAIJAhwCCwKxAg0CCAIIAggCCAIIAggCCAIIAggCCAIIAggCCAIIAggCCAIIAhwCAwQAAQIeAAQsAQICAmECBAIFAgYCBwIIAgkCHAILArECDQIIAggCCAIIAggCCAIIAggCCAIIAggCCAIIAggCCAIIAggCHAIDAvECHgAELAECAgJuAgQCBQIGAgcCCAIJAhwCCwKxAg0CCAIIAggCCAIIAggCCAIIAggCCAIIAggCCAIIAggCCAIIAhwCAwQUAQIeAAQsAQICAvQCBAIFAgYCBwIIAgkCCgILArECDQIIAggCCAIIAggCCAIIAggCCAIIAggCCAIIAggCCAIIAggCHAIDAvUCHgAELAECAgJZAgQCBQIGAgcCCAIJAhwCCwKxAg0CCAIIAggCCAIIAggCCAIIAggCCAIIAggCCAIIAggCCAIIAhwCAwL2Ah4ABCwBAgICgQIEAgUCBgIHAggCCQIcAgsCsQINAggCCAIIAggCCAIIAggCCAIIAggCCAIIAggCCAIIAggCCAIcAgMCzwIeAAQsAQICApACBAIFAgYCBwIIAgkCswILArECDQIIAggCCAIIAggCCAIIAggCCAIIAggCCAIIAggCCAIIAggCHAIDBB8BAh4ABCwBAgICOwIEAgUCBgIHAggCCQIKAgsCsQINAggCCAIIAggCCAIIAggCCAIIAggCCAIIAggCCAIIAggCCAIcAgMC1QIeAAQsAQICAjkCBAIFAgYCBwIIAgkCswILArECDQIIAggCCAIIAggCCAIIAggCCAIIAggCCAIIAggCCAIIAggCHAIDAtQCHgAELAECAgIeAgQCBQIGAgcCCAIJAhwCCwKxAg0CCAIIAggCCAIIAggCCAIIAggCCAIIAggCCAIIAggCCAIIAhwCAwQjAQIeAAQsAQICAkkCBAIFAgYCBwIIAgkCCgILArECDQIIAggCCAIIAggCCAIIAggCCAIIAggCCAIIAggCCAIIAggCHAIDAsMCHgAELAECAgQVAQIEAgUCBgIHAggCCQIKAgsCsQINAggCCAIIAggCCAIIAgh6AAAEAAIIAggCCAIIAggCCAIIAggCCAIIAhwCAwQeAQIeAAQsAQICAm4CBAIFAgYCBwIIAgkCCgILArECDQIIAggCCAIIAggCCAIIAggCCAIIAggCCAIIAggCCAIIAggCHAIDAsgCHgAELAECAgJNAgQCBQIGAgcCCAIJArMCCwKxAg0CCAIIAggCCAIIAggCCAIIAggCCAIIAggCCAIIAggCCAIIAhwCAwLKAh4ABCwBAgICTwIEAgUCBgIHAggCCQIcAgsCsQINAggCCAIIAggCCAIIAggCCAIIAggCCAIIAggCCAIIAggCCAIcAgMC3wIeAAQsAQICAlMCBAIFAgYCBwIIAgkCHAILArECDQIIAggCCAIIAggCCAIIAggCCAIIAggCCAIIAggCCAIIAggCHAIDAroCHgAELAECAgKNAgQCBQIGAgcCCAIJAhwCCwKxAg0CCAIIAggCCAIIAggCCAIIAggCCAIIAggCCAIIAggCCAIIAhwCAwLNAh4ABCwBAgICZQIEAgUCBgIHAggCCQIKAgsCsQINAggCCAIIAggCCAIIAggCCAIIAggCCAIIAggCCAIIAggCCAIcAgMCvAIeAAQsAQICAkACBAIFAgYCBwIIAgkCHAILArECDQIIAggCCAIIAggCCAIIAggCCAIIAggCCAIIAggCCAIIAggCHAIDAuMCHgAELAECAgJCAgQCBQIGAgcCCAIJArMCCwKxAg0CCAIIAggCCAIIAggCCAIIAggCCAIIAggCCAIIAggCCAIIAhwCAwLOAh4ABCwBAgICSQIEAgUCBgIHAggCCQIcAgsCsQINAggCCAIIAggCCAIIAggCCAIIAggCCAIIAggCCAIIAggCCAIcAgMEIAECHgAELAECAgIzAgQCBQIGAgcCCAIJAhwCCwKxAg0CCAIIAggCCAIIAggCCAIIAggCCAIIAggCCAIIAggCCAIIAhwCAwLCAh4ABCwBAgICdQIEAgUCBgIHAggCCQIKAgsCsQINAggCCAIIAggCCAIIAggCCAIIAggCCAIIAggCCAIIAggCCAIcAgMC3AIeAAQsAQICAlUCBAIFAgYCBwIIAgkCHAILArECDQIIAggCCAIIAggCCAIIAggCCAIIAggCCAIIAggCCAIIAggCHAIDAskCHgAELAECAgJRAgQCBQIGAgcCCAIJArMCCwKxAg0CCAIIAggCCAIIAggCCAIIAggCCAIIAggCCAIIAggCCAIIAhwCAwLFAh4ABCwBAgIEFQECBAIFAgYCBwIIAgkCHAILArECDQIIAggCCAIIAggCCAIIAggCCAIIAggCCAIIAggCCAIIAggCHAIDBBYBAh4ABCwBAgICMQIEAgV6AAAEAAIGAgcCCAIJAhwCCwKxAg0CCAIIAggCCAIIAggCCAIIAggCCAIIAggCCAIIAggCCAIIAhwCAwLGAh4ABCwBAgICjQIEAgUCBgIHAggCCQIKAgsCsQINAggCCAIIAggCCAIIAggCCAIIAggCCAIIAggCCAIIAggCCAIcAgMCuAIeAAQsAQICAi8CBAIFAgYCBwIIAgkCswILArECDQIIAggCCAIIAggCCAIIAggCCAIIAggCCAIIAggCCAIIAggCHAIDArkCHgAELAECAgJWAgQCBQIGAgcCCAIJAhwCCwKxAg0CCAIIAggCCAIIAggCCAIIAggCCAIIAggCCAIIAggCCAIIAhwCAwQOAQIeAAQsAQICAicCBAIFAgYCBwIIAgkCHAILArECDQIIAggCCAIIAggCCAIIAggCCAIIAggCCAIIAggCCAIIAggCHAIDAigCHgAELAECAgJfAgQCBQIGAgcCCAIJAgoCCwKxAg0CCAIIAggCCAIIAggCCAIIAggCCAIIAggCCAIIAggCCAIIAhwCAwLbAh4ABCwBAgICgQIEAgUCBgIHAggCCQIKAgsCsQINAggCCAIIAggCCAIIAggCCAIIAggCCAIIAggCCAIIAggCCAIcAgMCwQIeAAQsAQICAj0CBAIFAgYCBwIIAgkCswILArECDQIIAggCCAIIAggCCAIIAggCCAIIAggCCAIIAggCCAIIAggCHAIDArsCHgAELAECAgIhAgQCBQIGAgcCCAIJAhwCCwKxAg0CCAIIAggCCAIIAggCCAIIAggCCAIIAggCCAIIAggCCAIIAhwCAwKyAh4ABCwBAgICJQIEAgUCBgIHAggCCQKzAgsCsQINAggCCAIIAggCCAIIAggCCAIIAggCCAIIAggCCAIIAggCCAIcAgMEDwECHgAELAECAgI3AgQCBQIGAgcCCAIJAgoCCwKxAg0CCAIIAggCCAIIAggCCAIIAggCCAIIAggCCAIIAggCCAIIAhwCAwLQAh4ABCwBAgICRwIEAgUCBgIHAggCCQIcAgsCsQINAggCCAIIAggCCAIIAggCCAIIAggCCAIIAggCCAIIAggCCAIcAgMC0QIeAAQsAQICAjECBAIFAgYCBwIIAgkCCgILArECDQIIAggCCAIIAggCCAIIAggCCAIIAggCCAIIAggCCAIIAggCHAIDAusCHgAELAECAgJWAgQCBQIGAgcCCAIJArMCCwKxAg0CCAIIAggCCAIIAggCCAIIAggCCAIIAggCCAIIAggCCAIIAhwCAwLsAh4ABCwBAgICXwIEAgUCBgIHAggCCQKzAgsCsQINAggCCAIIAggCCAIIAggCCAIIAggCCAIIAgh6AAAEAAIIAggCCAIIAhwCAwLSAh4ABCwBAgICVQIEAgUCBgIHAggCCQIKAgsCsQINAggCCAIIAggCCAIIAggCCAIIAggCCAIIAggCCAIIAggCCAIcAgMC7gIeAAQsAQICAogCBAIFAgYCBwIIAgkCCgILArECDQIIAggCCAIIAggCCAIIAggCCAIIAggCCAIIAggCCAIIAggCHAIDBAkBAh4ABCwBAgICdQIEAgUCBgIHAggCCQKzAgsCsQINAggCCAIIAggCCAIIAggCCAIIAggCCAIIAggCCAIIAggCCAIcAgMC0wIeAAQsAQICAogCBAIFAgYCBwIIAgkCHAILArECDQIIAggCCAIIAggCCAIIAggCCAIIAggCCAIIAggCCAIIAggCHAIDAuACHgAELAECAgLXAgQCBQIGAgcCCAIJAhwCCwKxAg0CCAIIAggCCAIIAggCCAIIAggCCAIIAggCCAIIAggCCAIIAhwCAwLmAh4ABCwBAgICAwIEAgUCBgIHAggCCQIcAgsCsQINAggCCAIIAggCCAIIAggCCAIIAggCCAIIAggCCAIIAggCCAIcAgMEDAECHgAELAECAgIpAgQCBQIGAgcCCAIJAgoCCwKxAg0CCAIIAggCCAIIAggCCAIIAggCCAIIAggCCAIIAggCCAIIAhwCAwLHAh4ABCwBAgICLQIEAgUCBgIHAggCCQIKAgsCsQINAggCCAIIAggCCAIIAggCCAIIAggCCAIIAggCCAIIAggCCAIcAgMCywIeAAQsAQICAkUCBAIFAgYCBwIIAgkCswILArECDQIIAggCCAIIAggCCAIIAggCCAIIAggCCAIIAggCCAIIAggCHAIDAuUCHgAELAECAgIzAgQCBQIGAgcCCAIJAgoCCwKxAg0CCAIIAggCCAIIAggCCAIIAggCCAIIAggCCAIIAggCCAIIAhwCAwLqAh4ABCwBAgICKwIEAgUCBgIHAggCCQKzAgsCsQINAggCCAIIAggCCAIIAggCCAIIAggCCAIIAggCCAIIAggCCAIcAgMC5AIeAAQsAQICApACBAIFAgYCBwIIAgkCCgILArECDQIIAggCCAIIAggCCAIIAggCCAIIAggCCAIIAggCCAIIAggCHAIDAvgCHgAELAECAgIbAgQCBQIGAgcCCAIJArMCCwKxAg0CCAIIAggCCAIIAggCCAIIAggCCAIIAggCCAIIAggCCAIIAhwCAwLdAh4ABCwBAgICLQIEAgUCBgIHAggCCQIcAgsCsQINAggCCAIIAggCCAIIAggCCAIIAggCCAIIAggCCAIIAggCCAIcAgMCvgIeAAQsAQICAjcCBAIFAgYCBwIIAgkCHAILArF6AAAEAAINAggCCAIIAggCCAIIAggCCAIIAggCCAIIAggCCAIIAggCCAIcAgMCxAIeAAQsAQICAj0CBAIFAgYCBwIIAgkCCgILArECDQIIAggCCAIIAggCCAIIAggCCAIIAggCCAIIAggCCAIIAggCHAIDAuECHgAELAECAgI7AgQCBQIGAgcCCAIJAhwCCwKxAg0CCAIIAggCCAIIAggCCAIIAggCCAIIAggCCAIIAggCCAIIAhwCAwLeAh4ABCwBAgICYQIEAgUCBgIHAggCCQKzAgsCsQINAggCCAIIAggCCAIIAggCCAIIAggCCAIIAggCCAIIAggCCAIcAgMCtAIeAAQsAQICAikCBAIFAgYCBwIIAgkCHAILArECDQIIAggCCAIIAggCCAIIAggCCAIIAggCCAIIAggCCAIIAggCHAIDAr0CHgAELAECAgJAAgQCBQIGAgcCCAIJAgoCCwKxAg0CCAIIAggCCAIIAggCCAIIAggCCAIIAggCCAIIAggCCAIIAhwCAwK2Ah4ABCwBAgICZQIEAgUCBgIHAggCCQIcAgsCsQINAggCCAIIAggCCAIIAggCCAIIAggCCAIIAggCCAIIAggCCAIcAgMCzAIeAAQsAQICAtcCBAIFAgYCBwIIAgkCCgILArECDQIIAggCCAIIAggCCAIIAggCCAIIAggCCAIIAggCCAIIAggCHAIDAtgCHgAELAECAgJdAgQCBQIGAgcCCAIJArMCCwKxAg0CCAIIAggCCAIIAggCCAIIAggCCAIIAggCCAIIAggCCAIIAhwCAwK5Ah4ABCwBAgICTwIEAgUCBgIHAggCCQIKAgsCsQINAggCCAIIAggCCAIIAggCCAIIAggCCAIIAggCCAIIAggCCAIcAgMCtwIeAAQsAQICAlkCBAIFAgYCBwIIAgkCswILArECDQIIAggCCAIIAggCCAIIAggCCAIIAggCCAIIAggCCAIIAggCHAIDArUCHgAELQEACTU2NjQwMTMyOAICAm4CBAIFAgYCBwIIAgkCHwILAgwCDQIIAggCCAIIAggCCAIIAggCCAIIAggCCAIIAggCCAIIAggCFQIDAqECHgAELQECAgIzAgQCBQIGAgcCCAIJAgoCCwIMAg0CCAIIAggCCAIIAggCCAIIAggCCAIIAggCCAIIAggCCAIIAhUCAwKmAh4ABC0BAgICSQIEAgUCBgIHAggCCQIfAgsCDAINAggCCAIIAggCCAIIAggCCAIIAggCCAIIAggCCAIIAggCCAIVAgMCSgIeAAQtAQICAisCBAIFAgYCBwIIAgkCHAILAgwCDQIIAggCCAIIAggCCAIIAggCCAIIAggCCAIIAggCCAJ6AAAEAAgCCAIVAgMCaQIeAAQtAQICAkUCBAIFAgYCBwIIAgkCHAILAgwCDQIIAggCCAIIAggCCAIIAggCCAIIAggCCAIIAggCCAIIAggCFQIDAlsCHgAELQECAgJVAgQCBQIGAgcCCAIJAgoCCwIMAg0CCAIIAggCCAIIAggCCAIIAggCCAIIAggCCAIIAggCCAIIAhUCAwJeAh4ABC0BAgICdQIEAgUCBgIHAggCCQIfAgsCDAINAggCCAIIAggCCAIIAggCCAIIAggCCAIIAggCCAIIAggCCAIVAgMClAIeAAQtAQICAikCBAIFAgYCBwIIAgkCCgILAgwCDQIIAggCCAIIAggCCAIIAggCCAIIAggCCAIIAggCCAIIAggCFQIDApUCHgAELQECAgJlAgQCBQIGAgcCCAIJAh8CCwIMAg0CCAIIAggCCAIIAggCCAIIAggCCAIIAggCCAIIAggCCAIIAhUCAwJmAh4ABC0BAgICRQIEAgUCBgIHAggCCQIKAgsCDAINAggCCAIIAggCCAIIAggCCAIIAggCCAIIAggCCAIIAggCCAIVAgMCZwIeAAQtAQICAjsCBAIFAgYCBwIIAgkCHwILAgwCDQIIAggCCAIIAggCCAIIAggCCAIIAggCCAIIAggCCAIIAggCFQIDAjwCHgAELQECAgJWAgQCBQIGAgcCCAIJAh8CCwIMAg0CCAIIAggCCAIIAggCCAIIAggCCAIIAggCCAIIAggCCAIIAhUCAwJXAh4ABC0BAgICIQIEAgUCBgIHAggCCQIKAgsCDAINAggCCAIIAggCCAIIAggCCAIIAggCCAIIAggCCAIIAggCCAIVAgMCWAIeAAQtAQICAgMCBAIFAgYCBwIIAgkCHAILAgwCDQIIAggCCAIIAggCCAIIAggCCAIIAggCCAIIAggCCAIIAggCFQIDAjUCHgAELQECAgI3AgQCBQIGAgcCCAIJAgoCCwIMAg0CCAIIAggCCAIIAggCCAIIAggCCAIIAggCCAIIAggCCAIIAhUCAwJEAh4ABC0BAgICLQIEAgUCBgIHAggCCQIKAgsCDAINAggCCAIIAggCCAIIAggCCAIIAggCCAIIAggCCAIIAggCCAIVAgMCmwIeAAQtAQICAjECBAIFAgYCBwIIAgkCCgILAgwCDQIIAggCCAIIAggCCAIIAggCCAIIAggCCAIIAggCCAIIAggCFQIDAp0CHgAELQECAgJHAgQCBQIGAgcCCAIJAhwCCwIMAg0CCAIIAggCCAIIAggCCAIIAggCCAIIAggCCAIIAggCCAIIAhUCAwKeAh4ABC0BAgICjQIEAgUCBgIHAggCCQIfAgsCDAINAggCCAJ6AAAEAAgCCAIIAggCCAIIAggCCAIIAggCCAIIAggCCAIIAhUCAwKnAh4ABC0BAgICKwIEAgUCBgIHAggCCQIKAgsCDAINAggCCAIIAggCCAIIAggCCAIIAggCCAIIAggCCAIIAggCCAIVAgMCLAIeAAQtAQICAi0CBAIFAgYCBwIIAgkCHAILAgwCDQIIAggCCAIIAggCCAIIAggCCAIIAggCCAIIAggCCAIIAggCFQIDAqkCHgAELQECAgJfAgQCBQIGAgcCCAIJAh8CCwIMAg0CCAIIAggCCAIIAggCCAIIAggCCAIIAggCCAIIAggCCAIIAhUCAwKsAh4ABC0BAgICgQIEAgUCBgIHAggCCQIfAgsCDAINAggCCAIIAggCCAIIAggCCAIIAggCCAIIAggCCAIIAggCCAIVAgMCrQIeAAQtAQICAikCBAIFAgYCBwIIAgkCHAILAgwCDQIIAggCCAIIAggCCAIIAggCCAIIAggCCAIIAggCCAIIAggCFQIDApwCHgAELQECAgJAAgQCBQIGAgcCCAIJAgoCCwIMAg0CCAIIAggCCAIIAggCCAIIAggCCAIIAggCCAIIAggCCAIIAhUCAwKkAh4ABC0BAgICGwIEAgUCBgIHAggCCQIcAgsCDAINAggCCAIIAggCCAIIAggCCAIIAggCCAIIAggCCAIIAggCCAIVAgMCHQIeAAQtAQICAicCBAIFAgYCBwIIAgkCCgILAgwCDQIIAggCCAIIAggCCAIIAggCCAIIAggCCAIIAggCCAIIAggCFQIDAigCHgAELQECAgJPAgQCBQIGAgcCCAIJAgoCCwIMAg0CCAIIAggCCAIIAggCCAIIAggCCAIIAggCCAIIAggCCAIIAhUCAwKlAh4ABC0BAgICHgIEAgUCBgIHAggCCQIKAgsCDAINAggCCAIIAggCCAIIAggCCAIIAggCCAIIAggCCAIIAggCCAIVAgMCcAIeAAQtAQICAlMCBAIFAgYCBwIIAgkCCgILAgwCDQIIAggCCAIIAggCCAIIAggCCAIIAggCCAIIAggCCAIIAggCFQIDAlwCHgAELQECAgI3AgQCBQIGAgcCCAIJAhwCCwIMAg0CCAIIAggCCAIIAggCCAIIAggCCAIIAggCCAIIAggCCAIIAhUCAwKXAh4ABC0BAgICjQIEAgUCBgIHAggCCQIcAgsCDAINAggCCAIIAggCCAIIAggCCAIIAggCCAIIAggCCAIIAggCCAIVAgMCjgIeAAQtAQICAl0CBAIFAgYCBwIIAgkCHwILAgwCDQIIAggCCAIIAggCCAIIAggCCAIIAggCCAIIAggCCAIIAggCFQIDAnwCHgAELQECAgJ6AAAEACUCBAIFAgYCBwIIAgkCCgILAgwCDQIIAggCCAIIAggCCAIIAggCCAIIAggCCAIIAggCCAIIAggCFQIDAqoCHgAELQECAgIvAgQCBQIGAgcCCAIJAgoCCwIMAg0CCAIIAggCCAIIAggCCAIIAggCCAIIAggCCAIIAggCCAIIAhUCAwJeAh4ABC0BAgICQAIEAgUCBgIHAggCCQIcAgsCDAINAggCCAIIAggCCAIIAggCCAIIAggCCAIIAggCCAIIAggCCAIVAgMCewIeAAQtAQICAlECBAIFAgYCBwIIAgkCHwILAgwCDQIIAggCCAIIAggCCAIIAggCCAIIAggCCAIIAggCCAIIAggCFQIDAoACHgAELQECAgJhAgQCBQIGAgcCCAIJAh8CCwIMAg0CCAIIAggCCAIIAggCCAIIAggCCAIIAggCCAIIAggCCAIIAhUCAwJ4Ah4ABC0BAgICIwIEAgUCBgIHAggCCQIKAgsCDAINAggCCAIIAggCCAIIAggCCAIIAggCCAIIAggCCAIIAggCCAIVAgMCNgIeAAQtAQICApACBAIFAgYCBwIIAgkCHAILAgwCDQIIAggCCAIIAggCCAIIAggCCAIIAggCCAIIAggCCAIIAggCFQIDAqMCHgAELQECAgInAgQCBQIGAgcCCAIJAh8CCwIMAg0CCAIIAggCCAIIAggCCAIIAggCCAIIAggCCAIIAggCCAIIAhUCAwIoAh4ABC0BAgICbgIEAgUCBgIHAggCCQIKAgsCDAINAggCCAIIAggCCAIIAggCCAIIAggCCAIIAggCCAIIAggCCAIVAgMCeQIeAAQtAQICAoECBAIFAgYCBwIIAgkCHAILAgwCDQIIAggCCAIIAggCCAIIAggCCAIIAggCCAIIAggCCAIIAggCFQIDAoICHgAELQECAgIhAgQCBQIGAgcCCAIJAh8CCwIMAg0CCAIIAggCCAIIAggCCAIIAggCCAIIAggCCAIIAggCCAIIAhUCAwIiAh4ABC0BAgICGwIEAgUCBgIHAggCCQIKAgsCDAINAggCCAIIAggCCAIIAggCCAIIAggCCAIIAggCCAIIAggCCAIVAgMCPwIeAAQtAQICAlkCBAIFAgYCBwIIAgkCHwILAgwCDQIIAggCCAIIAggCCAIIAggCCAIIAggCCAIIAggCCAIIAggCFQIDAncCHgAELQECAgJPAgQCBQIGAgcCCAIJAhwCCwIMAg0CCAIIAggCCAIIAggCCAIIAggCCAIIAggCCAIIAggCCAIIAhUCAwJ/Ah4ABC0BAgICgQIEAgUCBgIHAggCCQIKAgsCDAINAggCCAIIAggCCAIIAggCCAIIAggCCAJ6AAAEAAgCCAIIAggCCAIIAhUCAwKMAh4ABC0BAgICXwIEAgUCBgIHAggCCQIKAgsCDAINAggCCAIIAggCCAIIAggCCAIIAggCCAIIAggCCAIIAggCCAIVAgMCjwIeAAQtAQICAiUCBAIFAgYCBwIIAgkCHAILAgwCDQIIAggCCAIIAggCCAIIAggCCAIIAggCCAIIAggCCAIIAggCFQIDAiYCHgAELQECAgKNAgQCBQIGAgcCCAIJAgoCCwIMAg0CCAIIAggCCAIIAggCCAIIAggCCAIIAggCCAIIAggCCAIIAhUCAwKgAh4ABC0BAgICPQIEAgUCBgIHAggCCQIcAgsCDAINAggCCAIIAggCCAIIAggCCAIIAggCCAIIAggCCAIIAggCCAIVAgMCPgIeAAQtAQICAiMCBAIFAgYCBwIIAgkCHAILAgwCDQIIAggCCAIIAggCCAIIAggCCAIIAggCCAIIAggCCAIIAggCFQIDAiQCHgAELQECAgIvAgQCBQIGAgcCCAIJAhwCCwIMAg0CCAIIAggCCAIIAggCCAIIAggCCAIIAggCCAIIAggCCAIIAhUCAwIwAh4ABC0BAgICHgIEAgUCBgIHAggCCQIfAgsCDAINAggCCAIIAggCCAIIAggCCAIIAggCCAIIAggCCAIIAggCCAIVAgMCIAIeAAQtAQICAnUCBAIFAgYCBwIIAgkCCgILAgwCDQIIAggCCAIIAggCCAIIAggCCAIIAggCCAIIAggCCAIIAggCFQIDAnYCHgAELQECAgJVAgQCBQIGAgcCCAIJAhwCCwIMAg0CCAIIAggCCAIIAggCCAIIAggCCAIIAggCCAIIAggCCAIIAhUCAwIwAh4ABC0BAgICUwIEAgUCBgIHAggCCQIfAgsCDAINAggCCAIIAggCCAIIAggCCAIIAggCCAIIAggCCAIIAggCCAIVAgMCVAIeAAQtAQICAmECBAIFAgYCBwIIAgkCCgILAgwCDQIIAggCCAIIAggCCAIIAggCCAIIAggCCAIIAggCCAIIAggCFQIDApICHgAELQECAgIxAgQCBQIGAgcCCAIJAhwCCwIMAg0CCAIIAggCCAIIAggCCAIIAggCCAIIAggCCAIIAggCCAIIAhUCAwKTAh4ABC0BAgICRQIEAgUCBgIHAggCCQIfAgsCDAINAggCCAIIAggCCAIIAggCCAIIAggCCAIIAggCCAIIAggCCAIVAgMCRgIeAAQtAQICAisCBAIFAgYCBwIIAgkCHwILAgwCDQIIAggCCAIIAggCCAIIAggCCAIIAggCCAIIAggCCAIIAggCFQIDApoCHgAELQECAgIzAgQCBQIGAgcCCAIJAhwCCwJ6AAAEAAwCDQIIAggCCAIIAggCCAIIAggCCAIIAggCCAIIAggCCAIIAggCFQIDApgCHgAELQECAgIvAgQCBQIGAgcCCAIJAh8CCwIMAg0CCAIIAggCCAIIAggCCAIIAggCCAIIAggCCAIIAggCCAIIAhUCAwJ8Ah4ABC0BAgICXQIEAgUCBgIHAggCCQIKAgsCDAINAggCCAIIAggCCAIIAggCCAIIAggCCAIIAggCCAIIAggCCAIVAgMCXgIeAAQtAQICAogCBAIFAgYCBwIIAgkCHAILAgwCDQIIAggCCAIIAggCCAIIAggCCAIIAggCCAIIAggCCAIIAggCFQIDAqsCHgAELQECAgJZAgQCBQIGAgcCCAIJAgoCCwIMAg0CCAIIAggCCAIIAggCCAIIAggCCAIIAggCCAIIAggCCAIIAhUCAwJaAh4ABC0BAgICiAIEAgUCBgIHAggCCQIKAgsCDAINAggCCAIIAggCCAIIAggCCAIIAggCCAIIAggCCAIIAggCCAIVAgMCogIeAAQtAQICAhsCBAIFAgYCBwIIAgkCHwILAgwCDQIIAggCCAIIAggCCAIIAggCCAIIAggCCAIIAggCCAIIAggCFQIDAoUCHgAELQECAgJ1AgQCBQIGAgcCCAIJAhwCCwIMAg0CCAIIAggCCAIIAggCCAIIAggCCAIIAggCCAIIAggCCAIIAhUCAwKEAh4ABC0BAgICXwIEAgUCBgIHAggCCQIcAgsCDAINAggCCAIIAggCCAIIAggCCAIIAggCCAIIAggCCAIIAggCCAIVAgMCYAIeAAQtAQICAlECBAIFAgYCBwIIAgkCCgILAgwCDQIIAggCCAIIAggCCAIIAggCCAIIAggCCAIIAggCCAIIAggCFQIDAmMCHgAELQECAgIlAgQCBQIGAgcCCAIJAh8CCwIMAg0CCAIIAggCCAIIAggCCAIIAggCCAIIAggCCAIIAggCCAIIAhUCAwKfAh4ABC0BAgICQgIEAgUCBgIHAggCCQIfAgsCDAINAggCCAIIAggCCAIIAggCCAIIAggCCAIIAggCCAIIAggCCAIVAgMCawIeAAQtAQICAk0CBAIFAgYCBwIIAgkCHwILAgwCDQIIAggCCAIIAggCCAIIAggCCAIIAggCCAIIAggCCAIIAggCFQIDAn0CHgAELQECAgJHAgQCBQIGAgcCCAIJAh8CCwIMAg0CCAIIAggCCAIIAggCCAIIAggCCAIIAggCCAIIAggCCAIIAhUCAwJxAh4ABC0BAgICWQIEAgUCBgIHAggCCQIcAgsCDAINAggCCAIIAggCCAIIAggCCAIIAggCCAIIAggCCAIIAggCCAIVAgMCagJ6AAAEAB4ABC0BAgICYQIEAgUCBgIHAggCCQIcAgsCDAINAggCCAIIAggCCAIIAggCCAIIAggCCAIIAggCCAIIAggCCAIVAgMCYgIeAAQtAQICAjkCBAIFAgYCBwIIAgkCHwILAgwCDQIIAggCCAIIAggCCAIIAggCCAIIAggCCAIIAggCCAIIAggCFQIDAmwCHgAELQECAgI9AgQCBQIGAgcCCAIJAgoCCwIMAg0CCAIIAggCCAIIAggCCAIIAggCCAIIAggCCAIIAggCCAIIAhUCAwKWAh4ABC0BAgICVQIEAgUCBgIHAggCCQIfAgsCDAINAggCCAIIAggCCAIIAggCCAIIAggCCAIIAggCCAIIAggCCAIVAgMCfAIeAAQtAQICAgMCBAIFAgYCBwIIAgkCHwILAgwCDQIIAggCCAIIAggCCAIIAggCCAIIAggCCAIIAggCCAIIAggCFQIDAnMCHgAELQECAgJWAgQCBQIGAgcCCAIJAgoCCwIMAg0CCAIIAggCCAIIAggCCAIIAggCCAIIAggCCAIIAggCCAIIAhUCAwJyAh4ABC0BAgICIwIEAgUCBgIHAggCCQIfAgsCDAINAggCCAIIAggCCAIIAggCCAIIAggCCAIIAggCCAIIAggCCAIVAgMCqAIeAAQtAQICAjsCBAIFAgYCBwIIAgkCHAILAgwCDQIIAggCCAIIAggCCAIIAggCCAIIAggCCAIIAggCCAIIAggCFQIDAq4CHgAELQECAgKQAgQCBQIGAgcCCAIJAgoCCwIMAg0CCAIIAggCCAIIAggCCAIIAggCCAIIAggCCAIIAggCCAIIAhUCAwKZAh4ABC0BAgICbgIEAgUCBgIHAggCCQIcAgsCDAINAggCCAIIAggCCAIIAggCCAIIAggCCAIIAggCCAIIAggCCAIVAgMCbwIeAAQtAQICAmUCBAIFAgYCBwIIAgkCHAILAgwCDQIIAggCCAIIAggCCAIIAggCCAIIAggCCAIIAggCCAIIAggCFQIDAnQCHgAELQECAgJdAgQCBQIGAgcCCAIJAhwCCwIMAg0CCAIIAggCCAIIAggCCAIIAggCCAIIAggCCAIIAggCCAIIAhUCAwIwAh4ABC0BAgICTQIEAgUCBgIHAggCCQIcAgsCDAINAggCCAIIAggCCAIIAggCCAIIAggCCAIIAggCCAIIAggCCAIVAgMCTgIeAAQtAQICAkICBAIFAgYCBwIIAgkCHAILAgwCDQIIAggCCAIIAggCCAIIAggCCAIIAggCCAIIAggCCAIIAggCFQIDAksCHgAELQECAgItAgQCBQIGAgcCCAIJAh8CCwIMAg0CCAIIAggCCAIIAggCCAJ6AAAEAAgCCAIIAggCCAIIAggCCAIIAggCFQIDAi4CHgAELQECAgIpAgQCBQIGAgcCCAIJAh8CCwIMAg0CCAIIAggCCAIIAggCCAIIAggCCAIIAggCCAIIAggCCAIIAhUCAwIqAh4ABC0BAgICOQIEAgUCBgIHAggCCQIcAgsCDAINAggCCAIIAggCCAIIAggCCAIIAggCCAIIAggCCAIIAggCCAIVAgMCOgIeAAQtAQICAjECBAIFAgYCBwIIAgkCHwILAgwCDQIIAggCCAIIAggCCAIIAggCCAIIAggCCAIIAggCCAIIAggCFQIDAjICHgAELQECAgJJAgQCBQIGAgcCCAIJAgoCCwIMAg0CCAIIAggCCAIIAggCCAIIAggCCAIIAggCCAIIAggCCAIIAhUCAwJtAh4ABC0BAgICNwIEAgUCBgIHAggCCQIfAgsCDAINAggCCAIIAggCCAIIAggCCAIIAggCCAIIAggCCAIIAggCCAIVAgMCOAIeAAQtAQICAmUCBAIFAgYCBwIIAgkCCgILAgwCDQIIAggCCAIIAggCCAIIAggCCAIIAggCCAIIAggCCAIIAggCFQIDAooCHgAELQECAgI9AgQCBQIGAgcCCAIJAh8CCwIMAg0CCAIIAggCCAIIAggCCAIIAggCCAIIAggCCAIIAggCCAIIAhUCAwJ6Ah4ABC0BAgICHgIEAgUCBgIHAggCCQIcAgsCDAINAggCCAIIAggCCAIIAggCCAIIAggCCAIIAggCCAIIAggCCAIVAgMCgwIeAAQtAQICAjMCBAIFAgYCBwIIAgkCHwILAgwCDQIIAggCCAIIAggCCAIIAggCCAIIAggCCAIIAggCCAIIAggCFQIDAjQCHgAELQECAgI7AgQCBQIGAgcCCAIJAgoCCwIMAg0CCAIIAggCCAIIAggCCAIIAggCCAIIAggCCAIIAggCCAIIAhUCAwKGAh4ABC0BAgICUwIEAgUCBgIHAggCCQIcAgsCDAINAggCCAIIAggCCAIIAggCCAIIAggCCAIIAggCCAIIAggCCAIVAgMCaAIeAAQtAQICAjkCBAIFAgYCBwIIAgkCCgILAgwCDQIIAggCCAIIAggCCAIIAggCCAIIAggCCAIIAggCCAIIAggCFQIDAkwCHgAELQECAgJHAgQCBQIGAgcCCAIJAgoCCwIMAg0CCAIIAggCCAIIAggCCAIIAggCCAIIAggCCAIIAggCCAIIAhUCAwJIAh4ABC0BAgICTQIEAgUCBgIHAggCCQIKAgsCDAINAggCCAIIAggCCAIIAggCCAIIAggCCAIIAggCCAIIAggCCAIVAgMCZAIeAAQtAQICAkICBAIFAgYCBwJ6AAAEAAgCCQIKAgsCDAINAggCCAIIAggCCAIIAggCCAIIAggCCAIIAggCCAIIAggCCAIVAgMCQwIeAAQtAQICAogCBAIFAgYCBwIIAgkCHwILAgwCDQIIAggCCAIIAggCCAIIAggCCAIIAggCCAIIAggCCAIIAggCFQIDAokCHgAELQECAgJJAgQCBQIGAgcCCAIJAhwCCwIMAg0CCAIIAggCCAIIAggCCAIIAggCCAIIAggCCAIIAggCCAIIAhUCAwJ+Ah4ABC0BAgICVgIEAgUCBgIHAggCCQIcAgsCDAINAggCCAIIAggCCAIIAggCCAIIAggCCAIIAggCCAIIAggCCAIVAgMChwIeAAQtAQICAicCBAIFAgYCBwIIAgkCHAILAgwCDQIIAggCCAIIAggCCAIIAggCCAIIAggCCAIIAggCCAIIAggCFQIDAigCHgAELQECAgIDAgQCBQIGAgcCCAIJAgoCCwIMAg0CCAIIAggCCAIIAggCCAIIAggCCAIIAggCCAIIAggCCAIIAhUCAwIOAh4ABC0BAgICkAIEAgUCBgIHAggCCQIfAgsCDAINAggCCAIIAggCCAIIAggCCAIIAggCCAIIAggCCAIIAggCCAIVAgMCkQIeAAQtAQICAiECBAIFAgYCBwIIAgkCHAILAgwCDQIIAggCCAIIAggCCAIIAggCCAIIAggCCAIIAggCCAIIAggCFQIDAosCHgAELQECAgJPAgQCBQIGAgcCCAIJAh8CCwIMAg0CCAIIAggCCAIIAggCCAIIAggCCAIIAggCCAIIAggCCAIIAhUCAwJQAh4ABC0BAgICQAIEAgUCBgIHAggCCQIfAgsCDAINAggCCAIIAggCCAIIAggCCAIIAggCCAIIAggCCAIIAggCCAIVAgMCQQIeAAQtAQICAlECBAIFAgYCBwIIAgkCHAILAgwCDQIIAggCCAIIAggCCAIIAggCCAIIAggCCAIIAggCCAIIAggCFQIDAlICHgAELgEACTU2NjQwMzY0OAICAmUCBAIFAgYCBwIIAgkCHwILAgwCDQIIAggCCAIIAggCCAIIAggCCAIIAggCCAIIAggCCAIIAggCFwIDAmYCHgAELgECAgJAAgQCBQIGAgcCCAIJAh8CCwIMAg0CCAIIAggCCAIIAggCCAIIAggCCAIIAggCCAIIAggCCAIIAhcCAwJBAh4ABC4BAgICKwIEAgUCBgIHAggCCQIcAgsCDAINAggCCAIIAggCCAIIAggCCAIIAggCCAIIAggCCAIIAggCCAIXAgMCaQIeAAQuAQICAjcCBAIFAgYCBwIIAgkCCgILAgwCDQIIAggCCAIIAggCCAIIAggCCAIIAgh6AAAEAAIIAggCCAIIAggCCAIXAgMCRAIeAAQuAQICAgMCBAIFAgYCBwIIAgkCHAILAgwCDQIIAggCCAIIAggCCAIIAggCCAIIAggCCAIIAggCCAIIAggCFwIDAjUCHgAELgECAgIzAgQCBQIGAgcCCAIJAgoCCwIMAg0CCAIIAggCCAIIAggCCAIIAggCCAIIAggCCAIIAggCCAIIAhcCAwKmAh4ABC4BAgICRwIEAgUCBgIHAggCCQIcAgsCDAINAggCCAIIAggCCAIIAggCCAIIAggCCAIIAggCCAIIAggCCAIXAgMCngIeAAQuAQICAkcCBAIFAgYCBwIIAgkCCgILAgwCDQIIAggCCAIIAggCCAIIAggCCAIIAggCCAIIAggCCAIIAggCFwIDAkgCHgAELgECAgIrAgQCBQIGAgcCCAIJAgoCCwIMAg0CCAIIAggCCAIIAggCCAIIAggCCAIIAggCCAIIAggCCAIIAhcCAwIsAh4ABC4BAgICjQIEAgUCBgIHAggCCQIfAgsCDAINAggCCAIIAggCCAIIAggCCAIIAggCCAIIAggCCAIIAggCCAIXAgMCpwIeAAQuAQICAjECBAIFAgYCBwIIAgkCCgILAgwCDQIIAggCCAIIAggCCAIIAggCCAIIAggCCAIIAggCCAIIAggCFwIDAp0CHgAELgECAgIlAgQCBQIGAgcCCAIJAhwCCwIMAg0CCAIIAggCCAIIAggCCAIIAggCCAIIAggCCAIIAggCCAIIAhcCAwImAh4ABC4BAgICbgIEAgUCBgIHAggCCQIfAgsCDAINAggCCAIIAggCCAIIAggCCAIIAggCCAIIAggCCAIIAggCCAIXAgMCoQIeAAQuAQICAlUCBAIFAgYCBwIIAgkCCgILAgwCDQIIAggCCAIIAggCCAIIAggCCAIIAggCCAIIAggCCAIIAggCFwIDAl4CHgAELgECAgIvAgQCBQIGAgcCCAIJAhwCCwIMAg0CCAIIAggCCAIIAggCCAIIAggCCAIIAggCCAIIAggCCAIIAhcCAwIwAh4ABC4BAgICOwIEAgUCBgIHAggCCQIfAgsCDAINAggCCAIIAggCCAIIAggCCAIIAggCCAIIAggCCAIIAggCCAIXAgMCPAIeAAQuAQICAkUCBAIFAgYCBwIIAgkCCgILAgwCDQIIAggCCAIIAggCCAIIAggCCAIIAggCCAIIAggCCAIIAggCFwIDAmcCHgAELgECAgIDAgQCBQIGAgcCCAIJAgoCCwIMAg0CCAIIAggCCAIIAggCCAIIAggCCAIIAggCCAIIAggCCAIIAhcCAwIOAh4ABC4BAgICVQIEAgUCBgIHAggCCQIcAgt6AAAEAAIMAg0CCAIIAggCCAIIAggCCAIIAggCCAIIAggCCAIIAggCCAIIAhcCAwIwAh4ABC4BAgICIwIEAgUCBgIHAggCCQIcAgsCDAINAggCCAIIAggCCAIIAggCCAIIAggCCAIIAggCCAIIAggCCAIXAgMCJAIeAAQuAQICAicCBAIFAgYCBwIIAgkCHwILAgwCDQIIAggCCAIIAggCCAIIAggCCAIIAggCCAIIAggCCAIIAggCFwIDAigCHgAELgECAgIxAgQCBQIGAgcCCAIJAhwCCwIMAg0CCAIIAggCCAIIAggCCAIIAggCCAIIAggCCAIIAggCCAIIAhcCAwKTAh4ABC4BAgICVgIEAgUCBgIHAggCCQIfAgsCDAINAggCCAIIAggCCAIIAggCCAIIAggCCAIIAggCCAIIAggCCAIXAgMCVwIeAAQuAQICAlMCBAIFAgYCBwIIAgkCHwILAgwCDQIIAggCCAIIAggCCAIIAggCCAIIAggCCAIIAggCCAIIAggCFwIDAlQCHgAELgECAgIhAgQCBQIGAgcCCAIJAh8CCwIMAg0CCAIIAggCCAIIAggCCAIIAggCCAIIAggCCAIIAggCCAIIAhcCAwIiAh4ABC4BAgICLQIEAgUCBgIHAggCCQIKAgsCDAINAggCCAIIAggCCAIIAggCCAIIAggCCAIIAggCCAIIAggCCAIXAgMCmwIeAAQuAQICAjMCBAIFAgYCBwIIAgkCHAILAgwCDQIIAggCCAIIAggCCAIIAggCCAIIAggCCAIIAggCCAIIAggCFwIDApgCHgAELgECAgJCAgQCBQIGAgcCCAIJAhwCCwIMAg0CCAIIAggCCAIIAggCCAIIAggCCAIIAggCCAIIAggCCAIIAhcCAwJLAh4ABC4BAgICTQIEAgUCBgIHAggCCQIcAgsCDAINAggCCAIIAggCCAIIAggCCAIIAggCCAIIAggCCAIIAggCCAIXAgMCTgIeAAQuAQICAoECBAIFAgYCBwIIAgkCCgILAgwCDQIIAggCCAIIAggCCAIIAggCCAIIAggCCAIIAggCCAIIAggCFwIDAowCHgAELgECAgJJAgQCBQIGAgcCCAIJAh8CCwIMAg0CCAIIAggCCAIIAggCCAIIAggCCAIIAggCCAIIAggCCAIIAhcCAwJKAh4ABC4BAgICTwIEAgUCBgIHAggCCQIfAgsCDAINAggCCAIIAggCCAIIAggCCAIIAggCCAIIAggCCAIIAggCCAIXAgMCUAIeAAQuAQICAh4CBAIFAgYCBwIIAgkCHwILAgwCDQIIAggCCAIIAggCCAIIAggCCAIIAggCCAIIAggCCAIIAggCFwIDAiB6AAAEAAIeAAQuAQICAikCBAIFAgYCBwIIAgkCCgILAgwCDQIIAggCCAIIAggCCAIIAggCCAIIAggCCAIIAggCCAIIAggCFwIDApUCHgAELgECAgJVAgQCBQIGAgcCCAIJAh8CCwIMAg0CCAIIAggCCAIIAggCCAIIAggCCAIIAggCCAIIAggCCAIIAhcCAwJ8Ah4ABC4BAgICkAIEAgUCBgIHAggCCQIcAgsCDAINAggCCAIIAggCCAIIAggCCAIIAggCCAIIAggCCAIIAggCCAIXAgMCowIeAAQuAQICAjsCBAIFAgYCBwIIAgkCCgILAgwCDQIIAggCCAIIAggCCAIIAggCCAIIAggCCAIIAggCCAIIAggCFwIDAoYCHgAELgECAgJAAgQCBQIGAgcCCAIJAgoCCwIMAg0CCAIIAggCCAIIAggCCAIIAggCCAIIAggCCAIIAggCCAIIAhcCAwKkAh4ABC4BAgICPQIEAgUCBgIHAggCCQIcAgsCDAINAggCCAIIAggCCAIIAggCCAIIAggCCAIIAggCCAIIAggCCAIXAgMCPgIeAAQuAQICAjMCBAIFAgYCBwIIAgkCHwILAgwCDQIIAggCCAIIAggCCAIIAggCCAIIAggCCAIIAggCCAIIAggCFwIDAjQCHgAELgECAgJFAgQCBQIGAgcCCAIJAh8CCwIMAg0CCAIIAggCCAIIAggCCAIIAggCCAIIAggCCAIIAggCCAIIAhcCAwJGAh4ABC4BAgICTwIEAgUCBgIHAggCCQIKAgsCDAINAggCCAIIAggCCAIIAggCCAIIAggCCAIIAggCCAIIAggCCAIXAgMCpQIeAAQuAQICAmUCBAIFAgYCBwIIAgkCCgILAgwCDQIIAggCCAIIAggCCAIIAggCCAIIAggCCAIIAggCCAIIAggCFwIDAooCHgAELgECAgIpAgQCBQIGAgcCCAIJAhwCCwIMAg0CCAIIAggCCAIIAggCCAIIAggCCAIIAggCCAIIAggCCAIIAhcCAwKcAh4ABC4BAgICXQIEAgUCBgIHAggCCQIfAgsCDAINAggCCAIIAggCCAIIAggCCAIIAggCCAIIAggCCAIIAggCCAIXAgMCfAIeAAQuAQICAjkCBAIFAgYCBwIIAgkCHAILAgwCDQIIAggCCAIIAggCCAIIAggCCAIIAggCCAIIAggCCAIIAggCFwIDAjoCHgAELgECAgIxAgQCBQIGAgcCCAIJAh8CCwIMAg0CCAIIAggCCAIIAggCCAIIAggCCAIIAggCCAIIAggCCAIIAhcCAwIyAh4ABC4BAgICjQIEAgUCBgIHAggCCQIKAgsCDAINAggCCAIIAggCCAIIAgh6AAAEAAIIAggCCAIIAggCCAIIAggCCAIIAhcCAwKgAh4ABC4BAgICIwIEAgUCBgIHAggCCQIKAgsCDAINAggCCAIIAggCCAIIAggCCAIIAggCCAIIAggCCAIIAggCCAIXAgMCNgIeAAQuAQICAj0CBAIFAgYCBwIIAgkCCgILAgwCDQIIAggCCAIIAggCCAIIAggCCAIIAggCCAIIAggCCAIIAggCFwIDApYCHgAELgECAgI3AgQCBQIGAgcCCAIJAhwCCwIMAg0CCAIIAggCCAIIAggCCAIIAggCCAIIAggCCAIIAggCCAIIAhcCAwKXAh4ABC4BAgICOwIEAgUCBgIHAggCCQIcAgsCDAINAggCCAIIAggCCAIIAggCCAIIAggCCAIIAggCCAIIAggCCAIXAgMCrgIeAAQuAQICApACBAIFAgYCBwIIAgkCCgILAgwCDQIIAggCCAIIAggCCAIIAggCCAIIAggCCAIIAggCCAIIAggCFwIDApkCHgAELgECAgJAAgQCBQIGAgcCCAIJAhwCCwIMAg0CCAIIAggCCAIIAggCCAIIAggCCAIIAggCCAIIAggCCAIIAhcCAwJ7Ah4ABC4BAgICTwIEAgUCBgIHAggCCQIcAgsCDAINAggCCAIIAggCCAIIAggCCAIIAggCCAIIAggCCAIIAggCCAIXAgMCfwIeAAQuAQICAlkCBAIFAgYCBwIIAgkCHwILAgwCDQIIAggCCAIIAggCCAIIAggCCAIIAggCCAIIAggCCAIIAggCFwIDAncCHgAELgECAgJlAgQCBQIGAgcCCAIJAhwCCwIMAg0CCAIIAggCCAIIAggCCAIIAggCCAIIAggCCAIIAggCCAIIAhcCAwJ0Ah4ABC4BAgICJQIEAgUCBgIHAggCCQIKAgsCDAINAggCCAIIAggCCAIIAggCCAIIAggCCAIIAggCCAIIAggCCAIXAgMCqgIeAAQuAQICAi8CBAIFAgYCBwIIAgkCCgILAgwCDQIIAggCCAIIAggCCAIIAggCCAIIAggCCAIIAggCCAIIAggCFwIDAl4CHgAELgECAgItAgQCBQIGAgcCCAIJAhwCCwIMAg0CCAIIAggCCAIIAggCCAIIAggCCAIIAggCCAIIAggCCAIIAhcCAwKpAh4ABC4BAgICYQIEAgUCBgIHAggCCQIfAgsCDAINAggCCAIIAggCCAIIAggCCAIIAggCCAIIAggCCAIIAggCCAIXAgMCeAIeAAQuAQICAogCBAIFAgYCBwIIAgkCHAILAgwCDQIIAggCCAIIAggCCAIIAggCCAIIAggCCAIIAggCCAIIAggCFwIDAqsCHgAELgECAgKBAgQCBQIGAgd6AAAEAAIIAgkCHwILAgwCDQIIAggCCAIIAggCCAIIAggCCAIIAggCCAIIAggCCAIIAggCFwIDAq0CHgAELgECAgJfAgQCBQIGAgcCCAIJAh8CCwIMAg0CCAIIAggCCAIIAggCCAIIAggCCAIIAggCCAIIAggCCAIIAhcCAwKsAh4ABC4BAgICdQIEAgUCBgIHAggCCQIfAgsCDAINAggCCAIIAggCCAIIAggCCAIIAggCCAIIAggCCAIIAggCCAIXAgMClAIeAAQuAQICAogCBAIFAgYCBwIIAgkCCgILAgwCDQIIAggCCAIIAggCCAIIAggCCAIIAggCCAIIAggCCAIIAggCFwIDAqICHgAELgECAgIbAgQCBQIGAgcCCAIJAh8CCwIMAg0CCAIIAggCCAIIAggCCAIIAggCCAIIAggCCAIIAggCCAIIAhcCAwKFAh4ABC4BAgICIwIEAgUCBgIHAggCCQIfAgsCDAINAggCCAIIAggCCAIIAggCCAIIAggCCAIIAggCCAIIAggCCAIXAgMCqAIeAAQuAQICAl8CBAIFAgYCBwIIAgkCHAILAgwCDQIIAggCCAIIAggCCAIIAggCCAIIAggCCAIIAggCCAIIAggCFwIDAmACHgAELgECAgIlAgQCBQIGAgcCCAIJAh8CCwIMAg0CCAIIAggCCAIIAggCCAIIAggCCAIIAggCCAIIAggCCAIIAhcCAwKfAh4ABC4BAgICUQIEAgUCBgIHAggCCQIKAgsCDAINAggCCAIIAggCCAIIAggCCAIIAggCCAIIAggCCAIIAggCCAIXAgMCYwIeAAQuAQICAkkCBAIFAgYCBwIIAgkCHAILAgwCDQIIAggCCAIIAggCCAIIAggCCAIIAggCCAIIAggCCAIIAggCFwIDAn4CHgAELgECAgJNAgQCBQIGAgcCCAIJAh8CCwIMAg0CCAIIAggCCAIIAggCCAIIAggCCAIIAggCCAIIAggCCAIIAhcCAwJ9Ah4ABC4BAgICdQIEAgUCBgIHAggCCQIcAgsCDAINAggCCAIIAggCCAIIAggCCAIIAggCCAIIAggCCAIIAggCCAIXAgMChAIeAAQuAQICAlYCBAIFAgYCBwIIAgkCHAILAgwCDQIIAggCCAIIAggCCAIIAggCCAIIAggCCAIIAggCCAIIAggCFwIDAocCHgAELgECAgJ1AgQCBQIGAgcCCAIJAgoCCwIMAg0CCAIIAggCCAIIAggCCAIIAggCCAIIAggCCAIIAggCCAIIAhcCAwJ2Ah4ABC4BAgICkAIEAgUCBgIHAggCCQIfAgsCDAINAggCCAIIAggCCAIIAggCCAIIAggCCAIIAggCCAIIAgh6AAAEAAIIAhcCAwKRAh4ABC4BAgICUQIEAgUCBgIHAggCCQIcAgsCDAINAggCCAIIAggCCAIIAggCCAIIAggCCAIIAggCCAIIAggCCAIXAgMCUgIeAAQuAQICAisCBAIFAgYCBwIIAgkCHwILAgwCDQIIAggCCAIIAggCCAIIAggCCAIIAggCCAIIAggCCAIIAggCFwIDApoCHgAELgECAgJuAgQCBQIGAgcCCAIJAgoCCwIMAg0CCAIIAggCCAIIAggCCAIIAggCCAIIAggCCAIIAggCCAIIAhcCAwJ5Ah4ABC4BAgICXQIEAgUCBgIHAggCCQIKAgsCDAINAggCCAIIAggCCAIIAggCCAIIAggCCAIIAggCCAIIAggCCAIXAgMCXgIeAAQuAQICAj0CBAIFAgYCBwIIAgkCHwILAgwCDQIIAggCCAIIAggCCAIIAggCCAIIAggCCAIIAggCCAIIAggCFwIDAnoCHgAELgECAgJfAgQCBQIGAgcCCAIJAgoCCwIMAg0CCAIIAggCCAIIAggCCAIIAggCCAIIAggCCAIIAggCCAIIAhcCAwKPAh4ABC4BAgICjQIEAgUCBgIHAggCCQIcAgsCDAINAggCCAIIAggCCAIIAggCCAIIAggCCAIIAggCCAIIAggCCAIXAgMCjgIeAAQuAQICAjkCBAIFAgYCBwIIAgkCCgILAgwCDQIIAggCCAIIAggCCAIIAggCCAIIAggCCAIIAggCCAIIAggCFwIDAkwCHgAELgECAgIvAgQCBQIGAgcCCAIJAh8CCwIMAg0CCAIIAggCCAIIAggCCAIIAggCCAIIAggCCAIIAggCCAIIAhcCAwJ8Ah4ABC4BAgICYQIEAgUCBgIHAggCCQIKAgsCDAINAggCCAIIAggCCAIIAggCCAIIAggCCAIIAggCCAIIAggCCAIXAgMCkgIeAAQuAQICAlkCBAIFAgYCBwIIAgkCCgILAgwCDQIIAggCCAIIAggCCAIIAggCCAIIAggCCAIIAggCCAIIAggCFwIDAloCHgAELgECAgIeAgQCBQIGAgcCCAIJAhwCCwIMAg0CCAIIAggCCAIIAggCCAIIAggCCAIIAggCCAIIAggCCAIIAhcCAwKDAh4ABC4BAgICNwIEAgUCBgIHAggCCQIfAgsCDAINAggCCAIIAggCCAIIAggCCAIIAggCCAIIAggCCAIIAggCCAIXAgMCOAIeAAQuAQICAogCBAIFAgYCBwIIAgkCHwILAgwCDQIIAggCCAIIAggCCAIIAggCCAIIAggCCAIIAggCCAIIAggCFwIDAokCHgAELgECAgKBAgQCBQIGAgcCCAIJAhwCCwIMAg0CCAIIAgh6AAAEAAIIAggCCAIIAggCCAIIAggCCAIIAggCCAIIAggCFwIDAoICHgAELgECAgIhAgQCBQIGAgcCCAIJAhwCCwIMAg0CCAIIAggCCAIIAggCCAIIAggCCAIIAggCCAIIAggCCAIIAhcCAwKLAh4ABC4BAgICGwIEAgUCBgIHAggCCQIKAgsCDAINAggCCAIIAggCCAIIAggCCAIIAggCCAIIAggCCAIIAggCCAIXAgMCPwIeAAQuAQICAlMCBAIFAgYCBwIIAgkCHAILAgwCDQIIAggCCAIIAggCCAIIAggCCAIIAggCCAIIAggCCAIIAggCFwIDAmgCHgAELgECAgItAgQCBQIGAgcCCAIJAh8CCwIMAg0CCAIIAggCCAIIAggCCAIIAggCCAIIAggCCAIIAggCCAIIAhcCAwIuAh4ABC4BAgICWQIEAgUCBgIHAggCCQIcAgsCDAINAggCCAIIAggCCAIIAggCCAIIAggCCAIIAggCCAIIAggCCAIXAgMCagIeAAQuAQICAkICBAIFAgYCBwIIAgkCCgILAgwCDQIIAggCCAIIAggCCAIIAggCCAIIAggCCAIIAggCCAIIAggCFwIDAkMCHgAELgECAgJNAgQCBQIGAgcCCAIJAgoCCwIMAg0CCAIIAggCCAIIAggCCAIIAggCCAIIAggCCAIIAggCCAIIAhcCAwJkAh4ABC4BAgICUQIEAgUCBgIHAggCCQIfAgsCDAINAggCCAIIAggCCAIIAggCCAIIAggCCAIIAggCCAIIAggCCAIXAgMCgAIeAAQuAQICAmECBAIFAgYCBwIIAgkCHAILAgwCDQIIAggCCAIIAggCCAIIAggCCAIIAggCCAIIAggCCAIIAggCFwIDAmICHgAELgECAgInAgQCBQIGAgcCCAIJAhwCCwIMAg0CCAIIAggCCAIIAggCCAIIAggCCAIIAggCCAIIAggCCAIIAhcCAwIoAh4ABC4BAgICIQIEAgUCBgIHAggCCQIKAgsCDAINAggCCAIIAggCCAIIAggCCAIIAggCCAIIAggCCAIIAggCCAIXAgMCWAIeAAQuAQICAicCBAIFAgYCBwIIAgkCCgILAgwCDQIIAggCCAIIAggCCAIIAggCCAIIAggCCAIIAggCCAIIAggCFwIDAigCHgAELgECAgJWAgQCBQIGAgcCCAIJAgoCCwIMAg0CCAIIAggCCAIIAggCCAIIAggCCAIIAggCCAIIAggCCAIIAhcCAwJyAh4ABC4BAgICGwIEAgUCBgIHAggCCQIcAgsCDAINAggCCAIIAggCCAIIAggCCAIIAggCCAIIAggCCAIIAggCCAIXAgMCHQIeAAQuAQICAlN6AAAEAAIEAgUCBgIHAggCCQIKAgsCDAINAggCCAIIAggCCAIIAggCCAIIAggCCAIIAggCCAIIAggCCAIXAgMCXAIeAAQuAQICAh4CBAIFAgYCBwIIAgkCCgILAgwCDQIIAggCCAIIAggCCAIIAggCCAIIAggCCAIIAggCCAIIAggCFwIDAnACHgAELgECAgIpAgQCBQIGAgcCCAIJAh8CCwIMAg0CCAIIAggCCAIIAggCCAIIAggCCAIIAggCCAIIAggCCAIIAhcCAwIqAh4ABC4BAgICXQIEAgUCBgIHAggCCQIcAgsCDAINAggCCAIIAggCCAIIAggCCAIIAggCCAIIAggCCAIIAggCCAIXAgMCMAIeAAQuAQICAkICBAIFAgYCBwIIAgkCHwILAgwCDQIIAggCCAIIAggCCAIIAggCCAIIAggCCAIIAggCCAIIAggCFwIDAmsCHgAELgECAgJuAgQCBQIGAgcCCAIJAhwCCwIMAg0CCAIIAggCCAIIAggCCAIIAggCCAIIAggCCAIIAggCCAIIAhcCAwJvAh4ABC4BAgICRwIEAgUCBgIHAggCCQIfAgsCDAINAggCCAIIAggCCAIIAggCCAIIAggCCAIIAggCCAIIAggCCAIXAgMCcQIeAAQuAQICAkUCBAIFAgYCBwIIAgkCHAILAgwCDQIIAggCCAIIAggCCAIIAggCCAIIAggCCAIIAggCCAIIAggCFwIDAlsCHgAELgECAgIDAgQCBQIGAgcCCAIJAh8CCwIMAg0CCAIIAggCCAIIAggCCAIIAggCCAIIAggCCAIIAggCCAIIAhcCAwJzAh4ABC4BAgICSQIEAgUCBgIHAggCCQIKAgsCDAINAggCCAIIAggCCAIIAggCCAIIAggCCAIIAggCCAIIAggCCAIXAgMCbQIeAAQuAQICAjkCBAIFAgYCBwIIAgkCHwILAgwCDQIIAggCCAIIAggCCAIIAggCCAIIAggCCAIIAggCCAIIAggCFwIDAmwCHgAELwEACTI5MTY2OTk1MgICAogCBAIFAgYCBwIIAgkCCgILAgwCDQIIAggCCAIIAggCCAIIAggCCAIIAggCCAIIAggCCAIIAggCHwIDAqICHgAELwECAgIbAgQCBQIGAgcCCAIJAh8CCwIMAg0CCAIIAggCCAIIAggCCAIIAggCCAIIAggCCAIIAggCCAIIAh8CAwKFAh4ABC8BAgICIwIEAgUCBgIHAggCCQIfAgsCDAINAggCCAIIAggCCAIIAggCCAIIAggCCAIIAggCCAIIAggCCAIfAgMCqAIeAAQvAQICAlECBAIFAgYCBwIIAgkCCgILAgwCDQIIAggCCAIIAggCCAJ6AAAEAAgCCAIIAggCCAIIAggCCAIIAggCCAIfAgMCYwIeAAQvAQICAkICBAIFAgYCBwIIAgkCHwILAgwCDQIIAggCCAIIAggCCAIIAggCCAIIAggCCAIIAggCCAIIAggCHwIDAmsCHgAELwECAgJfAgQCBQIGAgcCCAIJAgoCCwIMAg0CCAIIAggCCAIIAggCCAIIAggCCAIIAggCCAIIAggCCAIIAh8CAwKPAh4ABC8BAgICJQIEAgUCBgIHAggCCQIfAgsCDAINAggCCAIIAggCCAIIAggCCAIIAggCCAIIAggCCAIIAggCCAIfAgMCnwIeAAQvAQICAm4CBAIFAgYCBwIIAgkCHAILAgwCDQIIAggCCAIIAggCCAIIAggCCAIIAggCCAIIAggCCAIIAggCHwIDAm8CHgAELwECAgIvAgQCBQIGAgcCCAIJAh8CCwIMAg0CCAIIAggCCAIIAggCCAIIAggCCAIIAggCCAIIAggCCAIIAh8CAwJ8Ah4ABC8BAgICiAIEAgUCBgIHAggCCQIcAgsCDAINAggCCAIIAggCCAIIAggCCAIIAggCCAIIAggCCAIIAggCCAIfAgMCqwIeAAQvAQICAmECBAIFAgYCBwIIAgkCCgILAgwCDQIIAggCCAIIAggCCAIIAggCCAIIAggCCAIIAggCCAIIAggCHwIDApICHgAELwECAgJWAgQCBQIGAgcCCAIJAgoCCwIMAg0CCAIIAggCCAIIAggCCAIIAggCCAIIAggCCAIIAggCCAIIAh8CAwJyAh4ABC8BAgICkAIEAgUCBgIHAggCCQIfAgsCDAINAggCCAIIAggCCAIIAggCCAIIAggCCAIIAggCCAIIAggCCAIfAgMCkQIeAAQvAQICAgMCBAIFAgYCBwIIAgkCHwILAgwCDQIIAggCCAIIAggCCAIIAggCCAIIAggCCAIIAggCCAIIAggCHwIDAnMCHgAELwECAgI5AgQCBQIGAgcCCAIJAh8CCwIMAg0CCAIIAggCCAIIAggCCAIIAggCCAIIAggCCAIIAggCCAIIAh8CAwJsAh4ABC8BAgICZQIEAgUCBgIHAggCCQIcAgsCDAINAggCCAIIAggCCAIIAggCCAIIAggCCAIIAggCCAIIAggCCAIfAgMCdAIeAAQvAQICAjsCBAIFAgYCBwIIAgkCHAILAgwCDQIIAggCCAIIAggCCAIIAggCCAIIAggCCAIIAggCCAIIAggCHwIDAq4CHgAELwECAgJZAgQCBQIGAgcCCAIJAgoCCwIMAg0CCAIIAggCCAIIAggCCAIIAggCCAIIAggCCAIIAggCCAIIAh8CAwJaAh4ABC8BAgICkAIEAgUCBgJ6AAAEAAcCCAIJAgoCCwIMAg0CCAIIAggCCAIIAggCCAIIAggCCAIIAggCCAIIAggCCAIIAh8CAwKZAh4ABC8BAgICXQIEAgUCBgIHAggCCQIKAgsCDAINAggCCAIIAggCCAIIAggCCAIIAggCCAIIAggCCAIIAggCCAIfAgMCXgIeAAQvAQICAj0CBAIFAgYCBwIIAgkCHwILAgwCDQIIAggCCAIIAggCCAIIAggCCAIIAggCCAIIAggCCAIIAggCHwIDAnoCHgAELwECAgJuAgQCBQIGAgcCCAIJAgoCCwIMAg0CCAIIAggCCAIIAggCCAIIAggCCAIIAggCCAIIAggCCAIIAh8CAwJ5Ah4ABC8BAgICWQIEAgUCBgIHAggCCQIcAgsCDAINAggCCAIIAggCCAIIAggCCAIIAggCCAIIAggCCAIIAggCCAIfAgMCagIeAAQvAQICAl8CBAIFAgYCBwIIAgkCHAILAgwCDQIIAggCCAIIAggCCAIIAggCCAIIAggCCAIIAggCCAIIAggCHwIDAmACHgAELwECAgKBAgQCBQIGAgcCCAIJAhwCCwIMAg0CCAIIAggCCAIIAggCCAIIAggCCAIIAggCCAIIAggCCAIIAh8CAwKCAh4ABC8BAgICTQIEAgUCBgIHAggCCQIfAgsCDAINAggCCAIIAggCCAIIAggCCAIIAggCCAIIAggCCAIIAggCCAIfAgMCfQIeAAQvAQICAlECBAIFAgYCBwIIAgkCHwILAgwCDQIIAggCCAIIAggCCAIIAggCCAIIAggCCAIIAggCCAIIAggCHwIDAoACHgAELwECAgJ1AgQCBQIGAgcCCAIJAhwCCwIMAg0CCAIIAggCCAIIAggCCAIIAggCCAIIAggCCAIIAggCCAIIAh8CAwKEAh4ABC8BAgICYQIEAgUCBgIHAggCCQIcAgsCDAINAggCCAIIAggCCAIIAggCCAIIAggCCAIIAggCCAIIAggCCAIfAgMCYgIeAAQvAQICAj0CBAIFAgYCBwIIAgkCHAILAgwCDQIIAggCCAIIAggCCAIIAggCCAIIAggCCAIIAggCCAIIAggCHwIDAj4CHgAELwECAgKQAgQCBQIGAgcCCAIJAhwCCwIMAg0CCAIIAggCCAIIAggCCAIIAggCCAIIAggCCAIIAggCCAIIAh8CAwKjAh4ABC8BAgICVQIEAgUCBgIHAggCCQIfAgsCDAINAggCCAIIAggCCAIIAggCCAIIAggCCAIIAggCCAIIAggCCAIfAgMCfAIeAAQvAQICAkACBAIFAgYCBwIIAgkCCgILAgwCDQIIAggCCAIIAggCCAIIAggCCAIIAggCCAIIAggCCAJ6AAAEAAgCCAIfAgMCpAIeAAQvAQICAkUCBAIFAgYCBwIIAgkCHwILAgwCDQIIAggCCAIIAggCCAIIAggCCAIIAggCCAIIAggCCAIIAggCHwIDAkYCHgAELwECAgIbAgQCBQIGAgcCCAIJAgoCCwIMAg0CCAIIAggCCAIIAggCCAIIAggCCAIIAggCCAIIAggCCAIIAh8CAwI/Ah4ABC8BAgICTwIEAgUCBgIHAggCCQIKAgsCDAINAggCCAIIAggCCAIIAggCCAIIAggCCAIIAggCCAIIAggCCAIfAgMCpQIeAAQvAQICAoECBAIFAgYCBwIIAgkCCgILAgwCDQIIAggCCAIIAggCCAIIAggCCAIIAggCCAIIAggCCAIIAggCHwIDAowCHgAELwECAgKNAgQCBQIGAgcCCAIJAhwCCwIMAg0CCAIIAggCCAIIAggCCAIIAggCCAIIAggCCAIIAggCCAIIAh8CAwKOAh4ABC8BAgICJQIEAgUCBgIHAggCCQIKAgsCDAINAggCCAIIAggCCAIIAggCCAIIAggCCAIIAggCCAIIAggCCAIfAgMCqgIeAAQvAQICAi0CBAIFAgYCBwIIAgkCHAILAgwCDQIIAggCCAIIAggCCAIIAggCCAIIAggCCAIIAggCCAIIAggCHwIDAqkCHgAELwECAgJhAgQCBQIGAgcCCAIJAh8CCwIMAg0CCAIIAggCCAIIAggCCAIIAggCCAIIAggCCAIIAggCCAIIAh8CAwJ4Ah4ABC8BAgICMQIEAgUCBgIHAggCCQIcAgsCDAINAggCCAIIAggCCAIIAggCCAIIAggCCAIIAggCCAIIAggCCAIfAgMCkwIeAAQvAQICAl8CBAIFAgYCBwIIAgkCHwILAgwCDQIIAggCCAIIAggCCAIIAggCCAIIAggCCAIIAggCCAIIAggCHwIDAqwCHgAELwECAgIvAgQCBQIGAgcCCAIJAgoCCwIMAg0CCAIIAggCCAIIAggCCAIIAggCCAIIAggCCAIIAggCCAIIAh8CAwJeAh4ABC8BAgICPQIEAgUCBgIHAggCCQIKAgsCDAINAggCCAIIAggCCAIIAggCCAIIAggCCAIIAggCCAIIAggCCAIfAgMClgIeAAQvAQICAnUCBAIFAgYCBwIIAgkCCgILAgwCDQIIAggCCAIIAggCCAIIAggCCAIIAggCCAIIAggCCAIIAggCHwIDAnYCHgAELwECAgJTAgQCBQIGAgcCCAIJAh8CCwIMAg0CCAIIAggCCAIIAggCCAIIAggCCAIIAggCCAIIAggCCAIIAh8CAwJUAh4ABC8BAgICQAIEAgUCBgIHAggCCQIcAgsCDAINAggCCAJ6AAAEAAgCCAIIAggCCAIIAggCCAIIAggCCAIIAggCCAIIAh8CAwJ7Ah4ABC8BAgICMwIEAgUCBgIHAggCCQIcAgsCDAINAggCCAIIAggCCAIIAggCCAIIAggCCAIIAggCCAIIAggCCAIfAgMCmAIeAAQvAQICAk8CBAIFAgYCBwIIAgkCHAILAgwCDQIIAggCCAIIAggCCAIIAggCCAIIAggCCAIIAggCCAIIAggCHwIDAn8CHgAELwECAgIrAgQCBQIGAgcCCAIJAh8CCwIMAg0CCAIIAggCCAIIAggCCAIIAggCCAIIAggCCAIIAggCCAIIAh8CAwKaAh4ABC8BAgICWQIEAgUCBgIHAggCCQIfAgsCDAINAggCCAIIAggCCAIIAggCCAIIAggCCAIIAggCCAIIAggCCAIfAgMCdwIeAAQvAQICAl0CBAIFAgYCBwIIAgkCHwILAgwCDQIIAggCCAIIAggCCAIIAggCCAIIAggCCAIIAggCCAIIAggCHwIDAnwCHgAELwECAgIlAgQCBQIGAgcCCAIJAhwCCwIMAg0CCAIIAggCCAIIAggCCAIIAggCCAIIAggCCAIIAggCCAIIAh8CAwImAh4ABC8BAgICbgIEAgUCBgIHAggCCQIfAgsCDAINAggCCAIIAggCCAIIAggCCAIIAggCCAIIAggCCAIIAggCCAIfAgMCoQIeAAQvAQICAjECBAIFAgYCBwIIAgkCCgILAgwCDQIIAggCCAIIAggCCAIIAggCCAIIAggCCAIIAggCCAIIAggCHwIDAp0CHgAELwECAgKNAgQCBQIGAgcCCAIJAgoCCwIMAg0CCAIIAggCCAIIAggCCAIIAggCCAIIAggCCAIIAggCCAIIAh8CAwKgAh4ABC8BAgICVQIEAgUCBgIHAggCCQIKAgsCDAINAggCCAIIAggCCAIIAggCCAIIAggCCAIIAggCCAIIAggCCAIfAgMCXgIeAAQvAQICAiMCBAIFAgYCBwIIAgkCCgILAgwCDQIIAggCCAIIAggCCAIIAggCCAIIAggCCAIIAggCCAIIAggCHwIDAjYCHgAELwECAgIvAgQCBQIGAgcCCAIJAhwCCwIMAg0CCAIIAggCCAIIAggCCAIIAggCCAIIAggCCAIIAggCCAIIAh8CAwIwAh4ABC8BAgICOwIEAgUCBgIHAggCCQIfAgsCDAINAggCCAIIAggCCAIIAggCCAIIAggCCAIIAggCCAIIAggCCAIfAgMCPAIeAAQvAQICAmUCBAIFAgYCBwIIAgkCHwILAgwCDQIIAggCCAIIAggCCAIIAggCCAIIAggCCAIIAggCCAIIAggCHwIDAmYCHgAELwECAgJ6AAAEAEUCBAIFAgYCBwIIAgkCCgILAgwCDQIIAggCCAIIAggCCAIIAggCCAIIAggCCAIIAggCCAIIAggCHwIDAmcCHgAELwECAgIDAgQCBQIGAgcCCAIJAhwCCwIMAg0CCAIIAggCCAIIAggCCAIIAggCCAIIAggCCAIIAggCCAIIAh8CAwI1Ah4ABC8BAgICKwIEAgUCBgIHAggCCQIcAgsCDAINAggCCAIIAggCCAIIAggCCAIIAggCCAIIAggCCAIIAggCCAIfAgMCaQIeAAQvAQICAkACBAIFAgYCBwIIAgkCHwILAgwCDQIIAggCCAIIAggCCAIIAggCCAIIAggCCAIIAggCCAIIAggCHwIDAkECHgAELwECAgJHAgQCBQIGAgcCCAIJAhwCCwIMAg0CCAIIAggCCAIIAggCCAIIAggCCAIIAggCCAIIAggCCAIIAh8CAwKeAh4ABC8BAgICNwIEAgUCBgIHAggCCQIKAgsCDAINAggCCAIIAggCCAIIAggCCAIIAggCCAIIAggCCAIIAggCCAIfAgMCRAIeAAQvAQICAjMCBAIFAgYCBwIIAgkCCgILAgwCDQIIAggCCAIIAggCCAIIAggCCAIIAggCCAIIAggCCAIIAggCHwIDAqYCHgAELwECAgJJAgQCBQIGAgcCCAIJAh8CCwIMAg0CCAIIAggCCAIIAggCCAIIAggCCAIIAggCCAIIAggCCAIIAh8CAwJKAh4ABC8BAgICTwIEAgUCBgIHAggCCQIfAgsCDAINAggCCAIIAggCCAIIAggCCAIIAggCCAIIAggCCAIIAggCCAIfAgMCUAIeAAQvAQICAkUCBAIFAgYCBwIIAgkCHAILAgwCDQIIAggCCAIIAggCCAIIAggCCAIIAggCCAIIAggCCAIIAggCHwIDAlsCHgAELwECAgIjAgQCBQIGAgcCCAIJAhwCCwIMAg0CCAIIAggCCAIIAggCCAIIAggCCAIIAggCCAIIAggCCAIIAh8CAwIkAh4ABC8BAgICdQIEAgUCBgIHAggCCQIfAgsCDAINAggCCAIIAggCCAIIAggCCAIIAggCCAIIAggCCAIIAggCCAIfAgMClAIeAAQvAQICAh4CBAIFAgYCBwIIAgkCHwILAgwCDQIIAggCCAIIAggCCAIIAggCCAIIAggCCAIIAggCCAIIAggCHwIDAiACHgAELwECAgIpAgQCBQIGAgcCCAIJAgoCCwIMAg0CCAIIAggCCAIIAggCCAIIAggCCAIIAggCCAIIAggCCAIIAh8CAwKVAh4ABC8BAgICgQIEAgUCBgIHAggCCQIfAgsCDAINAggCCAIIAggCCAIIAggCCAIIAggCCAJ6AAAEAAgCCAIIAggCCAIIAh8CAwKtAh4ABC8BAgICVQIEAgUCBgIHAggCCQIcAgsCDAINAggCCAIIAggCCAIIAggCCAIIAggCCAIIAggCCAIIAggCCAIfAgMCMAIeAAQvAQICAhsCBAIFAgYCBwIIAgkCHAILAgwCDQIIAggCCAIIAggCCAIIAggCCAIIAggCCAIIAggCCAIIAggCHwIDAh0CHgAELwECAgInAgQCBQIGAgcCCAIJAh8CCwIMAg0CCAIIAggCCAIIAggCCAIIAggCCAIIAggCCAIIAggCCAIIAh8CAwIoAh4ABC8BAgICVgIEAgUCBgIHAggCCQIfAgsCDAINAggCCAIIAggCCAIIAggCCAIIAggCCAIIAggCCAIIAggCCAIfAgMCVwIeAAQvAQICAh4CBAIFAgYCBwIIAgkCCgILAgwCDQIIAggCCAIIAggCCAIIAggCCAIIAggCCAIIAggCCAIIAggCHwIDAnACHgAELwECAgJTAgQCBQIGAgcCCAIJAgoCCwIMAg0CCAIIAggCCAIIAggCCAIIAggCCAIIAggCCAIIAggCCAIIAh8CAwJcAh4ABC8BAgICNwIEAgUCBgIHAggCCQIcAgsCDAINAggCCAIIAggCCAIIAggCCAIIAggCCAIIAggCCAIIAggCCAIfAgMClwIeAAQvAQICAi0CBAIFAgYCBwIIAgkCCgILAgwCDQIIAggCCAIIAggCCAIIAggCCAIIAggCCAIIAggCCAIIAggCHwIDApsCHgAELwECAgIhAgQCBQIGAgcCCAIJAh8CCwIMAg0CCAIIAggCCAIIAggCCAIIAggCCAIIAggCCAIIAggCCAIIAh8CAwIiAh4ABC8BAgICKwIEAgUCBgIHAggCCQIKAgsCDAINAggCCAIIAggCCAIIAggCCAIIAggCCAIIAggCCAIIAggCCAIfAgMCLAIeAAQvAQICAo0CBAIFAgYCBwIIAgkCHwILAgwCDQIIAggCCAIIAggCCAIIAggCCAIIAggCCAIIAggCCAIIAggCHwIDAqcCHgAELwECAgIpAgQCBQIGAgcCCAIJAhwCCwIMAg0CCAIIAggCCAIIAggCCAIIAggCCAIIAggCCAIIAggCCAIIAh8CAwKcAh4ABC8BAgICMwIEAgUCBgIHAggCCQIfAgsCDAINAggCCAIIAggCCAIIAggCCAIIAggCCAIIAggCCAIIAggCCAIfAgMCNAIeAAQvAQICAjECBAIFAgYCBwIIAgkCHwILAgwCDQIIAggCCAIIAggCCAIIAggCCAIIAggCCAIIAggCCAIIAggCHwIDAjICHgAELwECAgI5AgQCBQIGAgcCCAIJAhwCCwJ6AAAEAAwCDQIIAggCCAIIAggCCAIIAggCCAIIAggCCAIIAggCCAIIAggCHwIDAjoCHgAELwECAgIeAgQCBQIGAgcCCAIJAhwCCwIMAg0CCAIIAggCCAIIAggCCAIIAggCCAIIAggCCAIIAggCCAIIAh8CAwKDAh4ABC8BAgICIQIEAgUCBgIHAggCCQIcAgsCDAINAggCCAIIAggCCAIIAggCCAIIAggCCAIIAggCCAIIAggCCAIfAgMCiwIeAAQvAQICAjsCBAIFAgYCBwIIAgkCCgILAgwCDQIIAggCCAIIAggCCAIIAggCCAIIAggCCAIIAggCCAIIAggCHwIDAoYCHgAELwECAgI3AgQCBQIGAgcCCAIJAh8CCwIMAg0CCAIIAggCCAIIAggCCAIIAggCCAIIAggCCAIIAggCCAIIAh8CAwI4Ah4ABC8BAgICiAIEAgUCBgIHAggCCQIfAgsCDAINAggCCAIIAggCCAIIAggCCAIIAggCCAIIAggCCAIIAggCCAIfAgMCiQIeAAQvAQICAmUCBAIFAgYCBwIIAgkCCgILAgwCDQIIAggCCAIIAggCCAIIAggCCAIIAggCCAIIAggCCAIIAggCHwIDAooCHgAELwECAgJTAgQCBQIGAgcCCAIJAhwCCwIMAg0CCAIIAggCCAIIAggCCAIIAggCCAIIAggCCAIIAggCCAIIAh8CAwJoAh4ABC8BAgICQgIEAgUCBgIHAggCCQIcAgsCDAINAggCCAIIAggCCAIIAggCCAIIAggCCAIIAggCCAIIAggCCAIfAgMCSwIeAAQvAQICAjkCBAIFAgYCBwIIAgkCCgILAgwCDQIIAggCCAIIAggCCAIIAggCCAIIAggCCAIIAggCCAIIAggCHwIDAkwCHgAELwECAgJNAgQCBQIGAgcCCAIJAhwCCwIMAg0CCAIIAggCCAIIAggCCAIIAggCCAIIAggCCAIIAggCCAIIAh8CAwJOAh4ABC8BAgICXQIEAgUCBgIHAggCCQIcAgsCDAINAggCCAIIAggCCAIIAggCCAIIAggCCAIIAggCCAIIAggCCAIfAgMCMAIeAAQvAQICAkcCBAIFAgYCBwIIAgkCHwILAgwCDQIIAggCCAIIAggCCAIIAggCCAIIAggCCAIIAggCCAIIAggCHwIDAnECHgAELwECAgJJAgQCBQIGAgcCCAIJAgoCCwIMAg0CCAIIAggCCAIIAggCCAIIAggCCAIIAggCCAIIAggCCAIIAh8CAwJtAh4ABC8BAgICJwIEAgUCBgIHAggCCQIKAgsCDAINAggCCAIIAggCCAIIAggCCAIIAggCCAIIAggCCAIIAggCCAIfAgMCKAJ6AAAEAB4ABC8BAgICAwIEAgUCBgIHAggCCQIKAgsCDAINAggCCAIIAggCCAIIAggCCAIIAggCCAIIAggCCAIIAggCCAIfAgMCDgIeAAQvAQICAiECBAIFAgYCBwIIAgkCCgILAgwCDQIIAggCCAIIAggCCAIIAggCCAIIAggCCAIIAggCCAIIAggCHwIDAlgCHgAELwECAgJRAgQCBQIGAgcCCAIJAhwCCwIMAg0CCAIIAggCCAIIAggCCAIIAggCCAIIAggCCAIIAggCCAIIAh8CAwJSAh4ABC8BAgICKQIEAgUCBgIHAggCCQIfAgsCDAINAggCCAIIAggCCAIIAggCCAIIAggCCAIIAggCCAIIAggCCAIfAgMCKgIeAAQvAQICAi0CBAIFAgYCBwIIAgkCHwILAgwCDQIIAggCCAIIAggCCAIIAggCCAIIAggCCAIIAggCCAIIAggCHwIDAi4CHgAELwECAgJHAgQCBQIGAgcCCAIJAgoCCwIMAg0CCAIIAggCCAIIAggCCAIIAggCCAIIAggCCAIIAggCCAIIAh8CAwJIAh4ABC8BAgICSQIEAgUCBgIHAggCCQIcAgsCDAINAggCCAIIAggCCAIIAggCCAIIAggCCAIIAggCCAIIAggCCAIfAgMCfgIeAAQvAQICAk0CBAIFAgYCBwIIAgkCCgILAgwCDQIIAggCCAIIAggCCAIIAggCCAIIAggCCAIIAggCCAIIAggCHwIDAmQCHgAELwECAgJCAgQCBQIGAgcCCAIJAgoCCwIMAg0CCAIIAggCCAIIAggCCAIIAggCCAIIAggCCAIIAggCCAIIAh8CAwJDAh4ABC8BAgICJwIEAgUCBgIHAggCCQIcAgsCDAINAggCCAIIAggCCAIIAggCCAIIAggCCAIIAggCCAIIAggCCAIfAgMCKAIeAAQvAQICAlYCBAIFAgYCBwIIAgkCHAILAgwCDQIIAggCCAIIAggCCAIIAggCCAIIAggCCAIIAggCCAIIAggCHwIDAocCHgAEMAEACTI5MTY2NDE1MgICAo0CBAIFAgYCBwIIAgkCswILArECDQIIAggCCAIIAggCCAIIAggCCAIIAggCCAIIAggCCAIIAggCGgIDBAIBAh4ABDABAgICJQIEAgUCBgIHAggCCQIKAgsCsQINAggCCAIIAggCCAIIAggCCAIIAggCCAIIAggCCAIIAggCCAIaAgMC4gIeAAQwAQICAhsCBAIFAgYCBwIIAgkCHAILArECDQIIAggCCAIIAggCCAIIAggCCAIIAggCCAIIAggCCAIIAggCGgIDBAABAh4ABDABAgICQgIEAgUCBgIHAggCCQIcAgsCsQINAgh6AAAEAAIIAggCCAIIAggCCAIIAggCCAIIAggCCAIIAggCCAIIAhoCAwQDAQIeAAQwAQICAkACBAIFAgYCBwIIAgkCswILArECDQIIAggCCAIIAggCCAIIAggCCAIIAggCCAIIAggCCAIIAggCGgIDBB0BAh4ABDABAgICAwIEAgUCBgIHAggCCQIKAgsCsQINAggCCAIIAggCCAIIAggCCAIIAggCCAIIAggCCAIIAggCCAIaAgMEGwECHgAEMAECAgL0AgQCBQIGAgcCCAIJAhwCCwKxAg0CCAIIAggCCAIIAggCCAIIAggCCAIIAggCCAIIAggCCAIIAhoCAwQZAQIeAAQwAQICAjsCBAIFAgYCBwIIAgkCswILArECDQIIAggCCAIIAggCCAIIAggCCAIIAggCCAIIAggCCAIIAggCGgIDBBcBAh4ABDABAgICZQIEAgUCBgIHAggCCQKzAgsCsQINAggCCAIIAggCCAIIAggCCAIIAggCCAIIAggCCAIIAggCCAIaAgMEEgECHgAEMAECAgIjAgQCBQIGAgcCCAIJAhwCCwKxAg0CCAIIAggCCAIIAggCCAIIAggCCAIIAggCCAIIAggCCAIIAhoCAwQBAQIeAAQwAQICAk0CBAIFAgYCBwIIAgkCHAILArECDQIIAggCCAIIAggCCAIIAggCCAIIAggCCAIIAggCCAIIAggCGgIDAvkCHgAEMAECAgIvAgQCBQIGAgcCCAIJAgoCCwKxAg0CCAIIAggCCAIIAggCCAIIAggCCAIIAggCCAIIAggCCAIIAhoCAwLuAh4ABDABAgICKQIEAgUCBgIHAggCCQKzAgsCsQINAggCCAIIAggCCAIIAggCCAIIAggCCAIIAggCCAIIAggCCAIaAgMC8AIeAAQwAQICAlkCBAIFAgYCBwIIAgkCHAILArECDQIIAggCCAIIAggCCAIIAggCCAIIAggCCAIIAggCCAIIAggCGgIDAvYCHgAEMAECAgItAgQCBQIGAgcCCAIJArMCCwKxAg0CCAIIAggCCAIIAggCCAIIAggCCAIIAggCCAIIAggCCAIIAhoCAwL9Ah4ABDABAgICAwIEAgUCBgIHAggCCQIcAgsCsQINAggCCAIIAggCCAIIAggCCAIIAggCCAIIAggCCAIIAggCCAIaAgMEDAECHgAEMAECAgL0AgQCBQIGAgcCCAIJAgoCCwKxAg0CCAIIAggCCAIIAggCCAIIAggCCAIIAggCCAIIAggCCAIIAhoCAwL1Ah4ABDABAgICXQIEAgUCBgIHAggCCQIcAgsCsQINAggCCAIIAggCCAIIAggCCAIIAggCCAIIAggCCAIIAggCCAIaAgN6AAAEAALJAh4ABDABAgICGwIEAgUCBgIHAggCCQIKAgsCsQINAggCCAIIAggCCAIIAggCCAIIAggCCAIIAggCCAIIAggCCAIaAgMEBgECHgAEMAECAgJHAgQCBQIGAgcCCAIJAhwCCwKxAg0CCAIIAggCCAIIAggCCAIIAggCCAIIAggCCAIIAggCCAIIAhoCAwLRAh4ABDABAgICOQIEAgUCBgIHAggCCQIcAgsCsQINAggCCAIIAggCCAIIAggCCAIIAggCCAIIAggCCAIIAggCCAIaAgMECgECHgAEMAECAgIrAgQCBQIGAgcCCAIJAgoCCwKxAg0CCAIIAggCCAIIAggCCAIIAggCCAIIAggCCAIIAggCCAIIAhoCAwQFAQIeAAQwAQICAoECBAIFAgYCBwIIAgkCswILArECDQIIAggCCAIIAggCCAIIAggCCAIIAggCCAIIAggCCAIIAggCGgIDBAsBAh4ABDABAgICRQIEAgUCBgIHAggCCQIKAgsCsQINAggCCAIIAggCCAIIAggCCAIIAggCCAIIAggCCAIIAggCCAIaAgMEDQECHgAEMAECAgJ1AgQCBQIGAgcCCAIJArMCCwKxAg0CCAIIAggCCAIIAggCCAIIAggCCAIIAggCCAIIAggCCAIIAhoCAwLTAh4ABDABAgICYQIEAgUCBgIHAggCCQIcAgsCsQINAggCCAIIAggCCAIIAggCCAIIAggCCAIIAggCCAIIAggCCAIaAgMC8QIeAAQwAQICAkUCBAIFAgYCBwIIAgkCHAILArECDQIIAggCCAIIAggCCAIIAggCCAIIAggCCAIIAggCCAIIAggCGgIDBBgBAh4ABDABAgICXwIEAgUCBgIHAggCCQKzAgsCsQINAggCCAIIAggCCAIIAggCCAIIAggCCAIIAggCCAIIAggCCAIaAgMC0gIeAAQwAQICAi0CBAIFAgYCBwIIAgkCCgILArECDQIIAggCCAIIAggCCAIIAggCCAIIAggCCAIIAggCCAIIAggCGgIDAssCHgAEMAECAgJRAgQCBQIGAgcCCAIJAgoCCwKxAg0CCAIIAggCCAIIAggCCAIIAggCCAIIAggCCAIIAggCCAIIAhoCAwQhAQIeAAQwAQICAjcCBAIFAgYCBwIIAgkCCgILArECDQIIAggCCAIIAggCCAIIAggCCAIIAggCCAIIAggCCAIIAggCGgIDAtACHgAEMAECAgIeAgQCBQIGAgcCCAIJAgoCCwKxAg0CCAIIAggCCAIIAggCCAIIAggCCAIIAggCCAIIAggCCAIIAhoCAwLAAh4ABDABAgICVQIEAgUCBgIHAggCCQKzAgsCsQINAggCCAJ6AAAEAAgCCAIIAggCCAIIAggCCAIIAggCCAIIAggCCAIIAhoCAwK5Ah4ABDABAgICKwIEAgUCBgIHAggCCQIcAgsCsQINAggCCAIIAggCCAIIAggCCAIIAggCCAIIAggCCAIIAggCCAIaAgMEEQECHgAEMAECAgIhAgQCBQIGAgcCCAIJAgoCCwKxAg0CCAIIAggCCAIIAggCCAIIAggCCAIIAggCCAIIAggCCAIIAhoCAwQcAQIeAAQwAQICAlECBAIFAgYCBwIIAgkCHAILArECDQIIAggCCAIIAggCCAIIAggCCAIIAggCCAIIAggCCAIIAggCGgIDAvsCHgAEMAECAgIxAgQCBQIGAgcCCAIJArMCCwKxAg0CCAIIAggCCAIIAggCCAIIAggCCAIIAggCCAIIAggCCAIIAhoCAwL8Ah4ABDABAgICiAIEAgUCBgIHAggCCQKzAgsCsQINAggCCAIIAggCCAIIAggCCAIIAggCCAIIAggCCAIIAggCCAIaAgMEGgECHgAEMAECAgIpAgQCBQIGAgcCCAIJAgoCCwKxAg0CCAIIAggCCAIIAggCCAIIAggCCAIIAggCCAIIAggCCAIIAhoCAwLHAh4ABDABAgICJwIEAgUCBgIHAggCCQIKAgsCsQINAggCCAIIAggCCAIIAggCCAIIAggCCAIIAggCCAIIAggCCAIaAgMCKAIeAAQwAQICAk0CBAIFAgYCBwIIAgkCCgILArECDQIIAggCCAIIAggCCAIIAggCCAIIAggCCAIIAggCCAIIAggCGgIDBCIBAh4ABDABAgICIQIEAgUCBgIHAggCCQIcAgsCsQINAggCCAIIAggCCAIIAggCCAIIAggCCAIIAggCCAIIAggCCAIaAgMCsgIeAAQwAQICAicCBAIFAgYCBwIIAgkCHAILArECDQIIAggCCAIIAggCCAIIAggCCAIIAggCCAIIAggCCAIIAggCGgIDAigCHgAEMAECAgIvAgQCBQIGAgcCCAIJArMCCwKxAg0CCAIIAggCCAIIAggCCAIIAggCCAIIAggCCAIIAggCCAIIAhoCAwK5Ah4ABDABAgICQgIEAgUCBgIHAggCCQIKAgsCsQINAggCCAIIAggCCAIIAggCCAIIAggCCAIIAggCCAIIAggCCAIaAgMC8wIeAAQwAQICAjkCBAIFAgYCBwIIAgkCCgILArECDQIIAggCCAIIAggCCAIIAggCCAIIAggCCAIIAggCCAIIAggCGgIDAvoCHgAEMAECAgJHAgQCBQIGAgcCCAIJAgoCCwKxAg0CCAIIAggCCAIIAggCCAIIAggCCAIIAggCCAIIAggCCAIIAhoCAwQQAQIeAAR6AAAEADABAgICMwIEAgUCBgIHAggCCQKzAgsCsQINAggCCAIIAggCCAIIAggCCAIIAggCCAIIAggCCAIIAggCCAIaAgMC9wIeAAQwAQICAlMCBAIFAgYCBwIIAgkCHAILArECDQIIAggCCAIIAggCCAIIAggCCAIIAggCCAIIAggCCAIIAggCGgIDAroCHgAEMAECAgIlAgQCBQIGAgcCCAIJArMCCwKxAg0CCAIIAggCCAIIAggCCAIIAggCCAIIAggCCAIIAggCCAIIAhoCAwQPAQIeAAQwAQICBBUBAgQCBQIGAgcCCAIJAgoCCwKxAg0CCAIIAggCCAIIAggCCAIIAggCCAIIAggCCAIIAggCCAIIAhoCAwQeAQIeAAQwAQICAkkCBAIFAgYCBwIIAgkCHAILArECDQIIAggCCAIIAggCCAIIAggCCAIIAggCCAIIAggCCAIIAggCGgIDBCABAh4ABDABAgICPQIEAgUCBgIHAggCCQKzAgsCsQINAggCCAIIAggCCAIIAggCCAIIAggCCAIIAggCCAIIAggCCAIaAgMCuwIeAAQwAQICApACBAIFAgYCBwIIAgkCswILArECDQIIAggCCAIIAggCCAIIAggCCAIIAggCCAIIAggCCAIIAggCGgIDBB8BAh4ABDABAgICHgIEAgUCBgIHAggCCQIcAgsCsQINAggCCAIIAggCCAIIAggCCAIIAggCCAIIAggCCAIIAggCCAIaAgMEIwECHgAEMAECAgJWAgQCBQIGAgcCCAIJAhwCCwKxAg0CCAIIAggCCAIIAggCCAIIAggCCAIIAggCCAIIAggCCAIIAhoCAwQOAQIeAAQwAQICAkICBAIFAgYCBwIIAgkCswILArECDQIIAggCCAIIAggCCAIIAggCCAIIAggCCAIIAggCCAIIAggCGgIDAs4CHgAEMAECAgJNAgQCBQIGAgcCCAIJArMCCwKxAg0CCAIIAggCCAIIAggCCAIIAggCCAIIAggCCAIIAggCCAIIAhoCAwLKAh4ABDABAgICTwIEAgUCBgIHAggCCQIcAgsCsQINAggCCAIIAggCCAIIAggCCAIIAggCCAIIAggCCAIIAggCCAIaAgMC3wIeAAQwAQICAkACBAIFAgYCBwIIAgkCHAILArECDQIIAggCCAIIAggCCAIIAggCCAIIAggCCAIIAggCCAIIAggCGgIDAuMCHgAEMAECAgJ1AgQCBQIGAgcCCAIJAgoCCwKxAg0CCAIIAggCCAIIAggCCAIIAggCCAIIAggCCAIIAggCCAIIAhoCAwLcAh4ABDABAgICZQIEAgUCBgIHAggCCQIcAgsCsQINAggCCAIIAggCCAJ6AAAEAAgCCAIIAggCCAIIAggCCAIIAggCCAIIAhoCAwLMAh4ABDABAgICbgIEAgUCBgIHAggCCQIKAgsCsQINAggCCAIIAggCCAIIAggCCAIIAggCCAIIAggCCAIIAggCCAIaAgMCyAIeAAQwAQICAhsCBAIFAgYCBwIIAgkCswILArECDQIIAggCCAIIAggCCAIIAggCCAIIAggCCAIIAggCCAIIAggCGgIDAt0CHgAEMAECAgKNAgQCBQIGAgcCCAIJAhwCCwKxAg0CCAIIAggCCAIIAggCCAIIAggCCAIIAggCCAIIAggCCAIIAhoCAwLNAh4ABDABAgICOwIEAgUCBgIHAggCCQIcAgsCsQINAggCCAIIAggCCAIIAggCCAIIAggCCAIIAggCCAIIAggCCAIaAgMC3gIeAAQwAQICBBUBAgQCBQIGAgcCCAIJAhwCCwKxAg0CCAIIAggCCAIIAggCCAIIAggCCAIIAggCCAIIAggCCAIIAhoCAwQWAQIeAAQwAQICAlYCBAIFAgYCBwIIAgkCCgILArECDQIIAggCCAIIAggCCAIIAggCCAIIAggCCAIIAggCCAIIAggCGgIDBBMBAh4ABDABAgICSQIEAgUCBgIHAggCCQIKAgsCsQINAggCCAIIAggCCAIIAggCCAIIAggCCAIIAggCCAIIAggCCAIaAgMCwwIeAAQwAQICAl0CBAIFAgYCBwIIAgkCswILArECDQIIAggCCAIIAggCCAIIAggCCAIIAggCCAIIAggCCAIIAggCGgIDArkCHgAEMAECAgJ1AgQCBQIGAgcCCAIJAhwCCwKxAg0CCAIIAggCCAIIAggCCAIIAggCCAIIAggCCAIIAggCCAIIAhoCAwLWAh4ABDABAgICKQIEAgUCBgIHAggCCQIcAgsCsQINAggCCAIIAggCCAIIAggCCAIIAggCCAIIAggCCAIIAggCCAIaAgMCvQIeAAQwAQICAmECBAIFAgYCBwIIAgkCswILArECDQIIAggCCAIIAggCCAIIAggCCAIIAggCCAIIAggCCAIIAggCGgIDArQCHgAEMAECAgLXAgQCBQIGAgcCCAIJAgoCCwKxAg0CCAIIAggCCAIIAggCCAIIAggCCAIIAggCCAIIAggCCAIIAhoCAwLYAh4ABDABAgICQAIEAgUCBgIHAggCCQIKAgsCsQINAggCCAIIAggCCAIIAggCCAIIAggCCAIIAggCCAIIAggCCAIaAgMCtgIeAAQwAQICAm4CBAIFAgYCBwIIAgkCHAILArECDQIIAggCCAIIAggCCAIIAggCCAIIAggCCAIIAggCCAIIAggCGgIDBBQBAh4ABDABAgICWQJ6AAAEAAQCBQIGAgcCCAIJArMCCwKxAg0CCAIIAggCCAIIAggCCAIIAggCCAIIAggCCAIIAggCCAIIAhoCAwK1Ah4ABDABAgICZQIEAgUCBgIHAggCCQIKAgsCsQINAggCCAIIAggCCAIIAggCCAIIAggCCAIIAggCCAIIAggCCAIaAgMCvAIeAAQwAQICAk8CBAIFAgYCBwIIAgkCCgILArECDQIIAggCCAIIAggCCAIIAggCCAIIAggCCAIIAggCCAIIAggCGgIDArcCHgAEMAECAgJTAgQCBQIGAgcCCAIJAgoCCwKxAg0CCAIIAggCCAIIAggCCAIIAggCCAIIAggCCAIIAggCCAIIAhoCAwK/Ah4ABDABAgICOwIEAgUCBgIHAggCCQIKAgsCsQINAggCCAIIAggCCAIIAggCCAIIAggCCAIIAggCCAIIAggCCAIaAgMC1QIeAAQwAQICAl8CBAIFAgYCBwIIAgkCHAILArECDQIIAggCCAIIAggCCAIIAggCCAIIAggCCAIIAggCCAIIAggCGgIDBAQBAh4ABDABAgICAwIEAgUCBgIHAggCCQKzAgsCsQINAggCCAIIAggCCAIIAggCCAIIAggCCAIIAggCCAIIAggCCAIaAgMECAECHgAEMAECAgKBAgQCBQIGAgcCCAIJAhwCCwKxAg0CCAIIAggCCAIIAggCCAIIAggCCAIIAggCCAIIAggCCAIIAhoCAwLPAh4ABDABAgICiAIEAgUCBgIHAggCCQIKAgsCsQINAggCCAIIAggCCAIIAggCCAIIAggCCAIIAggCCAIIAggCCAIaAgMECQECHgAEMAECAgI5AgQCBQIGAgcCCAIJArMCCwKxAg0CCAIIAggCCAIIAggCCAIIAggCCAIIAggCCAIIAggCCAIIAhoCAwLUAh4ABDABAgICiAIEAgUCBgIHAggCCQIcAgsCsQINAggCCAIIAggCCAIIAggCCAIIAggCCAIIAggCCAIIAggCCAIaAgMC4AIeAAQwAQICAtcCBAIFAgYCBwIIAgkCHAILArECDQIIAggCCAIIAggCCAIIAggCCAIIAggCCAIIAggCCAIIAggCGgIDAuYCHgAEMAECAgJZAgQCBQIGAgcCCAIJAgoCCwKxAg0CCAIIAggCCAIIAggCCAIIAggCCAIIAggCCAIIAggCCAIIAhoCAwL/Ah4ABDABAgICKwIEAgUCBgIHAggCCQKzAgsCsQINAggCCAIIAggCCAIIAggCCAIIAggCCAIIAggCCAIIAggCCAIaAgMC5AIeAAQwAQICAkUCBAIFAgYCBwIIAgkCswILArECDQIIAggCCAIIAggCCAIIAggCCAIIAgh6AAAEAAIIAggCCAIIAggCCAIaAgMC5QIeAAQwAQICAkcCBAIFAgYCBwIIAgkCswILArECDQIIAggCCAIIAggCCAIIAggCCAIIAggCCAIIAggCCAIIAggCGgIDBAcBAh4ABDABAgICNwIEAgUCBgIHAggCCQIcAgsCsQINAggCCAIIAggCCAIIAggCCAIIAggCCAIIAggCCAIIAggCCAIaAgMCxAIeAAQwAQICAl0CBAIFAgYCBwIIAgkCCgILArECDQIIAggCCAIIAggCCAIIAggCCAIIAggCCAIIAggCCAIIAggCGgIDAu4CHgAEMAECAgIzAgQCBQIGAgcCCAIJAgoCCwKxAg0CCAIIAggCCAIIAggCCAIIAggCCAIIAggCCAIIAggCCAIIAhoCAwLqAh4ABDABAgICkAIEAgUCBgIHAggCCQIKAgsCsQINAggCCAIIAggCCAIIAggCCAIIAggCCAIIAggCCAIIAggCCAIaAgMC+AIeAAQwAQICAjMCBAIFAgYCBwIIAgkCHAILArECDQIIAggCCAIIAggCCAIIAggCCAIIAggCCAIIAggCCAIIAggCGgIDAsICHgAEMAECAgIxAgQCBQIGAgcCCAIJAhwCCwKxAg0CCAIIAggCCAIIAggCCAIIAggCCAIIAggCCAIIAggCCAIIAhoCAwLGAh4ABDABAgICUQIEAgUCBgIHAggCCQKzAgsCsQINAggCCAIIAggCCAIIAggCCAIIAggCCAIIAggCCAIIAggCCAIaAgMCxQIeAAQwAQICAi0CBAIFAgYCBwIIAgkCHAILArECDQIIAggCCAIIAggCCAIIAggCCAIIAggCCAIIAggCCAIIAggCGgIDAr4CHgAEMAECAgI9AgQCBQIGAgcCCAIJAgoCCwKxAg0CCAIIAggCCAIIAggCCAIIAggCCAIIAggCCAIIAggCCAIIAhoCAwLhAh4ABDABAgICVQIEAgUCBgIHAggCCQIcAgsCsQINAggCCAIIAggCCAIIAggCCAIIAggCCAIIAggCCAIIAggCCAIaAgMCyQIeAAQwAQICAmECBAIFAgYCBwIIAgkCCgILArECDQIIAggCCAIIAggCCAIIAggCCAIIAggCCAIIAggCCAIIAggCGgIDAv4CHgAEMAECAgKNAgQCBQIGAgcCCAIJAgoCCwKxAg0CCAIIAggCCAIIAggCCAIIAggCCAIIAggCCAIIAggCCAIIAhoCAwK4Ah4ABDABAgICSQIEAgUCBgIHAggCCQKzAgsCsQINAggCCAIIAggCCAIIAggCCAIIAggCCAIIAggCCAIIAggCCAIaAgMC2QIeAAQwAQICAj0CBAIFAgYCBwIIAgkCHAJ6AAAEAAsCsQINAggCCAIIAggCCAIIAggCCAIIAggCCAIIAggCCAIIAggCCAIaAgMC7wIeAAQwAQICAoECBAIFAgYCBwIIAgkCCgILArECDQIIAggCCAIIAggCCAIIAggCCAIIAggCCAIIAggCCAIIAggCGgIDAsECHgAEMAECAgJfAgQCBQIGAgcCCAIJAgoCCwKxAg0CCAIIAggCCAIIAggCCAIIAggCCAIIAggCCAIIAggCCAIIAhoCAwLbAh4ABDABAgICIQIEAgUCBgIHAggCCQKzAgsCsQINAggCCAIIAggCCAIIAggCCAIIAggCCAIIAggCCAIIAggCCAIaAgMC8gIeAAQwAQICAlMCBAIFAgYCBwIIAgkCswILArECDQIIAggCCAIIAggCCAIIAggCCAIIAggCCAIIAggCCAIIAggCGgIDAukCHgAEMAECAgIeAgQCBQIGAgcCCAIJArMCCwKxAg0CCAIIAggCCAIIAggCCAIIAggCCAIIAggCCAIIAggCCAIIAhoCAwLoAh4ABDABAgICVgIEAgUCBgIHAggCCQKzAgsCsQINAggCCAIIAggCCAIIAggCCAIIAggCCAIIAggCCAIIAggCCAIaAgMC7AIeAAQwAQICAiUCBAIFAgYCBwIIAgkCHAILArECDQIIAggCCAIIAggCCAIIAggCCAIIAggCCAIIAggCCAIIAggCGgIDAtoCHgAEMAECAgIxAgQCBQIGAgcCCAIJAgoCCwKxAg0CCAIIAggCCAIIAggCCAIIAggCCAIIAggCCAIIAggCCAIIAhoCAwLrAh4ABDABAgICJwIEAgUCBgIHAggCCQKzAgsCsQINAggCCAIIAggCCAIIAggCCAIIAggCCAIIAggCCAIIAggCCAIaAgMCKAIeAAQwAQICApACBAIFAgYCBwIIAgkCHAILArECDQIIAggCCAIIAggCCAIIAggCCAIIAggCCAIIAggCCAIIAggCGgIDAu0CHgAEMAECAgIvAgQCBQIGAgcCCAIJAhwCCwKxAg0CCAIIAggCCAIIAggCCAIIAggCCAIIAggCCAIIAggCCAIIAhoCAwLJAh4ABDABAgICVQIEAgUCBgIHAggCCQIKAgsCsQINAggCCAIIAggCCAIIAggCCAIIAggCCAIIAggCCAIIAggCCAIaAgMC7gIeAAQwAQICAiMCBAIFAgYCBwIIAgkCCgILArECDQIIAggCCAIIAggCCAIIAggCCAIIAggCCAIIAggCCAIIAggCGgIDAucCHgAEMQEACTU2NjQwNDgwOAICAkcCBAIFAgYCBwIIAgkCCgILArECDQIIAggCCAIIAggCCAIIAggCCAIIAggCCAIIAgh6AAAEAAIIAggCCAIYAgMEEAECHgAEMQECAgIrAgQCBQIGAgcCCAIJAgoCCwKxAg0CCAIIAggCCAIIAggCCAIIAggCCAIIAggCCAIIAggCCAIIAhgCAwQFAQIeAAQxAQICAi8CBAIFAgYCBwIIAgkCHAILArECDQIIAggCCAIIAggCCAIIAggCCAIIAggCCAIIAggCCAIIAggCGAIDAskCHgAEMQECAgIlAgQCBQIGAgcCCAIJAhwCCwKxAg0CCAIIAggCCAIIAggCCAIIAggCCAIIAggCCAIIAggCCAIIAhgCAwLaAh4ABDEBAgICSQIEAgUCBgIHAggCCQKzAgsCsQINAggCCAIIAggCCAIIAggCCAIIAggCCAIIAggCCAIIAggCCAIYAgMC2QIeAAQxAQICAkACBAIFAgYCBwIIAgkCswILArECDQIIAggCCAIIAggCCAIIAggCCAIIAggCCAIIAggCCAIIAggCGAIDBB0BAh4ABDEBAgICRQIEAgUCBgIHAggCCQIKAgsCsQINAggCCAIIAggCCAIIAggCCAIIAggCCAIIAggCCAIIAggCCAIYAgMEDQECHgAEMQECAgJ1AgQCBQIGAgcCCAIJArMCCwKxAg0CCAIIAggCCAIIAggCCAIIAggCCAIIAggCCAIIAggCCAIIAhgCAwLTAh4ABDEBAgICVgIEAgUCBgIHAggCCQKzAgsCsQINAggCCAIIAggCCAIIAggCCAIIAggCCAIIAggCCAIIAggCCAIYAgMC7AIeAAQxAQICAlUCBAIFAgYCBwIIAgkCCgILArECDQIIAggCCAIIAggCCAIIAggCCAIIAggCCAIIAggCCAIIAggCGAIDAu4CHgAEMQECAgIDAgQCBQIGAgcCCAIJAhwCCwKxAg0CCAIIAggCCAIIAggCCAIIAggCCAIIAggCCAIIAggCCAIIAhgCAwQMAQIeAAQxAQICAoECBAIFAgYCBwIIAgkCswILArECDQIIAggCCAIIAggCCAIIAggCCAIIAggCCAIIAggCCAIIAggCGAIDBAsBAh4ABDEBAgICQgIEAgUCBgIHAggCCQIcAgsCsQINAggCCAIIAggCCAIIAggCCAIIAggCCAIIAggCCAIIAggCCAIYAgMEAwECHgAEMQECAgIjAgQCBQIGAgcCCAIJAgoCCwKxAg0CCAIIAggCCAIIAggCCAIIAggCCAIIAggCCAIIAggCCAIIAhgCAwLnAh4ABDEBAgICRwIEAgUCBgIHAggCCQIcAgsCsQINAggCCAIIAggCCAIIAggCCAIIAggCCAIIAggCCAIIAggCCAIYAgMC0QIeAAQxAQICAi0CBAIFAgYCBwIIAgkCCgJ6AAAEAAsCsQINAggCCAIIAggCCAIIAggCCAIIAggCCAIIAggCCAIIAggCCAIYAgMCywIeAAQxAQICAk0CBAIFAgYCBwIIAgkCHAILArECDQIIAggCCAIIAggCCAIIAggCCAIIAggCCAIIAggCCAIIAggCGAIDAvkCHgAEMQECAgKNAgQCBQIGAgcCCAIJArMCCwKxAg0CCAIIAggCCAIIAggCCAIIAggCCAIIAggCCAIIAggCCAIIAhgCAwQCAQIeAAQxAQICAjcCBAIFAgYCBwIIAgkCCgILArECDQIIAggCCAIIAggCCAIIAggCCAIIAggCCAIIAggCCAIIAggCGAIDAtACHgAEMQECAgIhAgQCBQIGAgcCCAIJArMCCwKxAg0CCAIIAggCCAIIAggCCAIIAggCCAIIAggCCAIIAggCCAIIAhgCAwLyAh4ABDEBAgICVQIEAgUCBgIHAggCCQIcAgsCsQINAggCCAIIAggCCAIIAggCCAIIAggCCAIIAggCCAIIAggCCAIYAgMCyQIeAAQxAQICAiMCBAIFAgYCBwIIAgkCHAILArECDQIIAggCCAIIAggCCAIIAggCCAIIAggCCAIIAggCCAIIAggCGAIDBAEBAh4ABDEBAgICAwIEAgUCBgIHAggCCQIKAgsCsQINAggCCAIIAggCCAIIAggCCAIIAggCCAIIAggCCAIIAggCCAIYAgMEGwECHgAEMQECAgIpAgQCBQIGAgcCCAIJAgoCCwKxAg0CCAIIAggCCAIIAggCCAIIAggCCAIIAggCCAIIAggCCAIIAhgCAwLHAh4ABDEBAgICMwIEAgUCBgIHAggCCQIcAgsCsQINAggCCAIIAggCCAIIAggCCAIIAggCCAIIAggCCAIIAggCCAIYAgMCwgIeAAQxAQICAjECBAIFAgYCBwIIAgkCHAILArECDQIIAggCCAIIAggCCAIIAggCCAIIAggCCAIIAggCCAIIAggCGAIDAsYCHgAEMQECAgI5AgQCBQIGAgcCCAIJAgoCCwKxAg0CCAIIAggCCAIIAggCCAIIAggCCAIIAggCCAIIAggCCAIIAhgCAwL6Ah4ABDEBAgICMwIEAgUCBgIHAggCCQKzAgsCsQINAggCCAIIAggCCAIIAggCCAIIAggCCAIIAggCCAIIAggCCAIYAgMC9wIeAAQxAQICAl0CBAIFAgYCBwIIAgkCHAILArECDQIIAggCCAIIAggCCAIIAggCCAIIAggCCAIIAggCCAIIAggCGAIDAskCHgAEMQECAgJhAgQCBQIGAgcCCAIJAhwCCwKxAg0CCAIIAggCCAIIAggCCAIIAggCCAIIAggCCAIIAggCCAIIAhh6AAAEAAIDAvECHgAEMQECAgJTAgQCBQIGAgcCCAIJAgoCCwKxAg0CCAIIAggCCAIIAggCCAIIAggCCAIIAggCCAIIAggCCAIIAhgCAwK/Ah4ABDEBAgICQgIEAgUCBgIHAggCCQIKAgsCsQINAggCCAIIAggCCAIIAggCCAIIAggCCAIIAggCCAIIAggCCAIYAgMC8wIeAAQxAQICAiECBAIFAgYCBwIIAgkCHAILArECDQIIAggCCAIIAggCCAIIAggCCAIIAggCCAIIAggCCAIIAggCGAIDArICHgAEMQECAgJZAgQCBQIGAgcCCAIJAhwCCwKxAg0CCAIIAggCCAIIAggCCAIIAggCCAIIAggCCAIIAggCCAIIAhgCAwL2Ah4ABDEBAgICKQIEAgUCBgIHAggCCQKzAgsCsQINAggCCAIIAggCCAIIAggCCAIIAggCCAIIAggCCAIIAggCCAIYAgMC8AIeAAQxAQICAvQCBAIFAgYCBwIIAgkCCgILArECDQIIAggCCAIIAggCCAIIAggCCAIIAggCCAIIAggCCAIIAggCGAIDAvUCHgAEMQECAgInAgQCBQIGAgcCCAIJAhwCCwKxAg0CCAIIAggCCAIIAggCCAIIAggCCAIIAggCCAIIAggCCAIIAhgCAwIoAh4ABDEBAgICGwIEAgUCBgIHAggCCQIKAgsCsQINAggCCAIIAggCCAIIAggCCAIIAggCCAIIAggCCAIIAggCCAIYAgMEBgECHgAEMQECAgJTAgQCBQIGAgcCCAIJAhwCCwKxAg0CCAIIAggCCAIIAggCCAIIAggCCAIIAggCCAIIAggCCAIIAhgCAwK6Ah4ABDEBAgICTQIEAgUCBgIHAggCCQIKAgsCsQINAggCCAIIAggCCAIIAggCCAIIAggCCAIIAggCCAIIAggCCAIYAgMEIgECHgAEMQECAgKBAgQCBQIGAgcCCAIJAhwCCwKxAg0CCAIIAggCCAIIAggCCAIIAggCCAIIAggCCAIIAggCCAIIAhgCAwLPAh4ABDEBAgIEFQECBAIFAgYCBwIIAgkCCgILArECDQIIAggCCAIIAggCCAIIAggCCAIIAggCCAIIAggCCAIIAggCGAIDBB4BAh4ABDEBAgICkAIEAgUCBgIHAggCCQKzAgsCsQINAggCCAIIAggCCAIIAggCCAIIAggCCAIIAggCCAIIAggCCAIYAgMEHwECHgAEMQECAgIeAgQCBQIGAgcCCAIJAhwCCwKxAg0CCAIIAggCCAIIAggCCAIIAggCCAIIAggCCAIIAggCCAIIAhgCAwQjAQIeAAQxAQICAjkCBAIFAgYCBwIIAgkCswILArECDQIIAgh6AAAEAAIIAggCCAIIAggCCAIIAggCCAIIAggCCAIIAggCCAIYAgMC1AIeAAQxAQICAlECBAIFAgYCBwIIAgkCCgILArECDQIIAggCCAIIAggCCAIIAggCCAIIAggCCAIIAggCCAIIAggCGAIDBCEBAh4ABDEBAgICSQIEAgUCBgIHAggCCQIKAgsCsQINAggCCAIIAggCCAIIAggCCAIIAggCCAIIAggCCAIIAggCCAIYAgMCwwIeAAQxAQICAisCBAIFAgYCBwIIAgkCHAILArECDQIIAggCCAIIAggCCAIIAggCCAIIAggCCAIIAggCCAIIAggCGAIDBBEBAh4ABDEBAgIC9AIEAgUCBgIHAggCCQIcAgsCsQINAggCCAIIAggCCAIIAggCCAIIAggCCAIIAggCCAIIAggCCAIYAgMEGQECHgAEMQECAgJFAgQCBQIGAgcCCAIJAhwCCwKxAg0CCAIIAggCCAIIAggCCAIIAggCCAIIAggCCAIIAggCCAIIAhgCAwQYAQIeAAQxAQICAogCBAIFAgYCBwIIAgkCswILArECDQIIAggCCAIIAggCCAIIAggCCAIIAggCCAIIAggCCAIIAggCGAIDBBoBAh4ABDEBAgICIQIEAgUCBgIHAggCCQIKAgsCsQINAggCCAIIAggCCAIIAggCCAIIAggCCAIIAggCCAIIAggCCAIYAgMEHAECHgAEMQECAgIbAgQCBQIGAgcCCAIJAhwCCwKxAg0CCAIIAggCCAIIAggCCAIIAggCCAIIAggCCAIIAggCCAIIAhgCAwQAAQIeAAQxAQICAicCBAIFAgYCBwIIAgkCCgILArECDQIIAggCCAIIAggCCAIIAggCCAIIAggCCAIIAggCCAIIAggCGAIDAigCHgAEMQECAgJlAgQCBQIGAgcCCAIJArMCCwKxAg0CCAIIAggCCAIIAggCCAIIAggCCAIIAggCCAIIAggCCAIIAhgCAwQSAQIeAAQxAQICAjsCBAIFAgYCBwIIAgkCswILArECDQIIAggCCAIIAggCCAIIAggCCAIIAggCCAIIAggCCAIIAggCGAIDBBcBAh4ABDEBAgICHgIEAgUCBgIHAggCCQIKAgsCsQINAggCCAIIAggCCAIIAggCCAIIAggCCAIIAggCCAIIAggCCAIYAgMCwAIeAAQxAQICAlYCBAIFAgYCBwIIAgkCCgILArECDQIIAggCCAIIAggCCAIIAggCCAIIAggCCAIIAggCCAIIAggCGAIDBBMBAh4ABDEBAgICLQIEAgUCBgIHAggCCQKzAgsCsQINAggCCAIIAggCCAIIAggCCAIIAggCCAIIAggCCAIIAggCCAIYAgN6AAAEAAL9Ah4ABDEBAgICSQIEAgUCBgIHAggCCQIcAgsCsQINAggCCAIIAggCCAIIAggCCAIIAggCCAIIAggCCAIIAggCCAIYAgMEIAECHgAEMQECAgIvAgQCBQIGAgcCCAIJArMCCwKxAg0CCAIIAggCCAIIAggCCAIIAggCCAIIAggCCAIIAggCCAIIAhgCAwK5Ah4ABDEBAgICbgIEAgUCBgIHAggCCQIcAgsCsQINAggCCAIIAggCCAIIAggCCAIIAggCCAIIAggCCAIIAggCCAIYAgMEFAECHgAEMQECAgJfAgQCBQIGAgcCCAIJAgoCCwKxAg0CCAIIAggCCAIIAggCCAIIAggCCAIIAggCCAIIAggCCAIIAhgCAwLbAh4ABDEBAgICJQIEAgUCBgIHAggCCQKzAgsCsQINAggCCAIIAggCCAIIAggCCAIIAggCCAIIAggCCAIIAggCCAIYAgMEDwECHgAEMQECAgKIAgQCBQIGAgcCCAIJAgoCCwKxAg0CCAIIAggCCAIIAggCCAIIAggCCAIIAggCCAIIAggCCAIIAhgCAwQJAQIeAAQxAQICAtcCBAIFAgYCBwIIAgkCCgILArECDQIIAggCCAIIAggCCAIIAggCCAIIAggCCAIIAggCCAIIAggCGAIDAtgCHgAEMQECAgJWAgQCBQIGAgcCCAIJAhwCCwKxAg0CCAIIAggCCAIIAggCCAIIAggCCAIIAggCCAIIAggCCAIIAhgCAwQOAQIeAAQxAQICAk8CBAIFAgYCBwIIAgkCHAILArECDQIIAggCCAIIAggCCAIIAggCCAIIAggCCAIIAggCCAIIAggCGAIDAt8CHgAEMQECAgJfAgQCBQIGAgcCCAIJAhwCCwKxAg0CCAIIAggCCAIIAggCCAIIAggCCAIIAggCCAIIAggCCAIIAhgCAwQEAQIeAAQxAQICAgMCBAIFAgYCBwIIAgkCswILArECDQIIAggCCAIIAggCCAIIAggCCAIIAggCCAIIAggCCAIIAggCGAIDBAgBAh4ABDEBAgICdQIEAgUCBgIHAggCCQIcAgsCsQINAggCCAIIAggCCAIIAggCCAIIAggCCAIIAggCCAIIAggCCAIYAgMC1gIeAAQxAQICAo0CBAIFAgYCBwIIAgkCHAILArECDQIIAggCCAIIAggCCAIIAggCCAIIAggCCAIIAggCCAIIAggCGAIDAs0CHgAEMQECAgJHAgQCBQIGAgcCCAIJArMCCwKxAg0CCAIIAggCCAIIAggCCAIIAggCCAIIAggCCAIIAggCCAIIAhgCAwQHAQIeAAQxAQICAk0CBAIFAgYCBwIIAgkCswILArECDQIIAgh6AAAEAAIIAggCCAIIAggCCAIIAggCCAIIAggCCAIIAggCCAIYAgMCygIeAAQxAQICAkICBAIFAgYCBwIIAgkCswILArECDQIIAggCCAIIAggCCAIIAggCCAIIAggCCAIIAggCCAIIAggCGAIDAs4CHgAEMQECAgJuAgQCBQIGAgcCCAIJAgoCCwKxAg0CCAIIAggCCAIIAggCCAIIAggCCAIIAggCCAIIAggCCAIIAhgCAwLIAh4ABDEBAgICZQIEAgUCBgIHAggCCQIKAgsCsQINAggCCAIIAggCCAIIAggCCAIIAggCCAIIAggCCAIIAggCCAIYAgMCvAIeAAQxAQICAl0CBAIFAgYCBwIIAgkCCgILArECDQIIAggCCAIIAggCCAIIAggCCAIIAggCCAIIAggCCAIIAggCGAIDAu4CHgAEMQECAgJZAgQCBQIGAgcCCAIJAgoCCwKxAg0CCAIIAggCCAIIAggCCAIIAggCCAIIAggCCAIIAggCCAIIAhgCAwL/Ah4ABDEBAgICPQIEAgUCBgIHAggCCQKzAgsCsQINAggCCAIIAggCCAIIAggCCAIIAggCCAIIAggCCAIIAggCCAIYAgMCuwIeAAQxAQICAnUCBAIFAgYCBwIIAgkCCgILArECDQIIAggCCAIIAggCCAIIAggCCAIIAggCCAIIAggCCAIIAggCGAIDAtwCHgAEMQECAgQVAQIEAgUCBgIHAggCCQIcAgsCsQINAggCCAIIAggCCAIIAggCCAIIAggCCAIIAggCCAIIAggCCAIYAgMEFgECHgAEMQECAgJRAgQCBQIGAgcCCAIJAhwCCwKxAg0CCAIIAggCCAIIAggCCAIIAggCCAIIAggCCAIIAggCCAIIAhgCAwL7Ah4ABDEBAgICYQIEAgUCBgIHAggCCQIKAgsCsQINAggCCAIIAggCCAIIAggCCAIIAggCCAIIAggCCAIIAggCCAIYAgMC/gIeAAQxAQICAlECBAIFAgYCBwIIAgkCswILArECDQIIAggCCAIIAggCCAIIAggCCAIIAggCCAIIAggCCAIIAggCGAIDAsUCHgAEMQECAgIxAgQCBQIGAgcCCAIJArMCCwKxAg0CCAIIAggCCAIIAggCCAIIAggCCAIIAggCCAIIAggCCAIIAhgCAwL8Ah4ABDEBAgICLQIEAgUCBgIHAggCCQIcAgsCsQINAggCCAIIAggCCAIIAggCCAIIAggCCAIIAggCCAIIAggCCAIYAgMCvgIeAAQxAQICAo0CBAIFAgYCBwIIAgkCCgILArECDQIIAggCCAIIAggCCAIIAggCCAIIAggCCAIIAggCCAIIAggCGAIDArgCHgAEMQF6AAAEAAICApACBAIFAgYCBwIIAgkCCgILArECDQIIAggCCAIIAggCCAIIAggCCAIIAggCCAIIAggCCAIIAggCGAIDAvgCHgAEMQECAgKBAgQCBQIGAgcCCAIJAgoCCwKxAg0CCAIIAggCCAIIAggCCAIIAggCCAIIAggCCAIIAggCCAIIAhgCAwLBAh4ABDEBAgICVQIEAgUCBgIHAggCCQKzAgsCsQINAggCCAIIAggCCAIIAggCCAIIAggCCAIIAggCCAIIAggCCAIYAgMCuQIeAAQxAQICAikCBAIFAgYCBwIIAgkCHAILArECDQIIAggCCAIIAggCCAIIAggCCAIIAggCCAIIAggCCAIIAggCGAIDAr0CHgAEMQECAgI9AgQCBQIGAgcCCAIJAhwCCwKxAg0CCAIIAggCCAIIAggCCAIIAggCCAIIAggCCAIIAggCCAIIAhgCAwLvAh4ABDEBAgICWQIEAgUCBgIHAggCCQKzAgsCsQINAggCCAIIAggCCAIIAggCCAIIAggCCAIIAggCCAIIAggCCAIYAgMCtQIeAAQxAQICAkACBAIFAgYCBwIIAgkCCgILArECDQIIAggCCAIIAggCCAIIAggCCAIIAggCCAIIAggCCAIIAggCGAIDArYCHgAEMQECAgKQAgQCBQIGAgcCCAIJAhwCCwKxAg0CCAIIAggCCAIIAggCCAIIAggCCAIIAggCCAIIAggCCAIIAhgCAwLtAh4ABDEBAgICJwIEAgUCBgIHAggCCQKzAgsCsQINAggCCAIIAggCCAIIAggCCAIIAggCCAIIAggCCAIIAggCCAIYAgMCKAIeAAQxAQICAmECBAIFAgYCBwIIAgkCswILArECDQIIAggCCAIIAggCCAIIAggCCAIIAggCCAIIAggCCAIIAggCGAIDArQCHgAEMQECAgI7AgQCBQIGAgcCCAIJAgoCCwKxAg0CCAIIAggCCAIIAggCCAIIAggCCAIIAggCCAIIAggCCAIIAhgCAwLVAh4ABDEBAgICXwIEAgUCBgIHAggCCQKzAgsCsQINAggCCAIIAggCCAIIAggCCAIIAggCCAIIAggCCAIIAggCCAIYAgMC0gIeAAQxAQICAh4CBAIFAgYCBwIIAgkCswILArECDQIIAggCCAIIAggCCAIIAggCCAIIAggCCAIIAggCCAIIAggCGAIDAugCHgAEMQECAgI5AgQCBQIGAgcCCAIJAhwCCwKxAg0CCAIIAggCCAIIAggCCAIIAggCCAIIAggCCAIIAggCCAIIAhgCAwQKAQIeAAQxAQICAisCBAIFAgYCBwIIAgkCswILArECDQIIAggCCAIIAggCCAIIAggCCAJ6AAAEAAgCCAIIAggCCAIIAggCCAIYAgMC5AIeAAQxAQICAjMCBAIFAgYCBwIIAgkCCgILArECDQIIAggCCAIIAggCCAIIAggCCAIIAggCCAIIAggCCAIIAggCGAIDAuoCHgAEMQECAgIxAgQCBQIGAgcCCAIJAgoCCwKxAg0CCAIIAggCCAIIAggCCAIIAggCCAIIAggCCAIIAggCCAIIAhgCAwLrAh4ABDEBAgICJQIEAgUCBgIHAggCCQIKAgsCsQINAggCCAIIAggCCAIIAggCCAIIAggCCAIIAggCCAIIAggCCAIYAgMC4gIeAAQxAQICAlMCBAIFAgYCBwIIAgkCswILArECDQIIAggCCAIIAggCCAIIAggCCAIIAggCCAIIAggCCAIIAggCGAIDAukCHgAEMQECAgLXAgQCBQIGAgcCCAIJAhwCCwKxAg0CCAIIAggCCAIIAggCCAIIAggCCAIIAggCCAIIAggCCAIIAhgCAwLmAh4ABDEBAgICQAIEAgUCBgIHAggCCQIcAgsCsQINAggCCAIIAggCCAIIAggCCAIIAggCCAIIAggCCAIIAggCCAIYAgMC4wIeAAQxAQICAkUCBAIFAgYCBwIIAgkCswILArECDQIIAggCCAIIAggCCAIIAggCCAIIAggCCAIIAggCCAIIAggCGAIDAuUCHgAEMQECAgJPAgQCBQIGAgcCCAIJAgoCCwKxAg0CCAIIAggCCAIIAggCCAIIAggCCAIIAggCCAIIAggCCAIIAhgCAwK3Ah4ABDEBAgICNwIEAgUCBgIHAggCCQIcAgsCsQINAggCCAIIAggCCAIIAggCCAIIAggCCAIIAggCCAIIAggCCAIYAgMCxAIeAAQxAQICAogCBAIFAgYCBwIIAgkCHAILArECDQIIAggCCAIIAggCCAIIAggCCAIIAggCCAIIAggCCAIIAggCGAIDAuACHgAEMQECAgI9AgQCBQIGAgcCCAIJAgoCCwKxAg0CCAIIAggCCAIIAggCCAIIAggCCAIIAggCCAIIAggCCAIIAhgCAwLhAh4ABDEBAgICZQIEAgUCBgIHAggCCQIcAgsCsQINAggCCAIIAggCCAIIAggCCAIIAggCCAIIAggCCAIIAggCCAIYAgMCzAIeAAQxAQICAhsCBAIFAgYCBwIIAgkCswILArECDQIIAggCCAIIAggCCAIIAggCCAIIAggCCAIIAggCCAIIAggCGAIDAt0CHgAEMQECAgJdAgQCBQIGAgcCCAIJArMCCwKxAg0CCAIIAggCCAIIAggCCAIIAggCCAIIAggCCAIIAggCCAIIAhgCAwK5Ah4ABDEBAgICLwIEAgUCBgIHAggCCQJ6AAAEAAoCCwKxAg0CCAIIAggCCAIIAggCCAIIAggCCAIIAggCCAIIAggCCAIIAhgCAwLuAh4ABDEBAgICOwIEAgUCBgIHAggCCQIcAgsCsQINAggCCAIIAggCCAIIAggCCAIIAggCCAIIAggCCAIIAggCCAIYAgMC3gIeAAQyAQAJMjkzODQ4NzA0AgICGwIEAgUCBgIHAggCCQIcAgsCsQINAggCCAIIAggCCAIIAggCCAIIAggCCAIIAggCCAIIAggCCAIQAgMEAAECHgAEMgECAgJAAgQCBQIGAgcCCAIJArMCCwKxAg0CCAIIAggCCAIIAggCCAIIAggCCAIIAggCCAIIAggCCAIIAhACAwQdAQIeAAQyAQICAgMCBAIFAgYCBwIIAgkCCgILArECDQIIAggCCAIIAggCCAIIAggCCAIIAggCCAIIAggCCAIIAggCEAIDBBsBAh4ABDIBAgIC9AIEAgUCBgIHAggCCQIcAgsCsQINAggCCAIIAggCCAIIAggCCAIIAggCCAIIAggCCAIIAggCCAIQAgMEGQECHgAEMgECAgI7AgQCBQIGAgcCCAIJArMCCwKxAg0CCAIIAggCCAIIAggCCAIIAggCCAIIAggCCAIIAggCCAIIAhACAwQXAQIeAAQyAQICAi8CBAIFAgYCBwIIAgkCCgILArECDQIIAggCCAIIAggCCAIIAggCCAIIAggCCAIIAggCCAIIAggCEAIDAu4CHgAEMgECAgJlAgQCBQIGAgcCCAIJArMCCwKxAg0CCAIIAggCCAIIAggCCAIIAggCCAIIAggCCAIIAggCCAIIAhACAwQSAQIeAAQyAQICAoECBAIFAgYCBwIIAgkCswILArECDQIIAggCCAIIAggCCAIIAggCCAIIAggCCAIIAggCCAIIAggCEAIDBAsBAh4ABDIBAgICQgIEAgUCBgIHAggCCQIcAgsCsQINAggCCAIIAggCCAIIAggCCAIIAggCCAIIAggCCAIIAggCCAIQAgMEAwECHgAEMgECAgJTAgQCBQIGAgcCCAIJArMCCwKxAg0CCAIIAggCCAIIAggCCAIIAggCCAIIAggCCAIIAggCCAIIAhACAwLpAh4ABDIBAgICTQIEAgUCBgIHAggCCQIcAgsCsQINAggCCAIIAggCCAIIAggCCAIIAggCCAIIAggCCAIIAggCCAIQAgMC+QIeAAQyAQICAiMCBAIFAgYCBwIIAgkCHAILArECDQIIAggCCAIIAggCCAIIAggCCAIIAggCCAIIAggCCAIIAggCEAIDBAEBAh4ABDIBAgICJQIEAgUCBgIHAggCCQIKAgsCsQINAggCCAIIAggCCAIIAggCCAJ6AAAEAAgCCAIIAggCCAIIAggCCAIIAhACAwLiAh4ABDIBAgICjQIEAgUCBgIHAggCCQKzAgsCsQINAggCCAIIAggCCAIIAggCCAIIAggCCAIIAggCCAIIAggCCAIQAgMEAgECHgAEMgECAgL0AgQCBQIGAgcCCAIJAgoCCwKxAg0CCAIIAggCCAIIAggCCAIIAggCCAIIAggCCAIIAggCCAIIAhACAwL1Ah4ABDIBAgICRQIEAgUCBgIHAggCCQIKAgsCsQINAggCCAIIAggCCAIIAggCCAIIAggCCAIIAggCCAIIAggCCAIQAgMEDQECHgAEMgECAgJ1AgQCBQIGAgcCCAIJArMCCwKxAg0CCAIIAggCCAIIAggCCAIIAggCCAIIAggCCAIIAggCCAIIAhACAwLTAh4ABDIBAgICLQIEAgUCBgIHAggCCQKzAgsCsQINAggCCAIIAggCCAIIAggCCAIIAggCCAIIAggCCAIIAggCCAIQAgMC/QIeAAQyAQICAhsCBAIFAgYCBwIIAgkCCgILArECDQIIAggCCAIIAggCCAIIAggCCAIIAggCCAIIAggCCAIIAggCEAIDBAYBAh4ABDIBAgICOQIEAgUCBgIHAggCCQIcAgsCsQINAggCCAIIAggCCAIIAggCCAIIAggCCAIIAggCCAIIAggCCAIQAgMECgECHgAEMgECAgIDAgQCBQIGAgcCCAIJAhwCCwKxAg0CCAIIAggCCAIIAggCCAIIAggCCAIIAggCCAIIAggCCAIIAhACAwQMAQIeAAQyAQICAl0CBAIFAgYCBwIIAgkCHAILArECDQIIAggCCAIIAggCCAIIAggCCAIIAggCCAIIAggCCAIIAggCEAIDAskCHgAEMgECAgIrAgQCBQIGAgcCCAIJAgoCCwKxAg0CCAIIAggCCAIIAggCCAIIAggCCAIIAggCCAIIAggCCAIIAhACAwQFAQIeAAQyAQICApACBAIFAgYCBwIIAgkCCgILArECDQIIAggCCAIIAggCCAIIAggCCAIIAggCCAIIAggCCAIIAggCEAIDAvgCHgAEMgECAgJhAgQCBQIGAgcCCAIJAhwCCwKxAg0CCAIIAggCCAIIAggCCAIIAggCCAIIAggCCAIIAggCCAIIAhACAwLxAh4ABDIBAgICWQIEAgUCBgIHAggCCQIcAgsCsQINAggCCAIIAggCCAIIAggCCAIIAggCCAIIAggCCAIIAggCCAIQAgMC9gIeAAQyAQICAikCBAIFAgYCBwIIAgkCswILArECDQIIAggCCAIIAggCCAIIAggCCAIIAggCCAIIAggCCAIIAggCEAIDAvACHgAEMgECAgJhAgQCBQJ6AAAEAAYCBwIIAgkCCgILArECDQIIAggCCAIIAggCCAIIAggCCAIIAggCCAIIAggCCAIIAggCEAIDAv4CHgAEMgECAgJVAgQCBQIGAgcCCAIJAhwCCwKxAg0CCAIIAggCCAIIAggCCAIIAggCCAIIAggCCAIIAggCCAIIAhACAwLJAh4ABDIBAgICiAIEAgUCBgIHAggCCQIcAgsCsQINAggCCAIIAggCCAIIAggCCAIIAggCCAIIAggCCAIIAggCCAIQAgMC4AIeAAQyAQICAj0CBAIFAgYCBwIIAgkCCgILArECDQIIAggCCAIIAggCCAIIAggCCAIIAggCCAIIAggCCAIIAggCEAIDAuECHgAEMgECAgIxAgQCBQIGAgcCCAIJAhwCCwKxAg0CCAIIAggCCAIIAggCCAIIAggCCAIIAggCCAIIAggCCAIIAhACAwLGAh4ABDIBAgICMwIEAgUCBgIHAggCCQIcAgsCsQINAggCCAIIAggCCAIIAggCCAIIAggCCAIIAggCCAIIAggCCAIQAgMCwgIeAAQyAQICAjcCBAIFAgYCBwIIAgkCHAILArECDQIIAggCCAIIAggCCAIIAggCCAIIAggCCAIIAggCCAIIAggCEAIDAsQCHgAEMgECAgJHAgQCBQIGAgcCCAIJArMCCwKxAg0CCAIIAggCCAIIAggCCAIIAggCCAIIAggCCAIIAggCCAIIAhACAwQHAQIeAAQyAQICAjMCBAIFAgYCBwIIAgkCCgILArECDQIIAggCCAIIAggCCAIIAggCCAIIAggCCAIIAggCCAIIAggCEAIDAuoCHgAEMgECAgIxAgQCBQIGAgcCCAIJAgoCCwKxAg0CCAIIAggCCAIIAggCCAIIAggCCAIIAggCCAIIAggCCAIIAhACAwLrAh4ABDIBAgICKwIEAgUCBgIHAggCCQKzAgsCsQINAggCCAIIAggCCAIIAggCCAIIAggCCAIIAggCCAIIAggCCAIQAgMC5AIeAAQyAQICAl0CBAIFAgYCBwIIAgkCCgILArECDQIIAggCCAIIAggCCAIIAggCCAIIAggCCAIIAggCCAIIAggCEAIDAu4CHgAEMgECAgLXAgQCBQIGAgcCCAIJAhwCCwKxAg0CCAIIAggCCAIIAggCCAIIAggCCAIIAggCCAIIAggCCAIIAhACAwLmAh4ABDIBAgICWQIEAgUCBgIHAggCCQIKAgsCsQINAggCCAIIAggCCAIIAggCCAIIAggCCAIIAggCCAIIAggCCAIQAgMC/wIeAAQyAQICAkUCBAIFAgYCBwIIAgkCswILArECDQIIAggCCAIIAggCCAIIAggCCAIIAggCCAIIAgh6AAAEAAIIAggCCAIQAgMC5QIeAAQyAQICAlUCBAIFAgYCBwIIAgkCCgILArECDQIIAggCCAIIAggCCAIIAggCCAIIAggCCAIIAggCCAIIAggCEAIDAu4CHgAEMgECAgKQAgQCBQIGAgcCCAIJAhwCCwKxAg0CCAIIAggCCAIIAggCCAIIAggCCAIIAggCCAIIAggCCAIIAhACAwLtAh4ABDIBAgICUQIEAgUCBgIHAggCCQKzAgsCsQINAggCCAIIAggCCAIIAggCCAIIAggCCAIIAggCCAIIAggCCAIQAgMCxQIeAAQyAQICAi8CBAIFAgYCBwIIAgkCHAILArECDQIIAggCCAIIAggCCAIIAggCCAIIAggCCAIIAggCCAIIAggCEAIDAskCHgAEMgECAgIlAgQCBQIGAgcCCAIJAhwCCwKxAg0CCAIIAggCCAIIAggCCAIIAggCCAIIAggCCAIIAggCCAIIAhACAwLaAh4ABDIBAgICHgIEAgUCBgIHAggCCQKzAgsCsQINAggCCAIIAggCCAIIAggCCAIIAggCCAIIAggCCAIIAggCCAIQAgMC6AIeAAQyAQICAl8CBAIFAgYCBwIIAgkCCgILArECDQIIAggCCAIIAggCCAIIAggCCAIIAggCCAIIAggCCAIIAggCEAIDAtsCHgAEMgECAgKBAgQCBQIGAgcCCAIJAgoCCwKxAg0CCAIIAggCCAIIAggCCAIIAggCCAIIAggCCAIIAggCCAIIAhACAwLBAh4ABDIBAgICIwIEAgUCBgIHAggCCQIKAgsCsQINAggCCAIIAggCCAIIAggCCAIIAggCCAIIAggCCAIIAggCCAIQAgMC5wIeAAQyAQICAo0CBAIFAgYCBwIIAgkCCgILArECDQIIAggCCAIIAggCCAIIAggCCAIIAggCCAIIAggCCAIIAggCEAIDArgCHgAEMgECAgIhAgQCBQIGAgcCCAIJArMCCwKxAg0CCAIIAggCCAIIAggCCAIIAggCCAIIAggCCAIIAggCCAIIAhACAwLyAh4ABDIBAgICJwIEAgUCBgIHAggCCQKzAgsCsQINAggCCAIIAggCCAIIAggCCAIIAggCCAIIAggCCAIIAggCCAIQAgMCKAIeAAQyAQICAlYCBAIFAgYCBwIIAgkCswILArECDQIIAggCCAIIAggCCAIIAggCCAIIAggCCAIIAggCCAIIAggCEAIDAuwCHgAEMgECAgI9AgQCBQIGAgcCCAIJAhwCCwKxAg0CCAIIAggCCAIIAggCCAIIAggCCAIIAggCCAIIAggCCAIIAhACAwLvAh4ABDIBAgICSQIEAgUCBgIHAggCCQKzAgsCsQINAgh6AAAEAAIIAggCCAIIAggCCAIIAggCCAIIAggCCAIIAggCCAIIAhACAwLZAh4ABDIBAgICOwIEAgUCBgIHAggCCQIcAgsCsQINAggCCAIIAggCCAIIAggCCAIIAggCCAIIAggCCAIIAggCCAIQAgMC3gIeAAQyAQICAmUCBAIFAgYCBwIIAgkCHAILArECDQIIAggCCAIIAggCCAIIAggCCAIIAggCCAIIAggCCAIIAggCEAIDAswCHgAEMgECAgJuAgQCBQIGAgcCCAIJAgoCCwKxAg0CCAIIAggCCAIIAggCCAIIAggCCAIIAggCCAIIAggCCAIIAhACAwLIAh4ABDIBAgIEFQECBAIFAgYCBwIIAgkCHAILArECDQIIAggCCAIIAggCCAIIAggCCAIIAggCCAIIAggCCAIIAggCEAIDBBYBAh4ABDIBAgICVgIEAgUCBgIHAggCCQIKAgsCsQINAggCCAIIAggCCAIIAggCCAIIAggCCAIIAggCCAIIAggCCAIQAgMEEwECHgAEMgECAgJPAgQCBQIGAgcCCAIJAhwCCwKxAg0CCAIIAggCCAIIAggCCAIIAggCCAIIAggCCAIIAggCCAIIAhACAwLfAh4ABDIBAgICdQIEAgUCBgIHAggCCQIKAgsCsQINAggCCAIIAggCCAIIAggCCAIIAggCCAIIAggCCAIIAggCCAIQAgMC3AIeAAQyAQICAhsCBAIFAgYCBwIIAgkCswILArECDQIIAggCCAIIAggCCAIIAggCCAIIAggCCAIIAggCCAIIAggCEAIDAt0CHgAEMgECAgJJAgQCBQIGAgcCCAIJAgoCCwKxAg0CCAIIAggCCAIIAggCCAIIAggCCAIIAggCCAIIAggCCAIIAhACAwLDAh4ABDIBAgICZQIEAgUCBgIHAggCCQIKAgsCsQINAggCCAIIAggCCAIIAggCCAIIAggCCAIIAggCCAIIAggCCAIQAgMCvAIeAAQyAQICAkACBAIFAgYCBwIIAgkCHAILArECDQIIAggCCAIIAggCCAIIAggCCAIIAggCCAIIAggCCAIIAggCEAIDAuMCHgAEMgECAgJCAgQCBQIGAgcCCAIJArMCCwKxAg0CCAIIAggCCAIIAggCCAIIAggCCAIIAggCCAIIAggCCAIIAhACAwLOAh4ABDIBAgICTQIEAgUCBgIHAggCCQKzAgsCsQINAggCCAIIAggCCAIIAggCCAIIAggCCAIIAggCCAIIAggCCAIQAgMCygIeAAQyAQICAo0CBAIFAgYCBwIIAgkCHAILArECDQIIAggCCAIIAggCCAIIAggCCAIIAggCCAIIAggCCAIIAggCEAIDAs0CHgB6AAAEAAQyAQICAk8CBAIFAgYCBwIIAgkCCgILArECDQIIAggCCAIIAggCCAIIAggCCAIIAggCCAIIAggCCAIIAggCEAIDArcCHgAEMgECAgJAAgQCBQIGAgcCCAIJAgoCCwKxAg0CCAIIAggCCAIIAggCCAIIAggCCAIIAggCCAIIAggCCAIIAhACAwK2Ah4ABDIBAgIC1wIEAgUCBgIHAggCCQIKAgsCsQINAggCCAIIAggCCAIIAggCCAIIAggCCAIIAggCCAIIAggCCAIQAgMC2AIeAAQyAQICAogCBAIFAgYCBwIIAgkCCgILArECDQIIAggCCAIIAggCCAIIAggCCAIIAggCCAIIAggCCAIIAggCEAIDBAkBAh4ABDIBAgICWQIEAgUCBgIHAggCCQKzAgsCsQINAggCCAIIAggCCAIIAggCCAIIAggCCAIIAggCCAIIAggCCAIQAgMCtQIeAAQyAQICAmECBAIFAgYCBwIIAgkCswILArECDQIIAggCCAIIAggCCAIIAggCCAIIAggCCAIIAggCCAIIAggCEAIDArQCHgAEMgECAgJdAgQCBQIGAgcCCAIJArMCCwKxAg0CCAIIAggCCAIIAggCCAIIAggCCAIIAggCCAIIAggCCAIIAhACAwK5Ah4ABDIBAgICOwIEAgUCBgIHAggCCQIKAgsCsQINAggCCAIIAggCCAIIAggCCAIIAggCCAIIAggCCAIIAggCCAIQAgMC1QIeAAQyAQICAm4CBAIFAgYCBwIIAgkCHAILArECDQIIAggCCAIIAggCCAIIAggCCAIIAggCCAIIAggCCAIIAggCEAIDBBQBAh4ABDIBAgICdQIEAgUCBgIHAggCCQIcAgsCsQINAggCCAIIAggCCAIIAggCCAIIAggCCAIIAggCCAIIAggCCAIQAgMC1gIeAAQyAQICAoECBAIFAgYCBwIIAgkCHAILArECDQIIAggCCAIIAggCCAIIAggCCAIIAggCCAIIAggCCAIIAggCEAIDAs8CHgAEMgECAgJfAgQCBQIGAgcCCAIJAhwCCwKxAg0CCAIIAggCCAIIAggCCAIIAggCCAIIAggCCAIIAggCCAIIAhACAwQEAQIeAAQyAQICAgMCBAIFAgYCBwIIAgkCswILArECDQIIAggCCAIIAggCCAIIAggCCAIIAggCCAIIAggCCAIIAggCEAIDBAgBAh4ABDIBAgICLQIEAgUCBgIHAggCCQIcAgsCsQINAggCCAIIAggCCAIIAggCCAIIAggCCAIIAggCCAIIAggCCAIQAgMCvgIeAAQyAQICAjkCBAIFAgYCBwIIAgkCswILArECDQIIAggCCAIIAggCCAJ6AAAEAAgCCAIIAggCCAIIAggCCAIIAggCCAIQAgMC1AIeAAQyAQICAlMCBAIFAgYCBwIIAgkCCgILArECDQIIAggCCAIIAggCCAIIAggCCAIIAggCCAIIAggCCAIIAggCEAIDAr8CHgAEMgECAgIpAgQCBQIGAgcCCAIJAhwCCwKxAg0CCAIIAggCCAIIAggCCAIIAggCCAIIAggCCAIIAggCCAIIAhACAwK9Ah4ABDIBAgICiAIEAgUCBgIHAggCCQKzAgsCsQINAggCCAIIAggCCAIIAggCCAIIAggCCAIIAggCCAIIAggCCAIQAgMEGgECHgAEMgECAgIpAgQCBQIGAgcCCAIJAgoCCwKxAg0CCAIIAggCCAIIAggCCAIIAggCCAIIAggCCAIIAggCCAIIAhACAwLHAh4ABDIBAgICJwIEAgUCBgIHAggCCQIKAgsCsQINAggCCAIIAggCCAIIAggCCAIIAggCCAIIAggCCAIIAggCCAIQAgMCKAIeAAQyAQICAlECBAIFAgYCBwIIAgkCHAILArECDQIIAggCCAIIAggCCAIIAggCCAIIAggCCAIIAggCCAIIAggCEAIDAvsCHgAEMgECAgItAgQCBQIGAgcCCAIJAgoCCwKxAg0CCAIIAggCCAIIAggCCAIIAggCCAIIAggCCAIIAggCCAIIAhACAwLLAh4ABDIBAgICHgIEAgUCBgIHAggCCQIKAgsCsQINAggCCAIIAggCCAIIAggCCAIIAggCCAIIAggCCAIIAggCCAIQAgMCwAIeAAQyAQICAl8CBAIFAgYCBwIIAgkCswILArECDQIIAggCCAIIAggCCAIIAggCCAIIAggCCAIIAggCCAIIAggCEAIDAtICHgAEMgECAgJRAgQCBQIGAgcCCAIJAgoCCwKxAg0CCAIIAggCCAIIAggCCAIIAggCCAIIAggCCAIIAggCCAIIAhACAwQhAQIeAAQyAQICAjECBAIFAgYCBwIIAgkCswILArECDQIIAggCCAIIAggCCAIIAggCCAIIAggCCAIIAggCCAIIAggCEAIDAvwCHgAEMgECAgI3AgQCBQIGAgcCCAIJAgoCCwKxAg0CCAIIAggCCAIIAggCCAIIAggCCAIIAggCCAIIAggCCAIIAhACAwLQAh4ABDIBAgICRwIEAgUCBgIHAggCCQIcAgsCsQINAggCCAIIAggCCAIIAggCCAIIAggCCAIIAggCCAIIAggCCAIQAgMC0QIeAAQyAQICAlUCBAIFAgYCBwIIAgkCswILArECDQIIAggCCAIIAggCCAIIAggCCAIIAggCCAIIAggCCAIIAggCEAIDArkCHgAEMgECAgIrAgQCBQJ6AAAEAAYCBwIIAgkCHAILArECDQIIAggCCAIIAggCCAIIAggCCAIIAggCCAIIAggCCAIIAggCEAIDBBEBAh4ABDIBAgICIQIEAgUCBgIHAggCCQIKAgsCsQINAggCCAIIAggCCAIIAggCCAIIAggCCAIIAggCCAIIAggCCAIQAgMEHAECHgAEMgECAgJFAgQCBQIGAgcCCAIJAhwCCwKxAg0CCAIIAggCCAIIAggCCAIIAggCCAIIAggCCAIIAggCCAIIAhACAwQYAQIeAAQyAQICAlYCBAIFAgYCBwIIAgkCHAILArECDQIIAggCCAIIAggCCAIIAggCCAIIAggCCAIIAggCCAIIAggCEAIDBA4BAh4ABDIBAgICIQIEAgUCBgIHAggCCQIcAgsCsQINAggCCAIIAggCCAIIAggCCAIIAggCCAIIAggCCAIIAggCCAIQAgMCsgIeAAQyAQICAicCBAIFAgYCBwIIAgkCHAILArECDQIIAggCCAIIAggCCAIIAggCCAIIAggCCAIIAggCCAIIAggCEAIDAigCHgAEMgECAgJTAgQCBQIGAgcCCAIJAhwCCwKxAg0CCAIIAggCCAIIAggCCAIIAggCCAIIAggCCAIIAggCCAIIAhACAwK6Ah4ABDIBAgICTQIEAgUCBgIHAggCCQIKAgsCsQINAggCCAIIAggCCAIIAggCCAIIAggCCAIIAggCCAIIAggCCAIQAgMEIgECHgAEMgECAgIeAgQCBQIGAgcCCAIJAhwCCwKxAg0CCAIIAggCCAIIAggCCAIIAggCCAIIAggCCAIIAggCCAIIAhACAwQjAQIeAAQyAQICAjkCBAIFAgYCBwIIAgkCCgILArECDQIIAggCCAIIAggCCAIIAggCCAIIAggCCAIIAggCCAIIAggCEAIDAvoCHgAEMgECAgKQAgQCBQIGAgcCCAIJArMCCwKxAg0CCAIIAggCCAIIAggCCAIIAggCCAIIAggCCAIIAggCCAIIAhACAwQfAQIeAAQyAQICAkkCBAIFAgYCBwIIAgkCHAILArECDQIIAggCCAIIAggCCAIIAggCCAIIAggCCAIIAggCCAIIAggCEAIDBCABAh4ABDIBAgIEFQECBAIFAgYCBwIIAgkCCgILArECDQIIAggCCAIIAggCCAIIAggCCAIIAggCCAIIAggCCAIIAggCEAIDBB4BAh4ABDIBAgICMwIEAgUCBgIHAggCCQKzAgsCsQINAggCCAIIAggCCAIIAggCCAIIAggCCAIIAggCCAIIAggCCAIQAgMC9wIeAAQyAQICAkcCBAIFAgYCBwIIAgkCCgILArECDQIIAggCCAIIAggCCAIIAggCCAJ6AAAEAAgCCAIIAggCCAIIAggCCAIQAgMEEAECHgAEMgECAgJCAgQCBQIGAgcCCAIJAgoCCwKxAg0CCAIIAggCCAIIAggCCAIIAggCCAIIAggCCAIIAggCCAIIAhACAwLzAh4ABDIBAgICJQIEAgUCBgIHAggCCQKzAgsCsQINAggCCAIIAggCCAIIAggCCAIIAggCCAIIAggCCAIIAggCCAIQAgMEDwECHgAEMgECAgIvAgQCBQIGAgcCCAIJArMCCwKxAg0CCAIIAggCCAIIAggCCAIIAggCCAIIAggCCAIIAggCCAIIAhACAwK5Ah4ABDIBAgICPQIEAgUCBgIHAggCCQKzAgsCsQINAggCCAIIAggCCAIIAggCCAIIAggCCAIIAggCCAIIAggCCAIQAgMCuwIeAAQzAQAJMjkzODUyMTg0AgICRQIEAgUCBgIHAggCCQIcAgsCDAINAggCCAIIAggCCAIIAggCCAIIAggCCAIIAggCCAIIAggCCAIRAgMCWwIeAAQzAQICAm4CBAIFAgYCBwIIAgkCHwILAgwCDQIIAggCCAIIAggCCAIIAggCCAIIAggCCAIIAggCCAIIAggCEQIDAqECHgAEMwECAgJWAgQCBQIGAgcCCAIJAh8CCwIMAg0CCAIIAggCCAIIAggCCAIIAggCCAIIAggCCAIIAggCCAIIAhECAwJXAh4ABDMBAgICMwIEAgUCBgIHAggCCQIKAgsCDAINAggCCAIIAggCCAIIAggCCAIIAggCCAIIAggCCAIIAggCCAIRAgMCpgIeAAQzAQICAkkCBAIFAgYCBwIIAgkCHwILAgwCDQIIAggCCAIIAggCCAIIAggCCAIIAggCCAIIAggCCAIIAggCEQIDAkoCHgAEMwECAgItAgQCBQIGAgcCCAIJAgoCCwIMAg0CCAIIAggCCAIIAggCCAIIAggCCAIIAggCCAIIAggCCAIIAhECAwKbAh4ABDMBAgICNwIEAgUCBgIHAggCCQIcAgsCDAINAggCCAIIAggCCAIIAggCCAIIAggCCAIIAggCCAIIAggCCAIRAgMClwIeAAQzAQICAkcCBAIFAgYCBwIIAgkCHAILAgwCDQIIAggCCAIIAggCCAIIAggCCAIIAggCCAIIAggCCAIIAggCEQIDAp4CHgAEMwECAgIzAgQCBQIGAgcCCAIJAhwCCwIMAg0CCAIIAggCCAIIAggCCAIIAggCCAIIAggCCAIIAggCCAIIAhECAwKYAh4ABDMBAgICVQIEAgUCBgIHAggCCQIKAgsCDAINAggCCAIIAggCCAIIAggCCAIIAggCCAIIAggCCAIIAggCCAIRAgMCXgIeAAQzAQICAlN6AAAEAAIEAgUCBgIHAggCCQIKAgsCDAINAggCCAIIAggCCAIIAggCCAIIAggCCAIIAggCCAIIAggCCAIRAgMCXAIeAAQzAQICAjECBAIFAgYCBwIIAgkCCgILAgwCDQIIAggCCAIIAggCCAIIAggCCAIIAggCCAIIAggCCAIIAggCEQIDAp0CHgAEMwECAgKNAgQCBQIGAgcCCAIJAgoCCwIMAg0CCAIIAggCCAIIAggCCAIIAggCCAIIAggCCAIIAggCCAIIAhECAwKgAh4ABDMBAgICRQIEAgUCBgIHAggCCQIKAgsCDAINAggCCAIIAggCCAIIAggCCAIIAggCCAIIAggCCAIIAggCCAIRAgMCZwIeAAQzAQICAjsCBAIFAgYCBwIIAgkCHwILAgwCDQIIAggCCAIIAggCCAIIAggCCAIIAggCCAIIAggCCAIIAggCEQIDAjwCHgAEMwECAgIpAgQCBQIGAgcCCAIJAhwCCwIMAg0CCAIIAggCCAIIAggCCAIIAggCCAIIAggCCAIIAggCCAIIAhECAwKcAh4ABDMBAgICZQIEAgUCBgIHAggCCQIfAgsCDAINAggCCAIIAggCCAIIAggCCAIIAggCCAIIAggCCAIIAggCCAIRAgMCZgIeAAQzAQICAo0CBAIFAgYCBwIIAgkCHwILAgwCDQIIAggCCAIIAggCCAIIAggCCAIIAggCCAIIAggCCAIIAggCEQIDAqcCHgAEMwECAgJPAgQCBQIGAgcCCAIJAgoCCwIMAg0CCAIIAggCCAIIAggCCAIIAggCCAIIAggCCAIIAggCCAIIAhECAwKlAh4ABDMBAgICUwIEAgUCBgIHAggCCQIcAgsCDAINAggCCAIIAggCCAIIAggCCAIIAggCCAIIAggCCAIIAggCCAIRAgMCaAIeAAQzAQICAisCBAIFAgYCBwIIAgkCHAILAgwCDQIIAggCCAIIAggCCAIIAggCCAIIAggCCAIIAggCCAIIAggCEQIDAmkCHgAEMwECAgIeAgQCBQIGAgcCCAIJAgoCCwIMAg0CCAIIAggCCAIIAggCCAIIAggCCAIIAggCCAIIAggCCAIIAhECAwJwAh4ABDMBAgICgQIEAgUCBgIHAggCCQIfAgsCDAINAggCCAIIAggCCAIIAggCCAIIAggCCAIIAggCCAIIAggCCAIRAgMCrQIeAAQzAQICAl8CBAIFAgYCBwIIAgkCHwILAgwCDQIIAggCCAIIAggCCAIIAggCCAIIAggCCAIIAggCCAIIAggCEQIDAqwCHgAEMwECAgItAgQCBQIGAgcCCAIJAhwCCwIMAg0CCAIIAggCCAIIAggCCAIIAggCCAIIAgh6AAAEAAIIAggCCAIIAggCEQIDAqkCHgAEMwECAgIhAgQCBQIGAgcCCAIJAgoCCwIMAg0CCAIIAggCCAIIAggCCAIIAggCCAIIAggCCAIIAggCCAIIAhECAwJYAh4ABDMBAgICJwIEAgUCBgIHAggCCQIKAgsCDAINAggCCAIIAggCCAIIAggCCAIIAggCCAIIAggCCAIIAggCCAIRAgMCKAIeAAQzAQICAnUCBAIFAgYCBwIIAgkCHwILAgwCDQIIAggCCAIIAggCCAIIAggCCAIIAggCCAIIAggCCAIIAggCEQIDApQCHgAEMwECAgJJAgQCBQIGAgcCCAIJAgoCCwIMAg0CCAIIAggCCAIIAggCCAIIAggCCAIIAggCCAIIAggCCAIIAhECAwJtAh4ABDMBAgICbgIEAgUCBgIHAggCCQIKAgsCDAINAggCCAIIAggCCAIIAggCCAIIAggCCAIIAggCCAIIAggCCAIRAgMCeQIeAAQzAQICAkACBAIFAgYCBwIIAgkCHAILAgwCDQIIAggCCAIIAggCCAIIAggCCAIIAggCCAIIAggCCAIIAggCEQIDAnsCHgAEMwECAgJPAgQCBQIGAgcCCAIJAhwCCwIMAg0CCAIIAggCCAIIAggCCAIIAggCCAIIAggCCAIIAggCCAIIAhECAwJ/Ah4ABDMBAgICYQIEAgUCBgIHAggCCQIfAgsCDAINAggCCAIIAggCCAIIAggCCAIIAggCCAIIAggCCAIIAggCCAIRAgMCeAIeAAQzAQICAicCBAIFAgYCBwIIAgkCHwILAgwCDQIIAggCCAIIAggCCAIIAggCCAIIAggCCAIIAggCCAIIAggCEQIDAigCHgAEMwECAgJ1AgQCBQIGAgcCCAIJAgoCCwIMAg0CCAIIAggCCAIIAggCCAIIAggCCAIIAggCCAIIAggCCAIIAhECAwJ2Ah4ABDMBAgICGwIEAgUCBgIHAggCCQIcAgsCDAINAggCCAIIAggCCAIIAggCCAIIAggCCAIIAggCCAIIAggCCAIRAgMCHQIeAAQzAQICAiECBAIFAgYCBwIIAgkCHwILAgwCDQIIAggCCAIIAggCCAIIAggCCAIIAggCCAIIAggCCAIIAggCEQIDAiICHgAEMwECAgJZAgQCBQIGAgcCCAIJAh8CCwIMAg0CCAIIAggCCAIIAggCCAIIAggCCAIIAggCCAIIAggCCAIIAhECAwJ3Ah4ABDMBAgICgQIEAgUCBgIHAggCCQIcAgsCDAINAggCCAIIAggCCAIIAggCCAIIAggCCAIIAggCCAIIAggCCAIRAgMCggIeAAQzAQICAlECBAIFAgYCBwIIAgkCHwILAgx6AAAEAAINAggCCAIIAggCCAIIAggCCAIIAggCCAIIAggCCAIIAggCCAIRAgMCgAIeAAQzAQICAiUCBAIFAgYCBwIIAgkCHAILAgwCDQIIAggCCAIIAggCCAIIAggCCAIIAggCCAIIAggCCAIIAggCEQIDAiYCHgAEMwECAgJdAgQCBQIGAgcCCAIJAh8CCwIMAg0CCAIIAggCCAIIAggCCAIIAggCCAIIAggCCAIIAggCCAIIAhECAwJ8Ah4ABDMBAgICKwIEAgUCBgIHAggCCQIKAgsCDAINAggCCAIIAggCCAIIAggCCAIIAggCCAIIAggCCAIIAggCCAIRAgMCLAIeAAQzAQICAi8CBAIFAgYCBwIIAgkCHAILAgwCDQIIAggCCAIIAggCCAIIAggCCAIIAggCCAIIAggCCAIIAggCEQIDAjACHgAEMwECAgIjAgQCBQIGAgcCCAIJAgoCCwIMAg0CCAIIAggCCAIIAggCCAIIAggCCAIIAggCCAIIAggCCAIIAhECAwI2Ah4ABDMBAgICRQIEAgUCBgIHAggCCQIfAgsCDAINAggCCAIIAggCCAIIAggCCAIIAggCCAIIAggCCAIIAggCCAIRAgMCRgIeAAQzAQICAj0CBAIFAgYCBwIIAgkCHAILAgwCDQIIAggCCAIIAggCCAIIAggCCAIIAggCCAIIAggCCAIIAggCEQIDAj4CHgAEMwECAgJ1AgQCBQIGAgcCCAIJAhwCCwIMAg0CCAIIAggCCAIIAggCCAIIAggCCAIIAggCCAIIAggCCAIIAhECAwKEAh4ABDMBAgICgQIEAgUCBgIHAggCCQIKAgsCDAINAggCCAIIAggCCAIIAggCCAIIAggCCAIIAggCCAIIAggCCAIRAgMCjAIeAAQzAQICAisCBAIFAgYCBwIIAgkCHwILAgwCDQIIAggCCAIIAggCCAIIAggCCAIIAggCCAIIAggCCAIIAggCEQIDApoCHgAEMwECAgJfAgQCBQIGAgcCCAIJAgoCCwIMAg0CCAIIAggCCAIIAggCCAIIAggCCAIIAggCCAIIAggCCAIIAhECAwKPAh4ABDMBAgICGwIEAgUCBgIHAggCCQIKAgsCDAINAggCCAIIAggCCAIIAggCCAIIAggCCAIIAggCCAIIAggCCAIRAgMCPwIeAAQzAQICAlMCBAIFAgYCBwIIAgkCHwILAgwCDQIIAggCCAIIAggCCAIIAggCCAIIAggCCAIIAggCCAIIAggCEQIDAlQCHgAEMwECAgIxAgQCBQIGAgcCCAIJAhwCCwIMAg0CCAIIAggCCAIIAggCCAIIAggCCAIIAggCCAIIAggCCAIIAhECAwKTAh56AAAEAAAEMwECAgJVAgQCBQIGAgcCCAIJAhwCCwIMAg0CCAIIAggCCAIIAggCCAIIAggCCAIIAggCCAIIAggCCAIIAhECAwIwAh4ABDMBAgICjQIEAgUCBgIHAggCCQIcAgsCDAINAggCCAIIAggCCAIIAggCCAIIAggCCAIIAggCCAIIAggCCAIRAgMCjgIeAAQzAQICAiMCBAIFAgYCBwIIAgkCHAILAgwCDQIIAggCCAIIAggCCAIIAggCCAIIAggCCAIIAggCCAIIAggCEQIDAiQCHgAEMwECAgIeAgQCBQIGAgcCCAIJAh8CCwIMAg0CCAIIAggCCAIIAggCCAIIAggCCAIIAggCCAIIAggCCAIIAhECAwIgAh4ABDMBAgICiAIEAgUCBgIHAggCCQIcAgsCDAINAggCCAIIAggCCAIIAggCCAIIAggCCAIIAggCCAIIAggCCAIRAgMCqwIeAAQzAQICAlkCBAIFAgYCBwIIAgkCCgILAgwCDQIIAggCCAIIAggCCAIIAggCCAIIAggCCAIIAggCCAIIAggCEQIDAloCHgAEMwECAgJhAgQCBQIGAgcCCAIJAgoCCwIMAg0CCAIIAggCCAIIAggCCAIIAggCCAIIAggCCAIIAggCCAIIAhECAwKSAh4ABDMBAgICAwIEAgUCBgIHAggCCQIfAgsCDAINAggCCAIIAggCCAIIAggCCAIIAggCCAIIAggCCAIIAggCCAIRAgMCcwIeAAQzAQICAl0CBAIFAgYCBwIIAgkCCgILAgwCDQIIAggCCAIIAggCCAIIAggCCAIIAggCCAIIAggCCAIIAggCEQIDAl4CHgAEMwECAgIlAgQCBQIGAgcCCAIJAh8CCwIMAg0CCAIIAggCCAIIAggCCAIIAggCCAIIAggCCAIIAggCCAIIAhECAwKfAh4ABDMBAgICUQIEAgUCBgIHAggCCQIKAgsCDAINAggCCAIIAggCCAIIAggCCAIIAggCCAIIAggCCAIIAggCCAIRAgMCYwIeAAQzAQICAl8CBAIFAgYCBwIIAgkCHAILAgwCDQIIAggCCAIIAggCCAIIAggCCAIIAggCCAIIAggCCAIIAggCEQIDAmACHgAEMwECAgIjAgQCBQIGAgcCCAIJAh8CCwIMAg0CCAIIAggCCAIIAggCCAIIAggCCAIIAggCCAIIAggCCAIIAhECAwKoAh4ABDMBAgICiAIEAgUCBgIHAggCCQIKAgsCDAINAggCCAIIAggCCAIIAggCCAIIAggCCAIIAggCCAIIAggCCAIRAgMCogIeAAQzAQICAhsCBAIFAgYCBwIIAgkCHwILAgwCDQIIAggCCAIIAggCCAIIAgh6AAAEAAIIAggCCAIIAggCCAIIAggCCAIRAgMChQIeAAQzAQICAmECBAIFAgYCBwIIAgkCHAILAgwCDQIIAggCCAIIAggCCAIIAggCCAIIAggCCAIIAggCCAIIAggCEQIDAmICHgAEMwECAgJWAgQCBQIGAgcCCAIJAhwCCwIMAg0CCAIIAggCCAIIAggCCAIIAggCCAIIAggCCAIIAggCCAIIAhECAwKHAh4ABDMBAgICTQIEAgUCBgIHAggCCQIKAgsCDAINAggCCAIIAggCCAIIAggCCAIIAggCCAIIAggCCAIIAggCCAIRAgMCZAIeAAQzAQICAlkCBAIFAgYCBwIIAgkCHAILAgwCDQIIAggCCAIIAggCCAIIAggCCAIIAggCCAIIAggCCAIIAggCEQIDAmoCHgAEMwECAgJNAgQCBQIGAgcCCAIJAh8CCwIMAg0CCAIIAggCCAIIAggCCAIIAggCCAIIAggCCAIIAggCCAIIAhECAwJ9Ah4ABDMBAgICbgIEAgUCBgIHAggCCQIcAgsCDAINAggCCAIIAggCCAIIAggCCAIIAggCCAIIAggCCAIIAggCCAIRAgMCbwIeAAQzAQICApACBAIFAgYCBwIIAgkCHAILAgwCDQIIAggCCAIIAggCCAIIAggCCAIIAggCCAIIAggCCAIIAggCEQIDAqMCHgAEMwECAgJdAgQCBQIGAgcCCAIJAhwCCwIMAg0CCAIIAggCCAIIAggCCAIIAggCCAIIAggCCAIIAggCCAIIAhECAwIwAh4ABDMBAgICQgIEAgUCBgIHAggCCQIfAgsCDAINAggCCAIIAggCCAIIAggCCAIIAggCCAIIAggCCAIIAggCCAIRAgMCawIeAAQzAQICApACBAIFAgYCBwIIAgkCCgILAgwCDQIIAggCCAIIAggCCAIIAggCCAIIAggCCAIIAggCCAIIAggCEQIDApkCHgAEMwECAgJHAgQCBQIGAgcCCAIJAh8CCwIMAg0CCAIIAggCCAIIAggCCAIIAggCCAIIAggCCAIIAggCCAIIAhECAwJxAh4ABDMBAgICJQIEAgUCBgIHAggCCQIKAgsCDAINAggCCAIIAggCCAIIAggCCAIIAggCCAIIAggCCAIIAggCCAIRAgMCqgIeAAQzAQICAi8CBAIFAgYCBwIIAgkCCgILAgwCDQIIAggCCAIIAggCCAIIAggCCAIIAggCCAIIAggCCAIIAggCEQIDAl4CHgAEMwECAgJWAgQCBQIGAgcCCAIJAgoCCwIMAg0CCAIIAggCCAIIAggCCAIIAggCCAIIAggCCAIIAggCCAIIAhECAwJyAh4ABDMBAgICOQIEAgUCBgIHAgh6AAAEAAIJAh8CCwIMAg0CCAIIAggCCAIIAggCCAIIAggCCAIIAggCCAIIAggCCAIIAhECAwJsAh4ABDMBAgICPQIEAgUCBgIHAggCCQIKAgsCDAINAggCCAIIAggCCAIIAggCCAIIAggCCAIIAggCCAIIAggCCAIRAgMClgIeAAQzAQICAikCBAIFAgYCBwIIAgkCHwILAgwCDQIIAggCCAIIAggCCAIIAggCCAIIAggCCAIIAggCCAIIAggCEQIDAioCHgAEMwECAgI7AgQCBQIGAgcCCAIJAhwCCwIMAg0CCAIIAggCCAIIAggCCAIIAggCCAIIAggCCAIIAggCCAIIAhECAwKuAh4ABDMBAgICQgIEAgUCBgIHAggCCQIcAgsCDAINAggCCAIIAggCCAIIAggCCAIIAggCCAIIAggCCAIIAggCCAIRAgMCSwIeAAQzAQICAj0CBAIFAgYCBwIIAgkCHwILAgwCDQIIAggCCAIIAggCCAIIAggCCAIIAggCCAIIAggCCAIIAggCEQIDAnoCHgAEMwECAgJlAgQCBQIGAgcCCAIJAhwCCwIMAg0CCAIIAggCCAIIAggCCAIIAggCCAIIAggCCAIIAggCCAIIAhECAwJ0Ah4ABDMBAgICAwIEAgUCBgIHAggCCQIKAgsCDAINAggCCAIIAggCCAIIAggCCAIIAggCCAIIAggCCAIIAggCCAIRAgMCDgIeAAQzAQICAjMCBAIFAgYCBwIIAgkCHwILAgwCDQIIAggCCAIIAggCCAIIAggCCAIIAggCCAIIAggCCAIIAggCEQIDAjQCHgAEMwECAgI5AgQCBQIGAgcCCAIJAhwCCwIMAg0CCAIIAggCCAIIAggCCAIIAggCCAIIAggCCAIIAggCCAIIAhECAwI6Ah4ABDMBAgICNwIEAgUCBgIHAggCCQIfAgsCDAINAggCCAIIAggCCAIIAggCCAIIAggCCAIIAggCCAIIAggCCAIRAgMCOAIeAAQzAQICAjsCBAIFAgYCBwIIAgkCCgILAgwCDQIIAggCCAIIAggCCAIIAggCCAIIAggCCAIIAggCCAIIAggCEQIDAoYCHgAEMwECAgJJAgQCBQIGAgcCCAIJAhwCCwIMAg0CCAIIAggCCAIIAggCCAIIAggCCAIIAggCCAIIAggCCAIIAhECAwJ+Ah4ABDMBAgICHgIEAgUCBgIHAggCCQIcAgsCDAINAggCCAIIAggCCAIIAggCCAIIAggCCAIIAggCCAIIAggCCAIRAgMCgwIeAAQzAQICAlUCBAIFAgYCBwIIAgkCHwILAgwCDQIIAggCCAIIAggCCAIIAggCCAIIAggCCAIIAggCCAIIAgh6AAAEAAIRAgMCfAIeAAQzAQICAkACBAIFAgYCBwIIAgkCCgILAgwCDQIIAggCCAIIAggCCAIIAggCCAIIAggCCAIIAggCCAIIAggCEQIDAqQCHgAEMwECAgItAgQCBQIGAgcCCAIJAh8CCwIMAg0CCAIIAggCCAIIAggCCAIIAggCCAIIAggCCAIIAggCCAIIAhECAwIuAh4ABDMBAgICJwIEAgUCBgIHAggCCQIcAgsCDAINAggCCAIIAggCCAIIAggCCAIIAggCCAIIAggCCAIIAggCCAIRAgMCKAIeAAQzAQICAjECBAIFAgYCBwIIAgkCHwILAgwCDQIIAggCCAIIAggCCAIIAggCCAIIAggCCAIIAggCCAIIAggCEQIDAjICHgAEMwECAgJAAgQCBQIGAgcCCAIJAh8CCwIMAg0CCAIIAggCCAIIAggCCAIIAggCCAIIAggCCAIIAggCCAIIAhECAwJBAh4ABDMBAgICTwIEAgUCBgIHAggCCQIfAgsCDAINAggCCAIIAggCCAIIAggCCAIIAggCCAIIAggCCAIIAggCCAIRAgMCUAIeAAQzAQICAkICBAIFAgYCBwIIAgkCCgILAgwCDQIIAggCCAIIAggCCAIIAggCCAIIAggCCAIIAggCCAIIAggCEQIDAkMCHgAEMwECAgIDAgQCBQIGAgcCCAIJAhwCCwIMAg0CCAIIAggCCAIIAggCCAIIAggCCAIIAggCCAIIAggCCAIIAhECAwI1Ah4ABDMBAgICIQIEAgUCBgIHAggCCQIcAgsCDAINAggCCAIIAggCCAIIAggCCAIIAggCCAIIAggCCAIIAggCCAIRAgMCiwIeAAQzAQICAogCBAIFAgYCBwIIAgkCHwILAgwCDQIIAggCCAIIAggCCAIIAggCCAIIAggCCAIIAggCCAIIAggCEQIDAokCHgAEMwECAgI5AgQCBQIGAgcCCAIJAgoCCwIMAg0CCAIIAggCCAIIAggCCAIIAggCCAIIAggCCAIIAggCCAIIAhECAwJMAh4ABDMBAgICRwIEAgUCBgIHAggCCQIKAgsCDAINAggCCAIIAggCCAIIAggCCAIIAggCCAIIAggCCAIIAggCCAIRAgMCSAIeAAQzAQICAjcCBAIFAgYCBwIIAgkCCgILAgwCDQIIAggCCAIIAggCCAIIAggCCAIIAggCCAIIAggCCAIIAggCEQIDAkQCHgAEMwECAgJRAgQCBQIGAgcCCAIJAhwCCwIMAg0CCAIIAggCCAIIAggCCAIIAggCCAIIAggCCAIIAggCCAIIAhECAwJSAh4ABDMBAgICZQIEAgUCBgIHAggCCQIKAgsCDAINAggCCAIIAgh6AAAEAAIIAggCCAIIAggCCAIIAggCCAIIAggCCAIIAhECAwKKAh4ABDMBAgICLwIEAgUCBgIHAggCCQIfAgsCDAINAggCCAIIAggCCAIIAggCCAIIAggCCAIIAggCCAIIAggCCAIRAgMCfAIeAAQzAQICAk0CBAIFAgYCBwIIAgkCHAILAgwCDQIIAggCCAIIAggCCAIIAggCCAIIAggCCAIIAggCCAIIAggCEQIDAk4CHgAEMwECAgKQAgQCBQIGAgcCCAIJAh8CCwIMAg0CCAIIAggCCAIIAggCCAIIAggCCAIIAggCCAIIAggCCAIIAhECAwKRAh4ABDMBAgICKQIEAgUCBgIHAggCCQIKAgsCDAINAggCCAIIAggCCAIIAggCCAIIAggCCAIIAggCCAIIAggCCAIRAgMClQIeAAQ0AQAJMjkzODUzMzQ0AgICVQIEAgUCBgIHAggCCQIKAgsCsQINAggCCAIIAggCCAIIAggCCAIIAggCCAIIAggCCAIIAggCCAISAgMC7gIeAAQ0AQICAjcCBAIFAgYCBwIIAgkCCgILArECDQIIAggCCAIIAggCCAIIAggCCAIIAggCCAIIAggCCAIIAggCEgIDAtACHgAENAECAgJHAgQCBQIGAgcCCAIJAhwCCwKxAg0CCAIIAggCCAIIAggCCAIIAggCCAIIAggCCAIIAggCCAIIAhICAwLRAh4ABDQBAgICVgIEAgUCBgIHAggCCQKzAgsCsQINAggCCAIIAggCCAIIAggCCAIIAggCCAIIAggCCAIIAggCCAISAgMC7AIeAAQ0AQICAjMCBAIFAgYCBwIIAgkCCgILArECDQIIAggCCAIIAggCCAIIAggCCAIIAggCCAIIAggCCAIIAggCEgIDAuoCHgAENAECAgIrAgQCBQIGAgcCCAIJAhwCCwKxAg0CCAIIAggCCAIIAggCCAIIAggCCAIIAggCCAIIAggCCAIIAhICAwQRAQIeAAQ0AQICAkkCBAIFAgYCBwIIAgkCswILArECDQIIAggCCAIIAggCCAIIAggCCAIIAggCCAIIAggCCAIIAggCEgIDAtkCHgAENAECAgIDAgQCBQIGAgcCCAIJAhwCCwKxAg0CCAIIAggCCAIIAggCCAIIAggCCAIIAggCCAIIAggCCAIIAhICAwQMAQIeAAQ0AQICAi0CBAIFAgYCBwIIAgkCCgILArECDQIIAggCCAIIAggCCAIIAggCCAIIAggCCAIIAggCCAIIAggCEgIDAssCHgAENAECAgJFAgQCBQIGAgcCCAIJAgoCCwKxAg0CCAIIAggCCAIIAggCCAIIAggCCAIIAggCCAIIAggCCAIIAhICAwR6AAAEAA0BAh4ABDQBAgICMQIEAgUCBgIHAggCCQIKAgsCsQINAggCCAIIAggCCAIIAggCCAIIAggCCAIIAggCCAIIAggCCAISAgMC6wIeAAQ0AQICAl8CBAIFAgYCBwIIAgkCswILArECDQIIAggCCAIIAggCCAIIAggCCAIIAggCCAIIAggCCAIIAggCEgIDAtICHgAENAECAgJ1AgQCBQIGAgcCCAIJArMCCwKxAg0CCAIIAggCCAIIAggCCAIIAggCCAIIAggCCAIIAggCCAIIAhICAwLTAh4ABDQBAgICZQIEAgUCBgIHAggCCQKzAgsCsQINAggCCAIIAggCCAIIAggCCAIIAggCCAIIAggCCAIIAggCCAISAgMEEgECHgAENAECAgI7AgQCBQIGAgcCCAIJArMCCwKxAg0CCAIIAggCCAIIAggCCAIIAggCCAIIAggCCAIIAggCCAIIAhICAwQXAQIeAAQ0AQICAlMCBAIFAgYCBwIIAgkCCgILArECDQIIAggCCAIIAggCCAIIAggCCAIIAggCCAIIAggCCAIIAggCEgIDAr8CHgAENAECAgIeAgQCBQIGAgcCCAIJAgoCCwKxAg0CCAIIAggCCAIIAggCCAIIAggCCAIIAggCCAIIAggCCAIIAhICAwLAAh4ABDQBAgICNwIEAgUCBgIHAggCCQIcAgsCsQINAggCCAIIAggCCAIIAggCCAIIAggCCAIIAggCCAIIAggCCAISAgMCxAIeAAQ0AQICAogCBAIFAgYCBwIIAgkCswILArECDQIIAggCCAIIAggCCAIIAggCCAIIAggCCAIIAggCCAIIAggCEgIDBBoBAh4ABDQBAgICQAIEAgUCBgIHAggCCQKzAgsCsQINAggCCAIIAggCCAIIAggCCAIIAggCCAIIAggCCAIIAggCCAISAgMEHQECHgAENAECAgIrAgQCBQIGAgcCCAIJAgoCCwKxAg0CCAIIAggCCAIIAggCCAIIAggCCAIIAggCCAIIAggCCAIIAhICAwQFAQIeAAQ0AQICAiECBAIFAgYCBwIIAgkCCgILArECDQIIAggCCAIIAggCCAIIAggCCAIIAggCCAIIAggCCAIIAggCEgIDBBwBAh4ABDQBAgICXQIEAgUCBgIHAggCCQKzAgsCsQINAggCCAIIAggCCAIIAggCCAIIAggCCAIIAggCCAIIAggCCAISAgMCuQIeAAQ0AQICAkUCBAIFAgYCBwIIAgkCHAILArECDQIIAggCCAIIAggCCAIIAggCCAIIAggCCAIIAggCCAIIAggCEgIDBBgBAh4ABDQBAgICJQIEAgUCBgIHAggCCQIKAgsCsQINAggCCAJ6AAAEAAgCCAIIAggCCAIIAggCCAIIAggCCAIIAggCCAIIAhICAwLiAh4ABDQBAgICGwIEAgUCBgIHAggCCQIcAgsCsQINAggCCAIIAggCCAIIAggCCAIIAggCCAIIAggCCAIIAggCCAISAgMEAAECHgAENAECAgItAgQCBQIGAgcCCAIJAhwCCwKxAg0CCAIIAggCCAIIAggCCAIIAggCCAIIAggCCAIIAggCCAIIAhICAwK+Ah4ABDQBAgICLwIEAgUCBgIHAggCCQIKAgsCsQINAggCCAIIAggCCAIIAggCCAIIAggCCAIIAggCCAIIAggCCAISAgMC7gIeAAQ0AQICAicCBAIFAgYCBwIIAgkCCgILArECDQIIAggCCAIIAggCCAIIAggCCAIIAggCCAIIAggCCAIIAggCEgIDAigCHgAENAECAgJlAgQCBQIGAgcCCAIJAgoCCwKxAg0CCAIIAggCCAIIAggCCAIIAggCCAIIAggCCAIIAggCCAIIAhICAwK8Ah4ABDQBAgICOwIEAgUCBgIHAggCCQIKAgsCsQINAggCCAIIAggCCAIIAggCCAIIAggCCAIIAggCCAIIAggCCAISAgMC1QIeAAQ0AQICAlMCBAIFAgYCBwIIAgkCHAILArECDQIIAggCCAIIAggCCAIIAggCCAIIAggCCAIIAggCCAIIAggCEgIDAroCHgAENAECAgJPAgQCBQIGAgcCCAIJAgoCCwKxAg0CCAIIAggCCAIIAggCCAIIAggCCAIIAggCCAIIAggCCAIIAhICAwK3Ah4ABDQBAgICQAIEAgUCBgIHAggCCQIKAgsCsQINAggCCAIIAggCCAIIAggCCAIIAggCCAIIAggCCAIIAggCCAISAgMCtgIeAAQ0AQICAiECBAIFAgYCBwIIAgkCHAILArECDQIIAggCCAIIAggCCAIIAggCCAIIAggCCAIIAggCCAIIAggCEgIDArICHgAENAECAgJZAgQCBQIGAgcCCAIJArMCCwKxAg0CCAIIAggCCAIIAggCCAIIAggCCAIIAggCCAIIAggCCAIIAhICAwK1Ah4ABDQBAgICPQIEAgUCBgIHAggCCQKzAgsCsQINAggCCAIIAggCCAIIAggCCAIIAggCCAIIAggCCAIIAggCCAISAgMCuwIeAAQ0AQICAkICBAIFAgYCBwIIAgkCHAILArECDQIIAggCCAIIAggCCAIIAggCCAIIAggCCAIIAggCCAIIAggCEgIDBAMBAh4ABDQBAgICTQIEAgUCBgIHAggCCQIKAgsCsQINAggCCAIIAggCCAIIAggCCAIIAggCCAIIAggCCAIIAggCCAISAgMEIgECHgAENAF6AAAEAAICAvQCBAIFAgYCBwIIAgkCHAILArECDQIIAggCCAIIAggCCAIIAggCCAIIAggCCAIIAggCCAIIAggCEgIDBBkBAh4ABDQBAgICQgIEAgUCBgIHAggCCQIKAgsCsQINAggCCAIIAggCCAIIAggCCAIIAggCCAIIAggCCAIIAggCCAISAgMC8wIeAAQ0AQICAikCBAIFAgYCBwIIAgkCHAILArECDQIIAggCCAIIAggCCAIIAggCCAIIAggCCAIIAggCCAIIAggCEgIDAr0CHgAENAECAgJhAgQCBQIGAgcCCAIJArMCCwKxAg0CCAIIAggCCAIIAggCCAIIAggCCAIIAggCCAIIAggCCAIIAhICAwK0Ah4ABDQBAgICJwIEAgUCBgIHAggCCQIcAgsCsQINAggCCAIIAggCCAIIAggCCAIIAggCCAIIAggCCAIIAggCCAISAgMCKAIeAAQ0AQICApACBAIFAgYCBwIIAgkCswILArECDQIIAggCCAIIAggCCAIIAggCCAIIAggCCAIIAggCCAIIAggCEgIDBB8BAh4ABDQBAgICgQIEAgUCBgIHAggCCQKzAgsCsQINAggCCAIIAggCCAIIAggCCAIIAggCCAIIAggCCAIIAggCCAISAgMECwECHgAENAECAgI5AgQCBQIGAgcCCAIJAhwCCwKxAg0CCAIIAggCCAIIAggCCAIIAggCCAIIAggCCAIIAggCCAIIAhICAwQKAQIeAAQ0AQICBBUBAgQCBQIGAgcCCAIJAgoCCwKxAg0CCAIIAggCCAIIAggCCAIIAggCCAIIAggCCAIIAggCCAIIAhICAwQeAQIeAAQ0AQICAh4CBAIFAgYCBwIIAgkCHAILArECDQIIAggCCAIIAggCCAIIAggCCAIIAggCCAIIAggCCAIIAggCEgIDBCMBAh4ABDQBAgICVQIEAgUCBgIHAggCCQKzAgsCsQINAggCCAIIAggCCAIIAggCCAIIAggCCAIIAggCCAIIAggCCAISAgMCuQIeAAQ0AQICBBUBAgQCBQIGAgcCCAIJAhwCCwKxAg0CCAIIAggCCAIIAggCCAIIAggCCAIIAggCCAIIAggCCAIIAhICAwQWAQIeAAQ0AQICAlECBAIFAgYCBwIIAgkCHAILArECDQIIAggCCAIIAggCCAIIAggCCAIIAggCCAIIAggCCAIIAggCEgIDAvsCHgAENAECAgIDAgQCBQIGAgcCCAIJAgoCCwKxAg0CCAIIAggCCAIIAggCCAIIAggCCAIIAggCCAIIAggCCAIIAhICAwQbAQIeAAQ0AQICAkkCBAIFAgYCBwIIAgkCHAILArECDQIIAggCCAIIAgh6AAAEAAIIAggCCAIIAggCCAIIAggCCAIIAggCCAISAgMEIAECHgAENAECAgIlAgQCBQIGAgcCCAIJArMCCwKxAg0CCAIIAggCCAIIAggCCAIIAggCCAIIAggCCAIIAggCCAIIAhICAwQPAQIeAAQ0AQICAkcCBAIFAgYCBwIIAgkCCgILArECDQIIAggCCAIIAggCCAIIAggCCAIIAggCCAIIAggCCAIIAggCEgIDBBABAh4ABDQBAgICjQIEAgUCBgIHAggCCQKzAgsCsQINAggCCAIIAggCCAIIAggCCAIIAggCCAIIAggCCAIIAggCCAISAgMEAgECHgAENAECAgIpAgQCBQIGAgcCCAIJAgoCCwKxAg0CCAIIAggCCAIIAggCCAIIAggCCAIIAggCCAIIAggCCAIIAhICAwLHAh4ABDQBAgICTQIEAgUCBgIHAggCCQIcAgsCsQINAggCCAIIAggCCAIIAggCCAIIAggCCAIIAggCCAIIAggCCAISAgMC+QIeAAQ0AQICAjMCBAIFAgYCBwIIAgkCswILArECDQIIAggCCAIIAggCCAIIAggCCAIIAggCCAIIAggCCAIIAggCEgIDAvcCHgAENAECAgIxAgQCBQIGAgcCCAIJArMCCwKxAg0CCAIIAggCCAIIAggCCAIIAggCCAIIAggCCAIIAggCCAIIAhICAwL8Ah4ABDQBAgICOQIEAgUCBgIHAggCCQIKAgsCsQINAggCCAIIAggCCAIIAggCCAIIAggCCAIIAggCCAIIAggCCAISAgMC+gIeAAQ0AQICAl8CBAIFAgYCBwIIAgkCHAILArECDQIIAggCCAIIAggCCAIIAggCCAIIAggCCAIIAggCCAIIAggCEgIDBAQBAh4ABDQBAgICUQIEAgUCBgIHAggCCQIKAgsCsQINAggCCAIIAggCCAIIAggCCAIIAggCCAIIAggCCAIIAggCCAISAgMEIQECHgAENAECAgLXAgQCBQIGAgcCCAIJAgoCCwKxAg0CCAIIAggCCAIIAggCCAIIAggCCAIIAggCCAIIAggCCAIIAhICAwLYAh4ABDQBAgICKwIEAgUCBgIHAggCCQKzAgsCsQINAggCCAIIAggCCAIIAggCCAIIAggCCAIIAggCCAIIAggCCAISAgMC5AIeAAQ0AQICAl0CBAIFAgYCBwIIAgkCCgILArECDQIIAggCCAIIAggCCAIIAggCCAIIAggCCAIIAggCCAIIAggCEgIDAu4CHgAENAECAgJHAgQCBQIGAgcCCAIJArMCCwKxAg0CCAIIAggCCAIIAggCCAIIAggCCAIIAggCCAIIAggCCAIIAhICAwQHAQIeAAQ0AQJ6AAAEAAICLwIEAgUCBgIHAggCCQKzAgsCsQINAggCCAIIAggCCAIIAggCCAIIAggCCAIIAggCCAIIAggCCAISAgMCuQIeAAQ0AQICAlYCBAIFAgYCBwIIAgkCHAILArECDQIIAggCCAIIAggCCAIIAggCCAIIAggCCAIIAggCCAIIAggCEgIDBA4BAh4ABDQBAgICiAIEAgUCBgIHAggCCQIKAgsCsQINAggCCAIIAggCCAIIAggCCAIIAggCCAIIAggCCAIIAggCCAISAgMECQECHgAENAECAgIDAgQCBQIGAgcCCAIJArMCCwKxAg0CCAIIAggCCAIIAggCCAIIAggCCAIIAggCCAIIAggCCAIIAhICAwQIAQIeAAQ0AQICAnUCBAIFAgYCBwIIAgkCHAILArECDQIIAggCCAIIAggCCAIIAggCCAIIAggCCAIIAggCCAIIAggCEgIDAtYCHgAENAECAgIbAgQCBQIGAgcCCAIJArMCCwKxAg0CCAIIAggCCAIIAggCCAIIAggCCAIIAggCCAIIAggCCAIIAhICAwLdAh4ABDQBAgICkAIEAgUCBgIHAggCCQIKAgsCsQINAggCCAIIAggCCAIIAggCCAIIAggCCAIIAggCCAIIAggCCAISAgMC+AIeAAQ0AQICAl0CBAIFAgYCBwIIAgkCHAILArECDQIIAggCCAIIAggCCAIIAggCCAIIAggCCAIIAggCCAIIAggCEgIDAskCHgAENAECAgI9AgQCBQIGAgcCCAIJAgoCCwKxAg0CCAIIAggCCAIIAggCCAIIAggCCAIIAggCCAIIAggCCAIIAhICAwLhAh4ABDQBAgICZQIEAgUCBgIHAggCCQIcAgsCsQINAggCCAIIAggCCAIIAggCCAIIAggCCAIIAggCCAIIAggCCAISAgMCzAIeAAQ0AQICAkUCBAIFAgYCBwIIAgkCswILArECDQIIAggCCAIIAggCCAIIAggCCAIIAggCCAIIAggCCAIIAggCEgIDAuUCHgAENAECAgJZAgQCBQIGAgcCCAIJAhwCCwKxAg0CCAIIAggCCAIIAggCCAIIAggCCAIIAggCCAIIAggCCAIIAhICAwL2Ah4ABDQBAgIC1wIEAgUCBgIHAggCCQIcAgsCsQINAggCCAIIAggCCAIIAggCCAIIAggCCAIIAggCCAIIAggCCAISAgMC5gIeAAQ0AQICAi0CBAIFAgYCBwIIAgkCswILArECDQIIAggCCAIIAggCCAIIAggCCAIIAggCCAIIAggCCAIIAggCEgIDAv0CHgAENAECAgJJAgQCBQIGAgcCCAIJAgoCCwKxAg0CCAIIAggCCAIIAggCCAIIAgh6AAAEAAIIAggCCAIIAggCCAIIAggCEgIDAsMCHgAENAECAgJuAgQCBQIGAgcCCAIJAhwCCwKxAg0CCAIIAggCCAIIAggCCAIIAggCCAIIAggCCAIIAggCCAIIAhICAwQUAQIeAAQ0AQICAogCBAIFAgYCBwIIAgkCHAILArECDQIIAggCCAIIAggCCAIIAggCCAIIAggCCAIIAggCCAIIAggCEgIDAuACHgAENAECAgJWAgQCBQIGAgcCCAIJAgoCCwKxAg0CCAIIAggCCAIIAggCCAIIAggCCAIIAggCCAIIAggCCAIIAhICAwQTAQIeAAQ0AQICAjsCBAIFAgYCBwIIAgkCHAILArECDQIIAggCCAIIAggCCAIIAggCCAIIAggCCAIIAggCCAIIAggCEgIDAt4CHgAENAECAgKBAgQCBQIGAgcCCAIJAhwCCwKxAg0CCAIIAggCCAIIAggCCAIIAggCCAIIAggCCAIIAggCCAIIAhICAwLPAh4ABDQBAgICUwIEAgUCBgIHAggCCQKzAgsCsQINAggCCAIIAggCCAIIAggCCAIIAggCCAIIAggCCAIIAggCCAISAgMC6QIeAAQ0AQICAiMCBAIFAgYCBwIIAgkCCgILArECDQIIAggCCAIIAggCCAIIAggCCAIIAggCCAIIAggCCAIIAggCEgIDAucCHgAENAECAgInAgQCBQIGAgcCCAIJArMCCwKxAg0CCAIIAggCCAIIAggCCAIIAggCCAIIAggCCAIIAggCCAIIAhICAwIoAh4ABDQBAgICGwIEAgUCBgIHAggCCQIKAgsCsQINAggCCAIIAggCCAIIAggCCAIIAggCCAIIAggCCAIIAggCCAISAgMEBgECHgAENAECAgIpAgQCBQIGAgcCCAIJArMCCwKxAg0CCAIIAggCCAIIAggCCAIIAggCCAIIAggCCAIIAggCCAIIAhICAwLwAh4ABDQBAgICjQIEAgUCBgIHAggCCQIcAgsCsQINAggCCAIIAggCCAIIAggCCAIIAggCCAIIAggCCAIIAggCCAISAgMCzQIeAAQ0AQICAj0CBAIFAgYCBwIIAgkCHAILArECDQIIAggCCAIIAggCCAIIAggCCAIIAggCCAIIAggCCAIIAggCEgIDAu8CHgAENAECAgIhAgQCBQIGAgcCCAIJArMCCwKxAg0CCAIIAggCCAIIAggCCAIIAggCCAIIAggCCAIIAggCCAIIAhICAwLyAh4ABDQBAgIC9AIEAgUCBgIHAggCCQIKAgsCsQINAggCCAIIAggCCAIIAggCCAIIAggCCAIIAggCCAIIAggCCAISAgMC9QIeAAQ0AQICAo0CBAIFAgYCBwJ6AAAEAAgCCQIKAgsCsQINAggCCAIIAggCCAIIAggCCAIIAggCCAIIAggCCAIIAggCCAISAgMCuAIeAAQ0AQICAkACBAIFAgYCBwIIAgkCHAILArECDQIIAggCCAIIAggCCAIIAggCCAIIAggCCAIIAggCCAIIAggCEgIDAuMCHgAENAECAgJPAgQCBQIGAgcCCAIJAhwCCwKxAg0CCAIIAggCCAIIAggCCAIIAggCCAIIAggCCAIIAggCCAIIAhICAwLfAh4ABDQBAgICQgIEAgUCBgIHAggCCQKzAgsCsQINAggCCAIIAggCCAIIAggCCAIIAggCCAIIAggCCAIIAggCCAISAgMCzgIeAAQ0AQICAm4CBAIFAgYCBwIIAgkCCgILArECDQIIAggCCAIIAggCCAIIAggCCAIIAggCCAIIAggCCAIIAggCEgIDAsgCHgAENAECAgJhAgQCBQIGAgcCCAIJAhwCCwKxAg0CCAIIAggCCAIIAggCCAIIAggCCAIIAggCCAIIAggCCAIIAhICAwLxAh4ABDQBAgICkAIEAgUCBgIHAggCCQIcAgsCsQINAggCCAIIAggCCAIIAggCCAIIAggCCAIIAggCCAIIAggCCAISAgMC7QIeAAQ0AQICAh4CBAIFAgYCBwIIAgkCswILArECDQIIAggCCAIIAggCCAIIAggCCAIIAggCCAIIAggCCAIIAggCEgIDAugCHgAENAECAgI5AgQCBQIGAgcCCAIJArMCCwKxAg0CCAIIAggCCAIIAggCCAIIAggCCAIIAggCCAIIAggCCAIIAhICAwLUAh4ABDQBAgICMwIEAgUCBgIHAggCCQIcAgsCsQINAggCCAIIAggCCAIIAggCCAIIAggCCAIIAggCCAIIAggCCAISAgMCwgIeAAQ0AQICAi8CBAIFAgYCBwIIAgkCHAILArECDQIIAggCCAIIAggCCAIIAggCCAIIAggCCAIIAggCCAIIAggCEgIDAskCHgAENAECAgIjAgQCBQIGAgcCCAIJAhwCCwKxAg0CCAIIAggCCAIIAggCCAIIAggCCAIIAggCCAIIAggCCAIIAhICAwQBAQIeAAQ0AQICAlUCBAIFAgYCBwIIAgkCHAILArECDQIIAggCCAIIAggCCAIIAggCCAIIAggCCAIIAggCCAIIAggCEgIDAskCHgAENAECAgIlAgQCBQIGAgcCCAIJAhwCCwKxAg0CCAIIAggCCAIIAggCCAIIAggCCAIIAggCCAIIAggCCAIIAhICAwLaAh4ABDQBAgICWQIEAgUCBgIHAggCCQIKAgsCsQINAggCCAIIAggCCAIIAggCCAIIAggCCAIIAggCCAIIAgh6AAAEAAIIAhICAwL/Ah4ABDQBAgICTQIEAgUCBgIHAggCCQKzAgsCsQINAggCCAIIAggCCAIIAggCCAIIAggCCAIIAggCCAIIAggCCAISAgMCygIeAAQ0AQICAl8CBAIFAgYCBwIIAgkCCgILArECDQIIAggCCAIIAggCCAIIAggCCAIIAggCCAIIAggCCAIIAggCEgIDAtsCHgAENAECAgKBAgQCBQIGAgcCCAIJAgoCCwKxAg0CCAIIAggCCAIIAggCCAIIAggCCAIIAggCCAIIAggCCAIIAhICAwLBAh4ABDQBAgICUQIEAgUCBgIHAggCCQKzAgsCsQINAggCCAIIAggCCAIIAggCCAIIAggCCAIIAggCCAIIAggCCAISAgMCxQIeAAQ0AQICAnUCBAIFAgYCBwIIAgkCCgILArECDQIIAggCCAIIAggCCAIIAggCCAIIAggCCAIIAggCCAIIAggCEgIDAtwCHgAENAECAgJhAgQCBQIGAgcCCAIJAgoCCwKxAg0CCAIIAggCCAIIAggCCAIIAggCCAIIAggCCAIIAggCCAIIAhICAwL+Ah4ABDQBAgICMQIEAgUCBgIHAggCCQIcAgsCsQINAggCCAIIAggCCAIIAggCCAIIAggCCAIIAggCCAIIAggCCAISAgMCxgIeAAQ1AQAJMjkxNjcxMTEyAgICLQIEAgUCBgIHAggCCQKzAgsCsQINAggCCAIIAggCCAIIAggCCAIIAggCCAIIAggCCAIIAggCCAIgAgMC/QIeAAQ1AQICAk0CBAIFAgYCBwIIAgkCCgILArECDQIIAggCCAIIAggCCAIIAggCCAIIAggCCAIIAggCCAIIAggCIAIDBCIBAh4ABDUBAgICQgIEAgUCBgIHAggCCQIKAgsCsQINAggCCAIIAggCCAIIAggCCAIIAggCCAIIAggCCAIIAggCCAIgAgMC8wIeAAQ1AQICAlkCBAIFAgYCBwIIAgkCHAILArECDQIIAggCCAIIAggCCAIIAggCCAIIAggCCAIIAggCCAIIAggCIAIDAvYCHgAENQECAgIxAgQCBQIGAgcCCAIJArMCCwKxAg0CCAIIAggCCAIIAggCCAIIAggCCAIIAggCCAIIAggCCAIIAiACAwL8Ah4ABDUBAgICKQIEAgUCBgIHAggCCQKzAgsCsQINAggCCAIIAggCCAIIAggCCAIIAggCCAIIAggCCAIIAggCCAIgAgMC8AIeAAQ1AQICAj0CBAIFAgYCBwIIAgkCHAILArECDQIIAggCCAIIAggCCAIIAggCCAIIAggCCAIIAggCCAIIAggCIAIDAu8CHgAENQECAgJhAgQCBQIGAgcCCAIJAhx6AAAEAAILArECDQIIAggCCAIIAggCCAIIAggCCAIIAggCCAIIAggCCAIIAggCIAIDAvECHgAENQECAgIhAgQCBQIGAgcCCAIJArMCCwKxAg0CCAIIAggCCAIIAggCCAIIAggCCAIIAggCCAIIAggCCAIIAiACAwLyAh4ABDUBAgICJwIEAgUCBgIHAggCCQKzAgsCsQINAggCCAIIAggCCAIIAggCCAIIAggCCAIIAggCCAIIAggCCAIgAgMCKAIeAAQ1AQICAlECBAIFAgYCBwIIAgkCHAILArECDQIIAggCCAIIAggCCAIIAggCCAIIAggCCAIIAggCCAIIAggCIAIDAvsCHgAENQECAgJdAgQCBQIGAgcCCAIJAhwCCwKxAg0CCAIIAggCCAIIAggCCAIIAggCCAIIAggCCAIIAggCCAIIAiACAwLJAh4ABDUBAgIC9AIEAgUCBgIHAggCCQIKAgsCsQINAggCCAIIAggCCAIIAggCCAIIAggCCAIIAggCCAIIAggCCAIgAgMC9QIeAAQ1AQICAjMCBAIFAgYCBwIIAgkCswILArECDQIIAggCCAIIAggCCAIIAggCCAIIAggCCAIIAggCCAIIAggCIAIDAvcCHgAENQECAgI5AgQCBQIGAgcCCAIJAgoCCwKxAg0CCAIIAggCCAIIAggCCAIIAggCCAIIAggCCAIIAggCCAIIAiACAwL6Ah4ABDUBAgICkAIEAgUCBgIHAggCCQIKAgsCsQINAggCCAIIAggCCAIIAggCCAIIAggCCAIIAggCCAIIAggCCAIgAgMC+AIeAAQ1AQICAl0CBAIFAgYCBwIIAgkCCgILArECDQIIAggCCAIIAggCCAIIAggCCAIIAggCCAIIAggCCAIIAggCIAIDAu4CHgAENQECAgKBAgQCBQIGAgcCCAIJArMCCwKxAg0CCAIIAggCCAIIAggCCAIIAggCCAIIAggCCAIIAggCCAIIAiACAwQLAQIeAAQ1AQICAo0CBAIFAgYCBwIIAgkCswILArECDQIIAggCCAIIAggCCAIIAggCCAIIAggCCAIIAggCCAIIAggCIAIDBAIBAh4ABDUBAgICQgIEAgUCBgIHAggCCQIcAgsCsQINAggCCAIIAggCCAIIAggCCAIIAggCCAIIAggCCAIIAggCCAIgAgMEAwECHgAENQECAgJhAgQCBQIGAgcCCAIJAgoCCwKxAg0CCAIIAggCCAIIAggCCAIIAggCCAIIAggCCAIIAggCCAIIAiACAwL+Ah4ABDUBAgICWQIEAgUCBgIHAggCCQIKAgsCsQINAggCCAIIAggCCAIIAggCCAIIAggCCAIIAggCCAIIAggCCAJ6AAAEACACAwL/Ah4ABDUBAgICTQIEAgUCBgIHAggCCQIcAgsCsQINAggCCAIIAggCCAIIAggCCAIIAggCCAIIAggCCAIIAggCCAIgAgMC+QIeAAQ1AQICAiMCBAIFAgYCBwIIAgkCHAILArECDQIIAggCCAIIAggCCAIIAggCCAIIAggCCAIIAggCCAIIAggCIAIDBAEBAh4ABDUBAgICVQIEAgUCBgIHAggCCQKzAgsCsQINAggCCAIIAggCCAIIAggCCAIIAggCCAIIAggCCAIIAggCCAIgAgMCuQIeAAQ1AQICAgMCBAIFAgYCBwIIAgkCswILArECDQIIAggCCAIIAggCCAIIAggCCAIIAggCCAIIAggCCAIIAggCIAIDBAgBAh4ABDUBAgICOQIEAgUCBgIHAggCCQIcAgsCsQINAggCCAIIAggCCAIIAggCCAIIAggCCAIIAggCCAIIAggCCAIgAgMECgECHgAENQECAgJfAgQCBQIGAgcCCAIJAhwCCwKxAg0CCAIIAggCCAIIAggCCAIIAggCCAIIAggCCAIIAggCCAIIAiACAwQEAQIeAAQ1AQICAkcCBAIFAgYCBwIIAgkCswILArECDQIIAggCCAIIAggCCAIIAggCCAIIAggCCAIIAggCCAIIAggCIAIDBAcBAh4ABDUBAgICGwIEAgUCBgIHAggCCQIKAgsCsQINAggCCAIIAggCCAIIAggCCAIIAggCCAIIAggCCAIIAggCCAIgAgMEBgECHgAENQECAgIvAgQCBQIGAgcCCAIJArMCCwKxAg0CCAIIAggCCAIIAggCCAIIAggCCAIIAggCCAIIAggCCAIIAiACAwK5Ah4ABDUBAgICJQIEAgUCBgIHAggCCQKzAgsCsQINAggCCAIIAggCCAIIAggCCAIIAggCCAIIAggCCAIIAggCCAIgAgMEDwECHgAENQECAgJHAgQCBQIGAgcCCAIJAgoCCwKxAg0CCAIIAggCCAIIAggCCAIIAggCCAIIAggCCAIIAggCCAIIAiACAwQQAQIeAAQ1AQICAnUCBAIFAgYCBwIIAgkCHAILArECDQIIAggCCAIIAggCCAIIAggCCAIIAggCCAIIAggCCAIIAggCIAIDAtYCHgAENQECAgJJAgQCBQIGAgcCCAIJAhwCCwKxAg0CCAIIAggCCAIIAggCCAIIAggCCAIIAggCCAIIAggCCAIIAiACAwQgAQIeAAQ1AQICAisCBAIFAgYCBwIIAgkCCgILArECDQIIAggCCAIIAggCCAIIAggCCAIIAggCCAIIAggCCAIIAggCIAIDBAUBAh4ABDUBAgICVgIEAgUCBgIHAggCCQIcAgsCsQJ6AAAEAA0CCAIIAggCCAIIAggCCAIIAggCCAIIAggCCAIIAggCCAIIAiACAwQOAQIeAAQ1AQICAkUCBAIFAgYCBwIIAgkCCgILArECDQIIAggCCAIIAggCCAIIAggCCAIIAggCCAIIAggCCAIIAggCIAIDBA0BAh4ABDUBAgICOwIEAgUCBgIHAggCCQKzAgsCsQINAggCCAIIAggCCAIIAggCCAIIAggCCAIIAggCCAIIAggCCAIgAgMEFwECHgAENQECAgJlAgQCBQIGAgcCCAIJArMCCwKxAg0CCAIIAggCCAIIAggCCAIIAggCCAIIAggCCAIIAggCCAIIAiACAwQSAQIeAAQ1AQICBBUBAgQCBQIGAgcCCAIJAhwCCwKxAg0CCAIIAggCCAIIAggCCAIIAggCCAIIAggCCAIIAggCCAIIAiACAwQWAQIeAAQ1AQICAlYCBAIFAgYCBwIIAgkCCgILArECDQIIAggCCAIIAggCCAIIAggCCAIIAggCCAIIAggCCAIIAggCIAIDBBMBAh4ABDUBAgICGwIEAgUCBgIHAggCCQIcAgsCsQINAggCCAIIAggCCAIIAggCCAIIAggCCAIIAggCCAIIAggCCAIgAgMEAAECHgAENQECAgJuAgQCBQIGAgcCCAIJAhwCCwKxAg0CCAIIAggCCAIIAggCCAIIAggCCAIIAggCCAIIAggCCAIIAiACAwQUAQIeAAQ1AQICAgMCBAIFAgYCBwIIAgkCCgILArECDQIIAggCCAIIAggCCAIIAggCCAIIAggCCAIIAggCCAIIAggCIAIDBBsBAh4ABDUBAgIC9AIEAgUCBgIHAggCCQIcAgsCsQINAggCCAIIAggCCAIIAggCCAIIAggCCAIIAggCCAIIAggCCAIgAgMEGQECHgAENQECAgJFAgQCBQIGAgcCCAIJAhwCCwKxAg0CCAIIAggCCAIIAggCCAIIAggCCAIIAggCCAIIAggCCAIIAiACAwQYAQIeAAQ1AQICAogCBAIFAgYCBwIIAgkCswILArECDQIIAggCCAIIAggCCAIIAggCCAIIAggCCAIIAggCCAIIAggCIAIDBBoBAh4ABDUBAgICSQIEAgUCBgIHAggCCQIKAgsCsQINAggCCAIIAggCCAIIAggCCAIIAggCCAIIAggCCAIIAggCCAIgAgMCwwIeAAQ1AQICAh4CBAIFAgYCBwIIAgkCHAILArECDQIIAggCCAIIAggCCAIIAggCCAIIAggCCAIIAggCCAIIAggCIAIDBCMBAh4ABDUBAgICIQIEAgUCBgIHAggCCQIKAgsCsQINAggCCAIIAggCCAIIAggCCAIIAggCCAIIAggCCAJ6AAAEAAgCCAIIAiACAwQcAQIeAAQ1AQICApACBAIFAgYCBwIIAgkCswILArECDQIIAggCCAIIAggCCAIIAggCCAIIAggCCAIIAggCCAIIAggCIAIDBB8BAh4ABDUBAgIEFQECBAIFAgYCBwIIAgkCCgILArECDQIIAggCCAIIAggCCAIIAggCCAIIAggCCAIIAggCCAIIAggCIAIDBB4BAh4ABDUBAgICKwIEAgUCBgIHAggCCQIcAgsCsQINAggCCAIIAggCCAIIAggCCAIIAggCCAIIAggCCAIIAggCCAIgAgMEEQECHgAENQECAgJAAgQCBQIGAgcCCAIJArMCCwKxAg0CCAIIAggCCAIIAggCCAIIAggCCAIIAggCCAIIAggCCAIIAiACAwQdAQIeAAQ1AQICAlMCBAIFAgYCBwIIAgkCHAILArECDQIIAggCCAIIAggCCAIIAggCCAIIAggCCAIIAggCCAIIAggCIAIDAroCHgAENQECAgJRAgQCBQIGAgcCCAIJAgoCCwKxAg0CCAIIAggCCAIIAggCCAIIAggCCAIIAggCCAIIAggCCAIIAiACAwQhAQIeAAQ1AQICAl0CBAIFAgYCBwIIAgkCswILArECDQIIAggCCAIIAggCCAIIAggCCAIIAggCCAIIAggCCAIIAggCIAIDArkCHgAENQECAgIpAgQCBQIGAgcCCAIJAhwCCwKxAg0CCAIIAggCCAIIAggCCAIIAggCCAIIAggCCAIIAggCCAIIAiACAwK9Ah4ABDUBAgICIQIEAgUCBgIHAggCCQIcAgsCsQINAggCCAIIAggCCAIIAggCCAIIAggCCAIIAggCCAIIAggCCAIgAgMCsgIeAAQ1AQICAkACBAIFAgYCBwIIAgkCCgILArECDQIIAggCCAIIAggCCAIIAggCCAIIAggCCAIIAggCCAIIAggCIAIDArYCHgAENQECAgJhAgQCBQIGAgcCCAIJArMCCwKxAg0CCAIIAggCCAIIAggCCAIIAggCCAIIAggCCAIIAggCCAIIAiACAwK0Ah4ABDUBAgICJwIEAgUCBgIHAggCCQIcAgsCsQINAggCCAIIAggCCAIIAggCCAIIAggCCAIIAggCCAIIAggCCAIgAgMCKAIeAAQ1AQICAo0CBAIFAgYCBwIIAgkCCgILArECDQIIAggCCAIIAggCCAIIAggCCAIIAggCCAIIAggCCAIIAggCIAIDArgCHgAENQECAgIxAgQCBQIGAgcCCAIJAhwCCwKxAg0CCAIIAggCCAIIAggCCAIIAggCCAIIAggCCAIIAggCCAIIAiACAwLGAh4ABDUBAgICHgIEAgUCBgIHAggCCQIKAgt6AAAEAAKxAg0CCAIIAggCCAIIAggCCAIIAggCCAIIAggCCAIIAggCCAIIAiACAwLAAh4ABDUBAgICJwIEAgUCBgIHAggCCQIKAgsCsQINAggCCAIIAggCCAIIAggCCAIIAggCCAIIAggCCAIIAggCCAIgAgMCKAIeAAQ1AQICAlMCBAIFAgYCBwIIAgkCCgILArECDQIIAggCCAIIAggCCAIIAggCCAIIAggCCAIIAggCCAIIAggCIAIDAr8CHgAENQECAgI9AgQCBQIGAgcCCAIJArMCCwKxAg0CCAIIAggCCAIIAggCCAIIAggCCAIIAggCCAIIAggCCAIIAiACAwK7Ah4ABDUBAgICLQIEAgUCBgIHAggCCQIcAgsCsQINAggCCAIIAggCCAIIAggCCAIIAggCCAIIAggCCAIIAggCCAIgAgMCvgIeAAQ1AQICAlECBAIFAgYCBwIIAgkCswILArECDQIIAggCCAIIAggCCAIIAggCCAIIAggCCAIIAggCCAIIAggCIAIDAsUCHgAENQECAgJPAgQCBQIGAgcCCAIJAgoCCwKxAg0CCAIIAggCCAIIAggCCAIIAggCCAIIAggCCAIIAggCCAIIAiACAwK3Ah4ABDUBAgICWQIEAgUCBgIHAggCCQKzAgsCsQINAggCCAIIAggCCAIIAggCCAIIAggCCAIIAggCCAIIAggCCAIgAgMCtQIeAAQ1AQICAjcCBAIFAgYCBwIIAgkCHAILArECDQIIAggCCAIIAggCCAIIAggCCAIIAggCCAIIAggCCAIIAggCIAIDAsQCHgAENQECAgKBAgQCBQIGAgcCCAIJAgoCCwKxAg0CCAIIAggCCAIIAggCCAIIAggCCAIIAggCCAIIAggCCAIIAiACAwLBAh4ABDUBAgICMwIEAgUCBgIHAggCCQIcAgsCsQINAggCCAIIAggCCAIIAggCCAIIAggCCAIIAggCCAIIAggCCAIgAgMCwgIeAAQ1AQICAkICBAIFAgYCBwIIAgkCswILArECDQIIAggCCAIIAggCCAIIAggCCAIIAggCCAIIAggCCAIIAggCIAIDAs4CHgAENQECAgI5AgQCBQIGAgcCCAIJArMCCwKxAg0CCAIIAggCCAIIAggCCAIIAggCCAIIAggCCAIIAggCCAIIAiACAwLUAh4ABDUBAgICXwIEAgUCBgIHAggCCQKzAgsCsQINAggCCAIIAggCCAIIAggCCAIIAggCCAIIAggCCAIIAggCCAIgAgMC0gIeAAQ1AQICAo0CBAIFAgYCBwIIAgkCHAILArECDQIIAggCCAIIAggCCAIIAggCCAIIAggCCAIIAggCCAIIAggCIAIDAs16AAAEAAIeAAQ1AQICAk0CBAIFAgYCBwIIAgkCswILArECDQIIAggCCAIIAggCCAIIAggCCAIIAggCCAIIAggCCAIIAggCIAIDAsoCHgAENQECAgJVAgQCBQIGAgcCCAIJAhwCCwKxAg0CCAIIAggCCAIIAggCCAIIAggCCAIIAggCCAIIAggCCAIIAiACAwLJAh4ABDUBAgICKQIEAgUCBgIHAggCCQIKAgsCsQINAggCCAIIAggCCAIIAggCCAIIAggCCAIIAggCCAIIAggCCAIgAgMCxwIeAAQ1AQICAmUCBAIFAgYCBwIIAgkCCgILArECDQIIAggCCAIIAggCCAIIAggCCAIIAggCCAIIAggCCAIIAggCIAIDArwCHgAENQECAgI7AgQCBQIGAgcCCAIJAgoCCwKxAg0CCAIIAggCCAIIAggCCAIIAggCCAIIAggCCAIIAggCCAIIAiACAwLVAh4ABDUBAgICgQIEAgUCBgIHAggCCQIcAgsCsQINAggCCAIIAggCCAIIAggCCAIIAggCCAIIAggCCAIIAggCCAIgAgMCzwIeAAQ1AQICAnUCBAIFAgYCBwIIAgkCswILArECDQIIAggCCAIIAggCCAIIAggCCAIIAggCCAIIAggCCAIIAggCIAIDAtMCHgAENQECAgI3AgQCBQIGAgcCCAIJAgoCCwKxAg0CCAIIAggCCAIIAggCCAIIAggCCAIIAggCCAIIAggCCAIIAiACAwLQAh4ABDUBAgICbgIEAgUCBgIHAggCCQIKAgsCsQINAggCCAIIAggCCAIIAggCCAIIAggCCAIIAggCCAIIAggCCAIgAgMCyAIeAAQ1AQICAi0CBAIFAgYCBwIIAgkCCgILArECDQIIAggCCAIIAggCCAIIAggCCAIIAggCCAIIAggCCAIIAggCIAIDAssCHgAENQECAgJHAgQCBQIGAgcCCAIJAhwCCwKxAg0CCAIIAggCCAIIAggCCAIIAggCCAIIAggCCAIIAggCCAIIAiACAwLRAh4ABDUBAgICSQIEAgUCBgIHAggCCQKzAgsCsQINAggCCAIIAggCCAIIAggCCAIIAggCCAIIAggCCAIIAggCCAIgAgMC2QIeAAQ1AQICAgMCBAIFAgYCBwIIAgkCHAILArECDQIIAggCCAIIAggCCAIIAggCCAIIAggCCAIIAggCCAIIAggCIAIDBAwBAh4ABDUBAgICiAIEAgUCBgIHAggCCQIKAgsCsQINAggCCAIIAggCCAIIAggCCAIIAggCCAIIAggCCAIIAggCCAIgAgMECQECHgAENQECAgLXAgQCBQIGAgcCCAIJAgoCCwKxAg0CCAIIAggCCAIIAgh6AAAEAAIIAggCCAIIAggCCAIIAggCCAIIAggCIAIDAtgCHgAENQECAgIvAgQCBQIGAgcCCAIJAhwCCwKxAg0CCAIIAggCCAIIAggCCAIIAggCCAIIAggCCAIIAggCCAIIAiACAwLJAh4ABDUBAgICVgIEAgUCBgIHAggCCQKzAgsCsQINAggCCAIIAggCCAIIAggCCAIIAggCCAIIAggCCAIIAggCCAIgAgMC7AIeAAQ1AQICAhsCBAIFAgYCBwIIAgkCswILArECDQIIAggCCAIIAggCCAIIAggCCAIIAggCCAIIAggCCAIIAggCIAIDAt0CHgAENQECAgIlAgQCBQIGAgcCCAIJAhwCCwKxAg0CCAIIAggCCAIIAggCCAIIAggCCAIIAggCCAIIAggCCAIIAiACAwLaAh4ABDUBAgICdQIEAgUCBgIHAggCCQIKAgsCsQINAggCCAIIAggCCAIIAggCCAIIAggCCAIIAggCCAIIAggCCAIgAgMC3AIeAAQ1AQICAl8CBAIFAgYCBwIIAgkCCgILArECDQIIAggCCAIIAggCCAIIAggCCAIIAggCCAIIAggCCAIIAggCIAIDAtsCHgAENQECAgJlAgQCBQIGAgcCCAIJAhwCCwKxAg0CCAIIAggCCAIIAggCCAIIAggCCAIIAggCCAIIAggCCAIIAiACAwLMAh4ABDUBAgICQAIEAgUCBgIHAggCCQIcAgsCsQINAggCCAIIAggCCAIIAggCCAIIAggCCAIIAggCCAIIAggCCAIgAgMC4wIeAAQ1AQICAk8CBAIFAgYCBwIIAgkCHAILArECDQIIAggCCAIIAggCCAIIAggCCAIIAggCCAIIAggCCAIIAggCIAIDAt8CHgAENQECAgIvAgQCBQIGAgcCCAIJAgoCCwKxAg0CCAIIAggCCAIIAggCCAIIAggCCAIIAggCCAIIAggCCAIIAiACAwLuAh4ABDUBAgICJQIEAgUCBgIHAggCCQIKAgsCsQINAggCCAIIAggCCAIIAggCCAIIAggCCAIIAggCCAIIAggCCAIgAgMC4gIeAAQ1AQICAtcCBAIFAgYCBwIIAgkCHAILArECDQIIAggCCAIIAggCCAIIAggCCAIIAggCCAIIAggCCAIIAggCIAIDAuYCHgAENQECAgI7AgQCBQIGAgcCCAIJAhwCCwKxAg0CCAIIAggCCAIIAggCCAIIAggCCAIIAggCCAIIAggCCAIIAiACAwLeAh4ABDUBAgICPQIEAgUCBgIHAggCCQIKAgsCsQINAggCCAIIAggCCAIIAggCCAIIAggCCAIIAggCCAIIAggCCAIgAgMC4QIeAAQ1AQICAiMCBAIFAgZ6AAACrAIHAggCCQIKAgsCsQINAggCCAIIAggCCAIIAggCCAIIAggCCAIIAggCCAIIAggCCAIgAgMC5wIeAAQ1AQICAogCBAIFAgYCBwIIAgkCHAILArECDQIIAggCCAIIAggCCAIIAggCCAIIAggCCAIIAggCCAIIAggCIAIDAuACHgAENQECAgJVAgQCBQIGAgcCCAIJAgoCCwKxAg0CCAIIAggCCAIIAggCCAIIAggCCAIIAggCCAIIAggCCAIIAiACAwLuAh4ABDUBAgICkAIEAgUCBgIHAggCCQIcAgsCsQINAggCCAIIAggCCAIIAggCCAIIAggCCAIIAggCCAIIAggCCAIgAgMC7QIeAAQ1AQICAh4CBAIFAgYCBwIIAgkCswILArECDQIIAggCCAIIAggCCAIIAggCCAIIAggCCAIIAggCCAIIAggCIAIDAugCHgAENQECAgJFAgQCBQIGAgcCCAIJArMCCwKxAg0CCAIIAggCCAIIAggCCAIIAggCCAIIAggCCAIIAggCCAIIAiACAwLlAh4ABDUBAgICMwIEAgUCBgIHAggCCQIKAgsCsQINAggCCAIIAggCCAIIAggCCAIIAggCCAIIAggCCAIIAggCCAIgAgMC6gIeAAQ1AQICAisCBAIFAgYCBwIIAgkCswILArECDQIIAggCCAIIAggCCAIIAggCCAIIAggCCAIIAggCCAIIAggCIAIDAuQCHgAENQECAgIxAgQCBQIGAgcCCAIJAgoCCwKxAg0CCAIIAggCCAIIAggCCAIIAggCCAIIAggCCAIIAggCCAIIAiACAwLrAh4ABDUBAgICUwIEAgUCBgIHAggCCQKzAgsCsQINAggCCAIIAggCCAIIAggCCAIIAggCCAIIAggCCAIIAggCCAIgAgMC6Q==]]></xxe4awand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2017-11-27T08:00:00+00:00</OpenedDate>
    <Date1 xmlns="dc463f71-b30c-4ab2-9473-d307f9d35888">2017-11-27T08:00:00+00:00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171152</DocketNumber>
    <DelegatedOrder xmlns="dc463f71-b30c-4ab2-9473-d307f9d35888">false</DelegatedOrder>
    <SignificantOrder xmlns="dc463f71-b30c-4ab2-9473-d307f9d35888">false</Significant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7A330FC-1716-456C-8B2F-A2C7BE39C1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0FB2AC-8B2E-486A-9EC0-7BFE03FAD1F0}"/>
</file>

<file path=customXml/itemProps3.xml><?xml version="1.0" encoding="utf-8"?>
<ds:datastoreItem xmlns:ds="http://schemas.openxmlformats.org/officeDocument/2006/customXml" ds:itemID="{3F800882-12B3-4A04-B956-0A63BEDFC4D9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434C1FD1-E5EC-40C3-A05E-602167F39FE5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4629A29-1E49-4A3B-8FA9-2555899E1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59</vt:i4>
      </vt:variant>
    </vt:vector>
  </HeadingPairs>
  <TitlesOfParts>
    <vt:vector size="102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COMPARE JULY VS AUG</vt:lpstr>
      <vt:lpstr>Aug</vt:lpstr>
      <vt:lpstr>Sep</vt:lpstr>
      <vt:lpstr>Oct</vt:lpstr>
      <vt:lpstr>Nov</vt:lpstr>
      <vt:lpstr>Dec</vt:lpstr>
      <vt:lpstr>WA - Def-Amtz (current)</vt:lpstr>
      <vt:lpstr>ID - Def-Amtz (current)</vt:lpstr>
      <vt:lpstr>WA - Def-Amtz (sept)</vt:lpstr>
      <vt:lpstr>ID - Def-Amtz (sept)</vt:lpstr>
      <vt:lpstr>WA - Def-Amtz (aug)</vt:lpstr>
      <vt:lpstr>ID - Def-Amtz (aug)</vt:lpstr>
      <vt:lpstr>WA - Def-Amtz (July)</vt:lpstr>
      <vt:lpstr>ID - Def-Amtz (July)</vt:lpstr>
      <vt:lpstr>WA - Def-Amtz (June)</vt:lpstr>
      <vt:lpstr>ID - Def-Amtz (June)</vt:lpstr>
      <vt:lpstr>WA - Def-Amtz (May)</vt:lpstr>
      <vt:lpstr>ID - Def-Amtz (May)</vt:lpstr>
      <vt:lpstr>WA - Def-Amtz (Apr)</vt:lpstr>
      <vt:lpstr>ID - Def-Amtz (Apr)</vt:lpstr>
      <vt:lpstr>WA - Def-Amtz (Mar)</vt:lpstr>
      <vt:lpstr>ID - Def-Amtz (Mar)</vt:lpstr>
      <vt:lpstr>WA - Def-Amtz (Feb)</vt:lpstr>
      <vt:lpstr>ID - Def-Amtz (Feb)</vt:lpstr>
      <vt:lpstr>WA - Def-Amtz (Jan)</vt:lpstr>
      <vt:lpstr>ID - Def-Amtz (Jan)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'Amortization of JP Deferral'!Print_Area</vt:lpstr>
      <vt:lpstr>Apr!Print_Area</vt:lpstr>
      <vt:lpstr>Aug!Print_Area</vt:lpstr>
      <vt:lpstr>'COMPARE JULY VS AUG'!Print_Area</vt:lpstr>
      <vt:lpstr>Dec!Print_Area</vt:lpstr>
      <vt:lpstr>Feb!Print_Area</vt:lpstr>
      <vt:lpstr>'ID - Def-Amtz (Apr)'!Print_Area</vt:lpstr>
      <vt:lpstr>'ID - Def-Amtz (aug)'!Print_Area</vt:lpstr>
      <vt:lpstr>'ID - Def-Amtz (current)'!Print_Area</vt:lpstr>
      <vt:lpstr>'ID - Def-Amtz (Feb)'!Print_Area</vt:lpstr>
      <vt:lpstr>'ID - Def-Amtz (Jan)'!Print_Area</vt:lpstr>
      <vt:lpstr>'ID - Def-Amtz (July)'!Print_Area</vt:lpstr>
      <vt:lpstr>'ID - Def-Amtz (June)'!Print_Area</vt:lpstr>
      <vt:lpstr>'ID - Def-Amtz (Mar)'!Print_Area</vt:lpstr>
      <vt:lpstr>'ID - Def-Amtz (May)'!Print_Area</vt:lpstr>
      <vt:lpstr>'ID - Def-Amtz (sept)'!Print_Area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(Apr)'!Print_Area</vt:lpstr>
      <vt:lpstr>'WA - Def-Amtz (aug)'!Print_Area</vt:lpstr>
      <vt:lpstr>'WA - Def-Amtz (current)'!Print_Area</vt:lpstr>
      <vt:lpstr>'WA - Def-Amtz (Feb)'!Print_Area</vt:lpstr>
      <vt:lpstr>'WA - Def-Amtz (Jan)'!Print_Area</vt:lpstr>
      <vt:lpstr>'WA - Def-Amtz (July)'!Print_Area</vt:lpstr>
      <vt:lpstr>'WA - Def-Amtz (June)'!Print_Area</vt:lpstr>
      <vt:lpstr>'WA - Def-Amtz (Mar)'!Print_Area</vt:lpstr>
      <vt:lpstr>'WA - Def-Amtz (May)'!Print_Area</vt:lpstr>
      <vt:lpstr>'WA - Def-Amtz (sept)'!Print_Area</vt:lpstr>
      <vt:lpstr>'WA Amort 191000'!Print_Area</vt:lpstr>
      <vt:lpstr>'WA Def 191010'!Print_Area</vt:lpstr>
      <vt:lpstr>Apr!Print_Titles</vt:lpstr>
      <vt:lpstr>Aug!Print_Titles</vt:lpstr>
      <vt:lpstr>'COMPARE JULY VS AUG'!Print_Titles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Huey, Lorilyn (UTC)</cp:lastModifiedBy>
  <cp:lastPrinted>2017-11-06T17:29:18Z</cp:lastPrinted>
  <dcterms:created xsi:type="dcterms:W3CDTF">2003-05-01T14:02:57Z</dcterms:created>
  <dcterms:modified xsi:type="dcterms:W3CDTF">2017-11-27T22:52:15Z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0x0101006E56B4D1795A2E4DB2F0B01679ED314A00F1D793C093BE0546B134436B72A8C40F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