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950" windowHeight="4740"/>
  </bookViews>
  <sheets>
    <sheet name="References" sheetId="2" r:id="rId1"/>
    <sheet name="Spokane DF Calc" sheetId="3" r:id="rId2"/>
    <sheet name="Proposed Rates" sheetId="4" r:id="rId3"/>
    <sheet name="Disposal Schedule" sheetId="6" r:id="rId4"/>
    <sheet name="Spokane Reg - Price out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[4]Hidden!#REF!</definedName>
    <definedName name="_ACT1">[5]Hidden!#REF!</definedName>
    <definedName name="_ACT2" localSheetId="3">[4]Hidden!#REF!</definedName>
    <definedName name="_ACT2" localSheetId="4">[4]Hidden!#REF!</definedName>
    <definedName name="_ACT2">[5]Hidden!#REF!</definedName>
    <definedName name="_ACT3" localSheetId="3">[4]Hidden!#REF!</definedName>
    <definedName name="_ACT3" localSheetId="4">[4]Hidden!#REF!</definedName>
    <definedName name="_ACT3">[5]Hidden!#REF!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'Spokane DF Calc'!$A$1:$T$48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[4]Hidden!#REF!</definedName>
    <definedName name="ACCT">[5]Hidden!#REF!</definedName>
    <definedName name="ACCT.ConsolSum">[1]Hidden!$Q$11</definedName>
    <definedName name="ACT_CUR" localSheetId="3">[4]Hidden!#REF!</definedName>
    <definedName name="ACT_CUR" localSheetId="4">[4]Hidden!#REF!</definedName>
    <definedName name="ACT_CUR">[5]Hidden!#REF!</definedName>
    <definedName name="ACT_YTD" localSheetId="3">[4]Hidden!#REF!</definedName>
    <definedName name="ACT_YTD" localSheetId="4">[4]Hidden!#REF!</definedName>
    <definedName name="ACT_YTD">[5]Hidden!#REF!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 localSheetId="4">'[6]Pacific Regulated - Price Out'!$F$50</definedName>
    <definedName name="BookRev">'[7]Pacific Regulated - Price Out'!$F$50</definedName>
    <definedName name="BookRev_com" localSheetId="3">'[6]Pacific Regulated - Price Out'!$F$214</definedName>
    <definedName name="BookRev_com" localSheetId="4">'[6]Pacific Regulated - Price Out'!$F$214</definedName>
    <definedName name="BookRev_com">'[7]Pacific Regulated - Price Out'!$F$214</definedName>
    <definedName name="BookRev_mfr" localSheetId="3">'[6]Pacific Regulated - Price Out'!$F$222</definedName>
    <definedName name="BookRev_mfr" localSheetId="4">'[6]Pacific Regulated - Price Out'!$F$222</definedName>
    <definedName name="BookRev_mfr">'[7]Pacific Regulated - Price Out'!$F$222</definedName>
    <definedName name="BookRev_ro" localSheetId="3">'[6]Pacific Regulated - Price Out'!$F$282</definedName>
    <definedName name="BookRev_ro" localSheetId="4">'[6]Pacific Regulated - Price Out'!$F$282</definedName>
    <definedName name="BookRev_ro">'[7]Pacific Regulated - Price Out'!$F$282</definedName>
    <definedName name="BookRev_rr" localSheetId="3">'[6]Pacific Regulated - Price Out'!$F$59</definedName>
    <definedName name="BookRev_rr" localSheetId="4">'[6]Pacific Regulated - Price Out'!$F$59</definedName>
    <definedName name="BookRev_rr">'[7]Pacific Regulated - Price Out'!$F$59</definedName>
    <definedName name="BookRev_yw" localSheetId="3">'[6]Pacific Regulated - Price Out'!$F$70</definedName>
    <definedName name="BookRev_yw" localSheetId="4">'[6]Pacific Regulated - Price Out'!$F$70</definedName>
    <definedName name="BookRev_yw">'[7]Pacific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[4]Hidden!#REF!</definedName>
    <definedName name="BUD_CUR">[5]Hidden!#REF!</definedName>
    <definedName name="BUD_YTD" localSheetId="3">[4]Hidden!#REF!</definedName>
    <definedName name="BUD_YTD" localSheetId="4">[4]Hidden!#REF!</definedName>
    <definedName name="BUD_YTD">[5]Hidden!#REF!</definedName>
    <definedName name="CalRecyTons" localSheetId="3">'[8]Recycl Tons, Commodity Value'!$L$23</definedName>
    <definedName name="CalRecyTons" localSheetId="4">'[8]Recycl Tons, Commodity Value'!$L$23</definedName>
    <definedName name="CalRecyTons">'[9]Recycl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RCTable" localSheetId="3">#REF!</definedName>
    <definedName name="CRCTable" localSheetId="4">#REF!</definedName>
    <definedName name="CRCTable">#REF!</definedName>
    <definedName name="CRCTableOLD">#REF!</definedName>
    <definedName name="CriteriaType">[10]ControlPanel!$Z$2:$Z$5</definedName>
    <definedName name="CurrentMonth">'[11]38000 Other Rev'!$H$8</definedName>
    <definedName name="Cutomers" localSheetId="3">#REF!</definedName>
    <definedName name="Cutomers" localSheetId="4">#REF!</definedName>
    <definedName name="Cutomers">#REF!</definedName>
    <definedName name="_xlnm.Database">#REF!</definedName>
    <definedName name="Database1">#REF!</definedName>
    <definedName name="DateFrom">'[11]38000 Other Rev'!$G$12</definedName>
    <definedName name="DateTo">'[11]38000 Other Rev'!$G$13</definedName>
    <definedName name="DEPT" localSheetId="3">[4]Hidden!#REF!</definedName>
    <definedName name="DEPT" localSheetId="4">[4]Hidden!#REF!</definedName>
    <definedName name="DEPT">[5]Hidden!#REF!</definedName>
    <definedName name="Dist">[12]Data!$E$3</definedName>
    <definedName name="District" localSheetId="3">'[13]Vashon BS'!#REF!</definedName>
    <definedName name="District" localSheetId="4">'[13]Vashon BS'!#REF!</definedName>
    <definedName name="District">'[14]Vashon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'[15]IS-2120'!#REF!</definedName>
    <definedName name="EntrieShownLimit">'[11]38000 Other Rev'!$D$6</definedName>
    <definedName name="ExcludeIC" localSheetId="3">'[11]2025 BS'!#REF!</definedName>
    <definedName name="ExcludeIC" localSheetId="4">'[11]2025 BS'!#REF!</definedName>
    <definedName name="ExcludeIC">'[14]Vashon BS'!#REF!</definedName>
    <definedName name="FBTable" localSheetId="3">#REF!</definedName>
    <definedName name="FBTable" localSheetId="4">#REF!</definedName>
    <definedName name="FBTable">#REF!</definedName>
    <definedName name="FBTableOld">#REF!</definedName>
    <definedName name="filter">[1]Settings!$B$14:$H$25</definedName>
    <definedName name="FundsApprPend" localSheetId="4">[12]Data!#REF!</definedName>
    <definedName name="FundsApprPend">[12]Data!#REF!</definedName>
    <definedName name="FundsBudUnbud" localSheetId="4">[12]Data!#REF!</definedName>
    <definedName name="FundsBudUnbud">[12]Data!#REF!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[12]Data!#REF!</definedName>
    <definedName name="Import_Range">[12]Data!#REF!</definedName>
    <definedName name="IncomeStmnt" localSheetId="4">#REF!</definedName>
    <definedName name="IncomeStmnt">#REF!</definedName>
    <definedName name="INPUT" localSheetId="3">#REF!</definedName>
    <definedName name="INPUT" localSheetId="4">#REF!</definedName>
    <definedName name="INPUT">#REF!</definedName>
    <definedName name="Insurance">#REF!</definedName>
    <definedName name="Invoice_Start" localSheetId="4">[12]Invoice_Drill!#REF!</definedName>
    <definedName name="Invoice_Start">[12]Invoice_Drill!#REF!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 localSheetId="4">#REF!</definedName>
    <definedName name="master_def">'[15]IS-2120'!#REF!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onthList">'[12]Lookup Tables'!$A$1:$A$13</definedName>
    <definedName name="NewOnlyOrg">#N/A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[16]JEexport!$L$10</definedName>
    <definedName name="OffsetAcctPmt">[16]JEexport!$L$9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1">'Spokane DF Calc'!$A$1:$T$65</definedName>
    <definedName name="_xlnm.Print_Area" localSheetId="4">'Spokane Reg - Price out'!$A$1:$P$84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1">'Spokane DF Calc'!$1:$5</definedName>
    <definedName name="_xlnm.Print_Titles" localSheetId="4">'Spokane Reg - Price out'!$1:$10</definedName>
    <definedName name="Print1" localSheetId="3">#REF!</definedName>
    <definedName name="Print1" localSheetId="4">#REF!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 localSheetId="4">'[6]Pacific Regulated - Price Out'!$M$49</definedName>
    <definedName name="ProRev">'[7]Pacific Regulated - Price Out'!$M$49</definedName>
    <definedName name="ProRev_com" localSheetId="3">'[6]Pacific Regulated - Price Out'!$M$213</definedName>
    <definedName name="ProRev_com" localSheetId="4">'[6]Pacific Regulated - Price Out'!$M$213</definedName>
    <definedName name="ProRev_com">'[7]Pacific Regulated - Price Out'!$M$213</definedName>
    <definedName name="ProRev_mfr" localSheetId="3">'[6]Pacific Regulated - Price Out'!$M$221</definedName>
    <definedName name="ProRev_mfr" localSheetId="4">'[6]Pacific Regulated - Price Out'!$M$221</definedName>
    <definedName name="ProRev_mfr">'[7]Pacific Regulated - Price Out'!$M$221</definedName>
    <definedName name="ProRev_ro" localSheetId="3">'[6]Pacific Regulated - Price Out'!$M$281</definedName>
    <definedName name="ProRev_ro" localSheetId="4">'[6]Pacific Regulated - Price Out'!$M$281</definedName>
    <definedName name="ProRev_ro">'[7]Pacific Regulated - Price Out'!$M$281</definedName>
    <definedName name="ProRev_rr" localSheetId="3">'[6]Pacific Regulated - Price Out'!$M$58</definedName>
    <definedName name="ProRev_rr" localSheetId="4">'[6]Pacific Regulated - Price Out'!$M$58</definedName>
    <definedName name="ProRev_rr">'[7]Pacific Regulated - Price Out'!$M$58</definedName>
    <definedName name="ProRev_yw" localSheetId="3">'[6]Pacific Regulated - Price Out'!$M$69</definedName>
    <definedName name="ProRev_yw" localSheetId="4">'[6]Pacific Regulated - Price Out'!$M$69</definedName>
    <definedName name="ProRev_yw">'[7]Pacific Regulated - Price Out'!$M$69</definedName>
    <definedName name="pServer" localSheetId="3">#REF!</definedName>
    <definedName name="pServer" localSheetId="4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[17]ControlPanel!$S$2:$S$16</definedName>
    <definedName name="ReportVersion">[1]Settings!$D$5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[18]RevenuesCust!#REF!</definedName>
    <definedName name="RevCust" localSheetId="4">[18]RevenuesCust!#REF!</definedName>
    <definedName name="RevCust">[19]RevenuesCust!#REF!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'[15]IS-2120'!#REF!</definedName>
    <definedName name="sSRCDate" localSheetId="3">'[20]Feb''12 FAR Data'!#REF!</definedName>
    <definedName name="sSRCDate" localSheetId="4">'[20]Feb''12 FAR Data'!#REF!</definedName>
    <definedName name="sSRCDate">'[21]Feb''12 FAR Data'!#REF!</definedName>
    <definedName name="Supplemental_filter">[1]Settings!$C$31</definedName>
    <definedName name="SWDisposal">#N/A</definedName>
    <definedName name="System">[22]BS_Close!$V$8</definedName>
    <definedName name="TemplateEnd" localSheetId="3">#REF!</definedName>
    <definedName name="TemplateEnd" localSheetId="4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tal_Comm" localSheetId="3">'[8]Tariff Rate Sheet'!$L$214</definedName>
    <definedName name="Total_Comm" localSheetId="4">'[8]Tariff Rate Sheet'!$L$214</definedName>
    <definedName name="Total_Comm">'[9]Tariff Rate Sheet'!$L$214</definedName>
    <definedName name="Total_DB" localSheetId="3">'[8]Tariff Rate Sheet'!$L$278</definedName>
    <definedName name="Total_DB" localSheetId="4">'[8]Tariff Rate Sheet'!$L$278</definedName>
    <definedName name="Total_DB">'[9]Tariff Rate Sheet'!$L$278</definedName>
    <definedName name="Total_Resi" localSheetId="3">'[8]Tariff Rate Sheet'!$L$107</definedName>
    <definedName name="Total_Resi" localSheetId="4">'[8]Tariff Rate Sheet'!$L$107</definedName>
    <definedName name="Total_Resi">'[9]Tariff Rate Sheet'!$L$107</definedName>
    <definedName name="Transactions" localSheetId="3">#REF!</definedName>
    <definedName name="Transactions" localSheetId="4">#REF!</definedName>
    <definedName name="Transactions">#REF!</definedName>
    <definedName name="Version" localSheetId="4">[12]Data!#REF!</definedName>
    <definedName name="Version">[12]Data!#REF!</definedName>
    <definedName name="WTable" localSheetId="4">#REF!</definedName>
    <definedName name="WTable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[4]Hidden!#REF!</definedName>
    <definedName name="xtabin">[5]Hidden!#REF!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'[13]Vashon BS'!#REF!</definedName>
    <definedName name="YearMonth" localSheetId="4">'[13]Vashon BS'!#REF!</definedName>
    <definedName name="YearMonth">'[14]Vashon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P47" i="3" l="1"/>
  <c r="H47" i="3"/>
  <c r="F47" i="3"/>
  <c r="D47" i="3"/>
  <c r="P21" i="3"/>
  <c r="H21" i="3"/>
  <c r="F21" i="3"/>
  <c r="D21" i="3"/>
  <c r="F28" i="3"/>
  <c r="F27" i="3"/>
  <c r="C33" i="4" l="1"/>
  <c r="R59" i="3" l="1"/>
  <c r="R58" i="3"/>
  <c r="R57" i="3"/>
  <c r="G46" i="3"/>
  <c r="M46" i="3"/>
  <c r="M45" i="3"/>
  <c r="M44" i="3"/>
  <c r="M43" i="3"/>
  <c r="M42" i="3"/>
  <c r="M41" i="3"/>
  <c r="M40" i="3"/>
  <c r="M39" i="3"/>
  <c r="M38" i="3"/>
  <c r="M37" i="3"/>
  <c r="M35" i="3"/>
  <c r="M36" i="3" s="1"/>
  <c r="M34" i="3"/>
  <c r="M33" i="3"/>
  <c r="M32" i="3"/>
  <c r="M31" i="3"/>
  <c r="M28" i="3"/>
  <c r="M27" i="3"/>
  <c r="M30" i="3"/>
  <c r="M29" i="3"/>
  <c r="M26" i="3"/>
  <c r="M56" i="3"/>
  <c r="G56" i="3"/>
  <c r="H56" i="3" s="1"/>
  <c r="G31" i="3"/>
  <c r="B29" i="4"/>
  <c r="B28" i="4"/>
  <c r="C32" i="4"/>
  <c r="G45" i="3" l="1"/>
  <c r="G44" i="3"/>
  <c r="G43" i="3"/>
  <c r="G42" i="3"/>
  <c r="G41" i="3"/>
  <c r="G40" i="3"/>
  <c r="G39" i="3"/>
  <c r="G23" i="3"/>
  <c r="G38" i="3"/>
  <c r="G22" i="3"/>
  <c r="G37" i="3"/>
  <c r="G36" i="3"/>
  <c r="G35" i="3"/>
  <c r="G34" i="3"/>
  <c r="G33" i="3"/>
  <c r="G32" i="3"/>
  <c r="G29" i="3"/>
  <c r="G30" i="3" s="1"/>
  <c r="G27" i="3"/>
  <c r="G28" i="3" s="1"/>
  <c r="P28" i="3" l="1"/>
  <c r="G26" i="3"/>
  <c r="D26" i="3" l="1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22" i="3"/>
  <c r="D24" i="3"/>
  <c r="D25" i="3"/>
  <c r="D23" i="3"/>
  <c r="G15" i="3"/>
  <c r="G13" i="3"/>
  <c r="D20" i="3"/>
  <c r="D19" i="3"/>
  <c r="D18" i="3"/>
  <c r="D17" i="3"/>
  <c r="D16" i="3"/>
  <c r="D13" i="3"/>
  <c r="D14" i="3"/>
  <c r="D15" i="3"/>
  <c r="D12" i="3"/>
  <c r="D11" i="3"/>
  <c r="D7" i="3"/>
  <c r="D8" i="3"/>
  <c r="D9" i="3"/>
  <c r="D10" i="3"/>
  <c r="D6" i="3"/>
  <c r="D52" i="3"/>
  <c r="G82" i="7"/>
  <c r="F82" i="7"/>
  <c r="O80" i="7"/>
  <c r="L80" i="7"/>
  <c r="K80" i="7"/>
  <c r="M80" i="7" s="1"/>
  <c r="I80" i="7"/>
  <c r="O79" i="7"/>
  <c r="L79" i="7"/>
  <c r="K79" i="7"/>
  <c r="M79" i="7" s="1"/>
  <c r="I79" i="7"/>
  <c r="O78" i="7"/>
  <c r="L78" i="7"/>
  <c r="K78" i="7"/>
  <c r="M78" i="7" s="1"/>
  <c r="I78" i="7"/>
  <c r="O77" i="7"/>
  <c r="L77" i="7"/>
  <c r="M77" i="7" s="1"/>
  <c r="K77" i="7"/>
  <c r="I77" i="7"/>
  <c r="O76" i="7"/>
  <c r="M76" i="7"/>
  <c r="L76" i="7"/>
  <c r="K76" i="7"/>
  <c r="I76" i="7"/>
  <c r="O75" i="7"/>
  <c r="L75" i="7"/>
  <c r="K75" i="7"/>
  <c r="I75" i="7"/>
  <c r="O74" i="7"/>
  <c r="L74" i="7"/>
  <c r="K74" i="7"/>
  <c r="M74" i="7" s="1"/>
  <c r="I74" i="7"/>
  <c r="O73" i="7"/>
  <c r="L73" i="7"/>
  <c r="K73" i="7"/>
  <c r="M73" i="7" s="1"/>
  <c r="I73" i="7"/>
  <c r="O72" i="7"/>
  <c r="L72" i="7"/>
  <c r="K72" i="7"/>
  <c r="M72" i="7" s="1"/>
  <c r="I72" i="7"/>
  <c r="O71" i="7"/>
  <c r="L71" i="7"/>
  <c r="K71" i="7"/>
  <c r="M71" i="7" s="1"/>
  <c r="I71" i="7"/>
  <c r="O70" i="7"/>
  <c r="L70" i="7"/>
  <c r="K70" i="7"/>
  <c r="M70" i="7" s="1"/>
  <c r="I70" i="7"/>
  <c r="O69" i="7"/>
  <c r="L69" i="7"/>
  <c r="K69" i="7"/>
  <c r="M69" i="7" s="1"/>
  <c r="I69" i="7"/>
  <c r="O68" i="7"/>
  <c r="L68" i="7"/>
  <c r="K68" i="7"/>
  <c r="M68" i="7" s="1"/>
  <c r="I68" i="7"/>
  <c r="O67" i="7"/>
  <c r="L67" i="7"/>
  <c r="K67" i="7"/>
  <c r="I67" i="7"/>
  <c r="O66" i="7"/>
  <c r="L66" i="7"/>
  <c r="K66" i="7"/>
  <c r="I66" i="7"/>
  <c r="O65" i="7"/>
  <c r="L65" i="7"/>
  <c r="K65" i="7"/>
  <c r="I65" i="7"/>
  <c r="O64" i="7"/>
  <c r="L64" i="7"/>
  <c r="K64" i="7"/>
  <c r="I64" i="7"/>
  <c r="O63" i="7"/>
  <c r="L63" i="7"/>
  <c r="K63" i="7"/>
  <c r="I63" i="7"/>
  <c r="O62" i="7"/>
  <c r="L62" i="7"/>
  <c r="K62" i="7"/>
  <c r="I62" i="7"/>
  <c r="O61" i="7"/>
  <c r="L61" i="7"/>
  <c r="K61" i="7"/>
  <c r="M61" i="7" s="1"/>
  <c r="N61" i="7" s="1"/>
  <c r="I61" i="7"/>
  <c r="O60" i="7"/>
  <c r="L60" i="7"/>
  <c r="K60" i="7"/>
  <c r="I60" i="7"/>
  <c r="O59" i="7"/>
  <c r="L59" i="7"/>
  <c r="K59" i="7"/>
  <c r="I59" i="7"/>
  <c r="O58" i="7"/>
  <c r="L58" i="7"/>
  <c r="K58" i="7"/>
  <c r="I58" i="7"/>
  <c r="O57" i="7"/>
  <c r="L57" i="7"/>
  <c r="K57" i="7"/>
  <c r="I57" i="7"/>
  <c r="O56" i="7"/>
  <c r="L56" i="7"/>
  <c r="K56" i="7"/>
  <c r="I56" i="7"/>
  <c r="O55" i="7"/>
  <c r="L55" i="7"/>
  <c r="K55" i="7"/>
  <c r="I55" i="7"/>
  <c r="O54" i="7"/>
  <c r="L54" i="7"/>
  <c r="K54" i="7"/>
  <c r="I54" i="7"/>
  <c r="O53" i="7"/>
  <c r="M53" i="7"/>
  <c r="N53" i="7" s="1"/>
  <c r="L53" i="7"/>
  <c r="K53" i="7"/>
  <c r="I53" i="7"/>
  <c r="O52" i="7"/>
  <c r="L52" i="7"/>
  <c r="K52" i="7"/>
  <c r="I52" i="7"/>
  <c r="O51" i="7"/>
  <c r="L51" i="7"/>
  <c r="K51" i="7"/>
  <c r="I51" i="7"/>
  <c r="O50" i="7"/>
  <c r="L50" i="7"/>
  <c r="K50" i="7"/>
  <c r="I50" i="7"/>
  <c r="O49" i="7"/>
  <c r="L49" i="7"/>
  <c r="K49" i="7"/>
  <c r="I49" i="7"/>
  <c r="O48" i="7"/>
  <c r="L48" i="7"/>
  <c r="K48" i="7"/>
  <c r="I48" i="7"/>
  <c r="O47" i="7"/>
  <c r="L47" i="7"/>
  <c r="K47" i="7"/>
  <c r="M47" i="7" s="1"/>
  <c r="N47" i="7" s="1"/>
  <c r="I47" i="7"/>
  <c r="O46" i="7"/>
  <c r="L46" i="7"/>
  <c r="K46" i="7"/>
  <c r="I46" i="7"/>
  <c r="O45" i="7"/>
  <c r="L45" i="7"/>
  <c r="K45" i="7"/>
  <c r="I45" i="7"/>
  <c r="O44" i="7"/>
  <c r="L44" i="7"/>
  <c r="K44" i="7"/>
  <c r="I44" i="7"/>
  <c r="O43" i="7"/>
  <c r="L43" i="7"/>
  <c r="K43" i="7"/>
  <c r="M43" i="7" s="1"/>
  <c r="N43" i="7" s="1"/>
  <c r="I43" i="7"/>
  <c r="O42" i="7"/>
  <c r="L42" i="7"/>
  <c r="K42" i="7"/>
  <c r="I42" i="7"/>
  <c r="O41" i="7"/>
  <c r="L41" i="7"/>
  <c r="K41" i="7"/>
  <c r="M41" i="7" s="1"/>
  <c r="I41" i="7"/>
  <c r="I82" i="7" s="1"/>
  <c r="G36" i="7"/>
  <c r="F36" i="7"/>
  <c r="O34" i="7"/>
  <c r="L34" i="7"/>
  <c r="K34" i="7"/>
  <c r="I34" i="7"/>
  <c r="O33" i="7"/>
  <c r="L33" i="7"/>
  <c r="K33" i="7"/>
  <c r="I33" i="7"/>
  <c r="O32" i="7"/>
  <c r="L32" i="7"/>
  <c r="K32" i="7"/>
  <c r="I32" i="7"/>
  <c r="O31" i="7"/>
  <c r="L31" i="7"/>
  <c r="K31" i="7"/>
  <c r="I31" i="7"/>
  <c r="O30" i="7"/>
  <c r="L30" i="7"/>
  <c r="K30" i="7"/>
  <c r="I30" i="7"/>
  <c r="O29" i="7"/>
  <c r="L29" i="7"/>
  <c r="K29" i="7"/>
  <c r="I29" i="7"/>
  <c r="O28" i="7"/>
  <c r="L28" i="7"/>
  <c r="K28" i="7"/>
  <c r="I28" i="7"/>
  <c r="O27" i="7"/>
  <c r="L27" i="7"/>
  <c r="K27" i="7"/>
  <c r="I27" i="7"/>
  <c r="O26" i="7"/>
  <c r="L26" i="7"/>
  <c r="K26" i="7"/>
  <c r="I26" i="7"/>
  <c r="O25" i="7"/>
  <c r="L25" i="7"/>
  <c r="K25" i="7"/>
  <c r="I25" i="7"/>
  <c r="L24" i="7"/>
  <c r="I24" i="7"/>
  <c r="C24" i="7"/>
  <c r="K24" i="7" s="1"/>
  <c r="L23" i="7"/>
  <c r="I23" i="7"/>
  <c r="C23" i="7"/>
  <c r="K23" i="7" s="1"/>
  <c r="M23" i="7" s="1"/>
  <c r="N23" i="7" s="1"/>
  <c r="O22" i="7"/>
  <c r="L22" i="7"/>
  <c r="K22" i="7"/>
  <c r="I22" i="7"/>
  <c r="L21" i="7"/>
  <c r="I21" i="7"/>
  <c r="C21" i="7"/>
  <c r="O21" i="7" s="1"/>
  <c r="O20" i="7"/>
  <c r="L20" i="7"/>
  <c r="K20" i="7"/>
  <c r="M20" i="7" s="1"/>
  <c r="N20" i="7" s="1"/>
  <c r="I20" i="7"/>
  <c r="O19" i="7"/>
  <c r="L19" i="7"/>
  <c r="K19" i="7"/>
  <c r="I19" i="7"/>
  <c r="O18" i="7"/>
  <c r="L18" i="7"/>
  <c r="K18" i="7"/>
  <c r="M18" i="7" s="1"/>
  <c r="I18" i="7"/>
  <c r="O17" i="7"/>
  <c r="L17" i="7"/>
  <c r="K17" i="7"/>
  <c r="M17" i="7" s="1"/>
  <c r="I17" i="7"/>
  <c r="O16" i="7"/>
  <c r="L16" i="7"/>
  <c r="K16" i="7"/>
  <c r="M16" i="7" s="1"/>
  <c r="I16" i="7"/>
  <c r="O15" i="7"/>
  <c r="L15" i="7"/>
  <c r="K15" i="7"/>
  <c r="I15" i="7"/>
  <c r="M15" i="7" l="1"/>
  <c r="M19" i="7"/>
  <c r="M46" i="7"/>
  <c r="N46" i="7" s="1"/>
  <c r="M56" i="7"/>
  <c r="M57" i="7"/>
  <c r="N57" i="7" s="1"/>
  <c r="M75" i="7"/>
  <c r="M42" i="7"/>
  <c r="N42" i="7" s="1"/>
  <c r="M62" i="7"/>
  <c r="N62" i="7" s="1"/>
  <c r="O23" i="7"/>
  <c r="O24" i="7"/>
  <c r="M54" i="7"/>
  <c r="N54" i="7" s="1"/>
  <c r="M55" i="7"/>
  <c r="N55" i="7" s="1"/>
  <c r="M24" i="7"/>
  <c r="N24" i="7" s="1"/>
  <c r="K21" i="7"/>
  <c r="M21" i="7" s="1"/>
  <c r="N21" i="7" s="1"/>
  <c r="M22" i="7"/>
  <c r="N22" i="7" s="1"/>
  <c r="M25" i="7"/>
  <c r="M26" i="7"/>
  <c r="M27" i="7"/>
  <c r="M28" i="7"/>
  <c r="M29" i="7"/>
  <c r="M30" i="7"/>
  <c r="M31" i="7"/>
  <c r="M32" i="7"/>
  <c r="M33" i="7"/>
  <c r="M34" i="7"/>
  <c r="M44" i="7"/>
  <c r="N44" i="7" s="1"/>
  <c r="M45" i="7"/>
  <c r="N45" i="7" s="1"/>
  <c r="M58" i="7"/>
  <c r="N58" i="7" s="1"/>
  <c r="M59" i="7"/>
  <c r="N59" i="7" s="1"/>
  <c r="M60" i="7"/>
  <c r="N60" i="7" s="1"/>
  <c r="M48" i="7"/>
  <c r="N48" i="7" s="1"/>
  <c r="M49" i="7"/>
  <c r="N49" i="7" s="1"/>
  <c r="M50" i="7"/>
  <c r="N50" i="7" s="1"/>
  <c r="M51" i="7"/>
  <c r="M52" i="7"/>
  <c r="M63" i="7"/>
  <c r="N63" i="7" s="1"/>
  <c r="M64" i="7"/>
  <c r="M65" i="7"/>
  <c r="M66" i="7"/>
  <c r="M67" i="7"/>
  <c r="I36" i="7"/>
  <c r="N41" i="7"/>
  <c r="M36" i="7" l="1"/>
  <c r="M82" i="7"/>
  <c r="B36" i="6" l="1"/>
  <c r="C35" i="6" s="1"/>
  <c r="M25" i="6"/>
  <c r="L25" i="6"/>
  <c r="B66" i="2" s="1"/>
  <c r="D71" i="3" s="1"/>
  <c r="J25" i="6"/>
  <c r="I25" i="6"/>
  <c r="F25" i="6"/>
  <c r="E25" i="6"/>
  <c r="C66" i="2" s="1"/>
  <c r="D70" i="3" s="1"/>
  <c r="C25" i="6"/>
  <c r="B25" i="6"/>
  <c r="Q23" i="6"/>
  <c r="P23" i="6"/>
  <c r="N23" i="6"/>
  <c r="K23" i="6"/>
  <c r="G23" i="6"/>
  <c r="D23" i="6"/>
  <c r="Q22" i="6"/>
  <c r="P22" i="6"/>
  <c r="N22" i="6"/>
  <c r="K22" i="6"/>
  <c r="G22" i="6"/>
  <c r="D22" i="6"/>
  <c r="Q21" i="6"/>
  <c r="P21" i="6"/>
  <c r="N21" i="6"/>
  <c r="K21" i="6"/>
  <c r="G21" i="6"/>
  <c r="D21" i="6"/>
  <c r="Q20" i="6"/>
  <c r="P20" i="6"/>
  <c r="N20" i="6"/>
  <c r="K20" i="6"/>
  <c r="G20" i="6"/>
  <c r="D20" i="6"/>
  <c r="Q19" i="6"/>
  <c r="P19" i="6"/>
  <c r="N19" i="6"/>
  <c r="K19" i="6"/>
  <c r="G19" i="6"/>
  <c r="D19" i="6"/>
  <c r="Q18" i="6"/>
  <c r="P18" i="6"/>
  <c r="N18" i="6"/>
  <c r="K18" i="6"/>
  <c r="G18" i="6"/>
  <c r="D18" i="6"/>
  <c r="Q17" i="6"/>
  <c r="P17" i="6"/>
  <c r="N17" i="6"/>
  <c r="K17" i="6"/>
  <c r="G17" i="6"/>
  <c r="D17" i="6"/>
  <c r="Q16" i="6"/>
  <c r="P16" i="6"/>
  <c r="N16" i="6"/>
  <c r="K16" i="6"/>
  <c r="G16" i="6"/>
  <c r="D16" i="6"/>
  <c r="Q15" i="6"/>
  <c r="P15" i="6"/>
  <c r="N15" i="6"/>
  <c r="K15" i="6"/>
  <c r="G15" i="6"/>
  <c r="D15" i="6"/>
  <c r="Q14" i="6"/>
  <c r="P14" i="6"/>
  <c r="N14" i="6"/>
  <c r="K14" i="6"/>
  <c r="G14" i="6"/>
  <c r="D14" i="6"/>
  <c r="Q13" i="6"/>
  <c r="P13" i="6"/>
  <c r="N13" i="6"/>
  <c r="K13" i="6"/>
  <c r="G13" i="6"/>
  <c r="D13" i="6"/>
  <c r="Q12" i="6"/>
  <c r="P12" i="6"/>
  <c r="N12" i="6"/>
  <c r="K12" i="6"/>
  <c r="G12" i="6"/>
  <c r="D12" i="6"/>
  <c r="D72" i="3" l="1"/>
  <c r="D62" i="3" s="1"/>
  <c r="Q25" i="6"/>
  <c r="G25" i="6"/>
  <c r="K25" i="6"/>
  <c r="N25" i="6"/>
  <c r="D25" i="6"/>
  <c r="P25" i="6"/>
  <c r="C34" i="6"/>
  <c r="E70" i="3" l="1"/>
  <c r="E71" i="3"/>
  <c r="B61" i="2" l="1"/>
  <c r="D61" i="2" s="1"/>
  <c r="C60" i="2"/>
  <c r="C61" i="2" s="1"/>
  <c r="C59" i="2"/>
  <c r="B57" i="2"/>
  <c r="B64" i="2" s="1"/>
  <c r="C56" i="2"/>
  <c r="C55" i="2"/>
  <c r="D57" i="2" l="1"/>
  <c r="C57" i="2"/>
  <c r="C64" i="2"/>
  <c r="G12" i="3" l="1"/>
  <c r="G25" i="3" l="1"/>
  <c r="G24" i="3"/>
  <c r="G14" i="3"/>
  <c r="M25" i="3" l="1"/>
  <c r="M24" i="3"/>
  <c r="G54" i="3"/>
  <c r="G53" i="3"/>
  <c r="M7" i="3"/>
  <c r="M52" i="3"/>
  <c r="M10" i="3"/>
  <c r="M9" i="3"/>
  <c r="M8" i="3"/>
  <c r="M55" i="3"/>
  <c r="M18" i="3"/>
  <c r="M22" i="3"/>
  <c r="M14" i="3"/>
  <c r="M12" i="3"/>
  <c r="M23" i="3"/>
  <c r="M20" i="3"/>
  <c r="M19" i="3"/>
  <c r="M17" i="3"/>
  <c r="M16" i="3"/>
  <c r="M13" i="3"/>
  <c r="M15" i="3" s="1"/>
  <c r="P15" i="3" s="1"/>
  <c r="M11" i="3"/>
  <c r="M6" i="3"/>
  <c r="G55" i="3" l="1"/>
  <c r="H55" i="3" s="1"/>
  <c r="G20" i="3"/>
  <c r="G19" i="3"/>
  <c r="G18" i="3"/>
  <c r="G17" i="3"/>
  <c r="G16" i="3"/>
  <c r="G11" i="3"/>
  <c r="G52" i="3"/>
  <c r="G10" i="3"/>
  <c r="G9" i="3"/>
  <c r="G8" i="3"/>
  <c r="G7" i="3"/>
  <c r="G6" i="3"/>
  <c r="P8" i="3" l="1"/>
  <c r="P7" i="3"/>
  <c r="P10" i="3" l="1"/>
  <c r="P11" i="3"/>
  <c r="P13" i="3" l="1"/>
  <c r="P9" i="3"/>
  <c r="P6" i="3"/>
  <c r="P12" i="3"/>
  <c r="P14" i="3" l="1"/>
  <c r="M54" i="3"/>
  <c r="M53" i="3"/>
  <c r="D63" i="3" l="1"/>
  <c r="G54" i="2" l="1"/>
  <c r="G53" i="2"/>
  <c r="G56" i="2" s="1"/>
  <c r="G58" i="2" s="1"/>
  <c r="B12" i="2"/>
  <c r="B11" i="2"/>
  <c r="H11" i="2" s="1"/>
  <c r="B10" i="2"/>
  <c r="B9" i="2"/>
  <c r="B8" i="2"/>
  <c r="B7" i="2"/>
  <c r="B6" i="2"/>
  <c r="E44" i="3" l="1"/>
  <c r="E40" i="3"/>
  <c r="E39" i="3"/>
  <c r="E46" i="3"/>
  <c r="E42" i="3"/>
  <c r="E38" i="3"/>
  <c r="E45" i="3"/>
  <c r="E41" i="3"/>
  <c r="F41" i="3" s="1"/>
  <c r="P41" i="3" s="1"/>
  <c r="E37" i="3"/>
  <c r="E43" i="3"/>
  <c r="E36" i="3"/>
  <c r="E35" i="3"/>
  <c r="F35" i="3" s="1"/>
  <c r="P35" i="3" s="1"/>
  <c r="E34" i="3"/>
  <c r="E31" i="3"/>
  <c r="E28" i="3"/>
  <c r="E26" i="3"/>
  <c r="F26" i="3" s="1"/>
  <c r="P26" i="3" s="1"/>
  <c r="E30" i="3"/>
  <c r="E29" i="3"/>
  <c r="E27" i="3"/>
  <c r="E15" i="3"/>
  <c r="F15" i="3" s="1"/>
  <c r="H15" i="3" s="1"/>
  <c r="E8" i="2"/>
  <c r="F38" i="3"/>
  <c r="P38" i="3" s="1"/>
  <c r="F31" i="3"/>
  <c r="P31" i="3" s="1"/>
  <c r="P27" i="3"/>
  <c r="C6" i="2"/>
  <c r="F44" i="3"/>
  <c r="E33" i="3"/>
  <c r="F33" i="3" s="1"/>
  <c r="P33" i="3" s="1"/>
  <c r="E12" i="3"/>
  <c r="F37" i="3"/>
  <c r="P37" i="3" s="1"/>
  <c r="E24" i="3"/>
  <c r="F24" i="3" s="1"/>
  <c r="P24" i="3" s="1"/>
  <c r="E23" i="3"/>
  <c r="F23" i="3" s="1"/>
  <c r="P23" i="3" s="1"/>
  <c r="E11" i="3"/>
  <c r="E25" i="3"/>
  <c r="F25" i="3" s="1"/>
  <c r="P25" i="3" s="1"/>
  <c r="E14" i="3"/>
  <c r="F40" i="3"/>
  <c r="P40" i="3" s="1"/>
  <c r="E22" i="3"/>
  <c r="F22" i="3" s="1"/>
  <c r="P22" i="3" s="1"/>
  <c r="E54" i="3"/>
  <c r="F54" i="3" s="1"/>
  <c r="H54" i="3" s="1"/>
  <c r="F36" i="3"/>
  <c r="P36" i="3" s="1"/>
  <c r="E53" i="3"/>
  <c r="F53" i="3" s="1"/>
  <c r="H53" i="3" s="1"/>
  <c r="E32" i="3"/>
  <c r="F32" i="3" s="1"/>
  <c r="P32" i="3" s="1"/>
  <c r="F45" i="3"/>
  <c r="P45" i="3" s="1"/>
  <c r="F29" i="3"/>
  <c r="P29" i="3" s="1"/>
  <c r="F34" i="3"/>
  <c r="P34" i="3" s="1"/>
  <c r="F46" i="3"/>
  <c r="P46" i="3" s="1"/>
  <c r="F42" i="3"/>
  <c r="P42" i="3" s="1"/>
  <c r="F30" i="3"/>
  <c r="P30" i="3" s="1"/>
  <c r="H7" i="2"/>
  <c r="F43" i="3"/>
  <c r="P43" i="3" s="1"/>
  <c r="F39" i="3"/>
  <c r="P39" i="3" s="1"/>
  <c r="B65" i="2"/>
  <c r="B67" i="2" s="1"/>
  <c r="C65" i="2"/>
  <c r="C67" i="2" s="1"/>
  <c r="E7" i="2"/>
  <c r="H10" i="2"/>
  <c r="F6" i="2"/>
  <c r="E55" i="3"/>
  <c r="E17" i="3"/>
  <c r="E20" i="3"/>
  <c r="E19" i="3"/>
  <c r="E16" i="3"/>
  <c r="E18" i="3"/>
  <c r="E7" i="3"/>
  <c r="E10" i="3"/>
  <c r="E6" i="3"/>
  <c r="E13" i="3"/>
  <c r="E9" i="3"/>
  <c r="E8" i="3"/>
  <c r="E52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D67" i="2" l="1"/>
  <c r="P44" i="3"/>
  <c r="H44" i="3"/>
  <c r="F12" i="3"/>
  <c r="H12" i="3" s="1"/>
  <c r="F17" i="3" l="1"/>
  <c r="H28" i="3"/>
  <c r="H40" i="3"/>
  <c r="H27" i="3"/>
  <c r="H17" i="3" l="1"/>
  <c r="P17" i="3"/>
  <c r="F10" i="3"/>
  <c r="H10" i="3" s="1"/>
  <c r="H41" i="3"/>
  <c r="H39" i="3"/>
  <c r="H24" i="3"/>
  <c r="F7" i="3"/>
  <c r="H7" i="3" s="1"/>
  <c r="F20" i="3"/>
  <c r="F9" i="3"/>
  <c r="H9" i="3" s="1"/>
  <c r="H45" i="3"/>
  <c r="F18" i="3"/>
  <c r="H26" i="3"/>
  <c r="H34" i="3"/>
  <c r="H25" i="3"/>
  <c r="H38" i="3"/>
  <c r="H23" i="3"/>
  <c r="F19" i="3"/>
  <c r="H35" i="3"/>
  <c r="H29" i="3"/>
  <c r="H37" i="3"/>
  <c r="H36" i="3"/>
  <c r="H31" i="3"/>
  <c r="H33" i="3"/>
  <c r="H32" i="3"/>
  <c r="H22" i="3"/>
  <c r="F14" i="3"/>
  <c r="H14" i="3" s="1"/>
  <c r="H42" i="3"/>
  <c r="F6" i="3"/>
  <c r="F11" i="3"/>
  <c r="H11" i="3" s="1"/>
  <c r="F16" i="3"/>
  <c r="H30" i="3"/>
  <c r="H46" i="3"/>
  <c r="F13" i="3"/>
  <c r="H13" i="3" s="1"/>
  <c r="H52" i="3"/>
  <c r="F8" i="3"/>
  <c r="H8" i="3" s="1"/>
  <c r="H19" i="3" l="1"/>
  <c r="P19" i="3"/>
  <c r="H18" i="3"/>
  <c r="P18" i="3"/>
  <c r="H16" i="3"/>
  <c r="P16" i="3"/>
  <c r="H20" i="3"/>
  <c r="P20" i="3"/>
  <c r="H6" i="3"/>
  <c r="H43" i="3"/>
  <c r="H48" i="3" l="1"/>
  <c r="D65" i="3" s="1"/>
  <c r="I56" i="3" s="1"/>
  <c r="J56" i="3" s="1"/>
  <c r="K56" i="3" s="1"/>
  <c r="N56" i="3" l="1"/>
  <c r="L56" i="3"/>
  <c r="C42" i="4" s="1"/>
  <c r="I29" i="3"/>
  <c r="J29" i="3" s="1"/>
  <c r="K29" i="3" s="1"/>
  <c r="L29" i="3" s="1"/>
  <c r="I6" i="3"/>
  <c r="I42" i="3"/>
  <c r="J42" i="3" s="1"/>
  <c r="K42" i="3" s="1"/>
  <c r="I27" i="3"/>
  <c r="J27" i="3" s="1"/>
  <c r="K27" i="3" s="1"/>
  <c r="I26" i="3"/>
  <c r="J26" i="3" s="1"/>
  <c r="K26" i="3" s="1"/>
  <c r="I28" i="3"/>
  <c r="J28" i="3" s="1"/>
  <c r="K28" i="3" s="1"/>
  <c r="L28" i="3" s="1"/>
  <c r="I14" i="3"/>
  <c r="J14" i="3" s="1"/>
  <c r="K14" i="3" s="1"/>
  <c r="I35" i="3"/>
  <c r="J35" i="3" s="1"/>
  <c r="K35" i="3" s="1"/>
  <c r="I54" i="3"/>
  <c r="I44" i="3"/>
  <c r="J44" i="3" s="1"/>
  <c r="K44" i="3" s="1"/>
  <c r="I7" i="3"/>
  <c r="J7" i="3" s="1"/>
  <c r="K7" i="3" s="1"/>
  <c r="I37" i="3"/>
  <c r="J37" i="3" s="1"/>
  <c r="K37" i="3" s="1"/>
  <c r="L37" i="3" s="1"/>
  <c r="I52" i="3"/>
  <c r="J52" i="3" s="1"/>
  <c r="I32" i="3"/>
  <c r="J32" i="3" s="1"/>
  <c r="K32" i="3" s="1"/>
  <c r="I41" i="3"/>
  <c r="J41" i="3" s="1"/>
  <c r="K41" i="3" s="1"/>
  <c r="L41" i="3" s="1"/>
  <c r="I18" i="3"/>
  <c r="J18" i="3" s="1"/>
  <c r="K18" i="3" s="1"/>
  <c r="I43" i="3"/>
  <c r="J43" i="3" s="1"/>
  <c r="K43" i="3" s="1"/>
  <c r="I17" i="3"/>
  <c r="J17" i="3" s="1"/>
  <c r="K17" i="3" s="1"/>
  <c r="I46" i="3"/>
  <c r="J46" i="3" s="1"/>
  <c r="K46" i="3" s="1"/>
  <c r="I24" i="3"/>
  <c r="J24" i="3" s="1"/>
  <c r="K24" i="3" s="1"/>
  <c r="I12" i="3"/>
  <c r="J12" i="3" s="1"/>
  <c r="K12" i="3" s="1"/>
  <c r="I15" i="3"/>
  <c r="J15" i="3" s="1"/>
  <c r="K15" i="3" s="1"/>
  <c r="I8" i="3"/>
  <c r="J8" i="3" s="1"/>
  <c r="K8" i="3" s="1"/>
  <c r="I13" i="3"/>
  <c r="J13" i="3" s="1"/>
  <c r="K13" i="3" s="1"/>
  <c r="I33" i="3"/>
  <c r="J33" i="3" s="1"/>
  <c r="K33" i="3" s="1"/>
  <c r="I20" i="3"/>
  <c r="J20" i="3" s="1"/>
  <c r="K20" i="3" s="1"/>
  <c r="I25" i="3"/>
  <c r="J25" i="3" s="1"/>
  <c r="K25" i="3" s="1"/>
  <c r="I34" i="3"/>
  <c r="J34" i="3" s="1"/>
  <c r="K34" i="3" s="1"/>
  <c r="I22" i="3"/>
  <c r="I31" i="3"/>
  <c r="J31" i="3" s="1"/>
  <c r="K31" i="3" s="1"/>
  <c r="L31" i="3" s="1"/>
  <c r="I11" i="3"/>
  <c r="J11" i="3" s="1"/>
  <c r="K11" i="3" s="1"/>
  <c r="I16" i="3"/>
  <c r="J16" i="3" s="1"/>
  <c r="K16" i="3" s="1"/>
  <c r="I10" i="3"/>
  <c r="J10" i="3" s="1"/>
  <c r="K10" i="3" s="1"/>
  <c r="I19" i="3"/>
  <c r="J19" i="3" s="1"/>
  <c r="K19" i="3" s="1"/>
  <c r="I53" i="3"/>
  <c r="I30" i="3"/>
  <c r="J30" i="3" s="1"/>
  <c r="K30" i="3" s="1"/>
  <c r="L30" i="3" s="1"/>
  <c r="I45" i="3"/>
  <c r="J45" i="3" s="1"/>
  <c r="K45" i="3" s="1"/>
  <c r="I23" i="3"/>
  <c r="J23" i="3" s="1"/>
  <c r="K23" i="3" s="1"/>
  <c r="I39" i="3"/>
  <c r="J39" i="3" s="1"/>
  <c r="K39" i="3" s="1"/>
  <c r="I9" i="3"/>
  <c r="J9" i="3" s="1"/>
  <c r="K9" i="3" s="1"/>
  <c r="I40" i="3"/>
  <c r="J40" i="3" s="1"/>
  <c r="K40" i="3" s="1"/>
  <c r="I38" i="3"/>
  <c r="J38" i="3" s="1"/>
  <c r="K38" i="3" s="1"/>
  <c r="I55" i="3"/>
  <c r="J55" i="3" s="1"/>
  <c r="I36" i="3"/>
  <c r="J36" i="3" s="1"/>
  <c r="K36" i="3" s="1"/>
  <c r="L36" i="3" s="1"/>
  <c r="J22" i="3" l="1"/>
  <c r="K22" i="3" s="1"/>
  <c r="L22" i="3" s="1"/>
  <c r="C36" i="4" s="1"/>
  <c r="I47" i="3"/>
  <c r="I21" i="3"/>
  <c r="C88" i="4"/>
  <c r="C58" i="4"/>
  <c r="C80" i="4"/>
  <c r="C50" i="4"/>
  <c r="C44" i="4"/>
  <c r="C82" i="4"/>
  <c r="C52" i="4"/>
  <c r="C74" i="4"/>
  <c r="J54" i="3"/>
  <c r="K54" i="3" s="1"/>
  <c r="L54" i="3" s="1"/>
  <c r="J53" i="3"/>
  <c r="K53" i="3" s="1"/>
  <c r="L53" i="3" s="1"/>
  <c r="N29" i="3"/>
  <c r="C40" i="4"/>
  <c r="L46" i="3"/>
  <c r="N46" i="3" s="1"/>
  <c r="L42" i="3"/>
  <c r="N42" i="3" s="1"/>
  <c r="K55" i="3"/>
  <c r="L55" i="3" s="1"/>
  <c r="L16" i="3"/>
  <c r="L15" i="3"/>
  <c r="N15" i="3" s="1"/>
  <c r="L7" i="3"/>
  <c r="L38" i="3"/>
  <c r="N38" i="3" s="1"/>
  <c r="L19" i="3"/>
  <c r="C7" i="4" s="1"/>
  <c r="L33" i="3"/>
  <c r="N33" i="3" s="1"/>
  <c r="L17" i="3"/>
  <c r="L32" i="3"/>
  <c r="C61" i="4" s="1"/>
  <c r="L44" i="3"/>
  <c r="N44" i="3" s="1"/>
  <c r="J6" i="3"/>
  <c r="K6" i="3" s="1"/>
  <c r="L6" i="3" s="1"/>
  <c r="C10" i="4" s="1"/>
  <c r="L39" i="3"/>
  <c r="N39" i="3" s="1"/>
  <c r="L14" i="3"/>
  <c r="N14" i="3" s="1"/>
  <c r="L23" i="3"/>
  <c r="L11" i="3"/>
  <c r="L25" i="3"/>
  <c r="N25" i="3" s="1"/>
  <c r="L13" i="3"/>
  <c r="N41" i="3"/>
  <c r="L34" i="3"/>
  <c r="L12" i="3"/>
  <c r="N12" i="3" s="1"/>
  <c r="L40" i="3"/>
  <c r="L45" i="3"/>
  <c r="L43" i="3"/>
  <c r="N43" i="3" s="1"/>
  <c r="K52" i="3"/>
  <c r="L52" i="3" s="1"/>
  <c r="L26" i="3"/>
  <c r="C38" i="4" s="1"/>
  <c r="L9" i="3"/>
  <c r="N30" i="3"/>
  <c r="S30" i="3" s="1"/>
  <c r="L10" i="3"/>
  <c r="L20" i="3"/>
  <c r="N20" i="3" s="1"/>
  <c r="L8" i="3"/>
  <c r="L24" i="3"/>
  <c r="N24" i="3" s="1"/>
  <c r="L18" i="3"/>
  <c r="N18" i="3" s="1"/>
  <c r="N37" i="3"/>
  <c r="L35" i="3"/>
  <c r="L27" i="3"/>
  <c r="C76" i="4" l="1"/>
  <c r="C54" i="4"/>
  <c r="D54" i="4" s="1"/>
  <c r="C84" i="4"/>
  <c r="C46" i="4"/>
  <c r="D46" i="4" s="1"/>
  <c r="C78" i="4"/>
  <c r="D78" i="4" s="1"/>
  <c r="C48" i="4"/>
  <c r="D48" i="4" s="1"/>
  <c r="C86" i="4"/>
  <c r="D86" i="4" s="1"/>
  <c r="C56" i="4"/>
  <c r="D56" i="4" s="1"/>
  <c r="S29" i="3"/>
  <c r="C16" i="4"/>
  <c r="D16" i="4" s="1"/>
  <c r="O54" i="3" s="1"/>
  <c r="N54" i="3"/>
  <c r="N53" i="3"/>
  <c r="C15" i="4"/>
  <c r="D15" i="4" s="1"/>
  <c r="O53" i="3" s="1"/>
  <c r="N23" i="3"/>
  <c r="S23" i="3" s="1"/>
  <c r="C37" i="4"/>
  <c r="N31" i="3"/>
  <c r="C41" i="4"/>
  <c r="C62" i="4"/>
  <c r="D61" i="4"/>
  <c r="N27" i="3"/>
  <c r="S27" i="3" s="1"/>
  <c r="C39" i="4"/>
  <c r="N35" i="3"/>
  <c r="S35" i="3" s="1"/>
  <c r="C69" i="4"/>
  <c r="N26" i="3"/>
  <c r="S26" i="3" s="1"/>
  <c r="D38" i="4"/>
  <c r="O26" i="3" s="1"/>
  <c r="N34" i="3"/>
  <c r="S34" i="3" s="1"/>
  <c r="C65" i="4"/>
  <c r="S43" i="3"/>
  <c r="D74" i="4"/>
  <c r="D82" i="4"/>
  <c r="D52" i="4"/>
  <c r="D36" i="4"/>
  <c r="N22" i="3"/>
  <c r="S22" i="3" s="1"/>
  <c r="D44" i="4"/>
  <c r="O38" i="3" s="1"/>
  <c r="D84" i="4"/>
  <c r="D76" i="4"/>
  <c r="N28" i="3"/>
  <c r="S28" i="3" s="1"/>
  <c r="N32" i="3"/>
  <c r="S33" i="3"/>
  <c r="S38" i="3"/>
  <c r="S15" i="3"/>
  <c r="C28" i="4"/>
  <c r="D28" i="4" s="1"/>
  <c r="N55" i="3"/>
  <c r="C29" i="4"/>
  <c r="D29" i="4" s="1"/>
  <c r="C27" i="4"/>
  <c r="D27" i="4" s="1"/>
  <c r="O46" i="3" s="1"/>
  <c r="S46" i="3"/>
  <c r="C11" i="4"/>
  <c r="D11" i="4" s="1"/>
  <c r="O8" i="3" s="1"/>
  <c r="Q8" i="3" s="1"/>
  <c r="N8" i="3"/>
  <c r="D40" i="4"/>
  <c r="N36" i="3"/>
  <c r="S36" i="3" s="1"/>
  <c r="S41" i="3"/>
  <c r="D88" i="4"/>
  <c r="N45" i="3"/>
  <c r="D80" i="4"/>
  <c r="D50" i="4"/>
  <c r="D58" i="4"/>
  <c r="F58" i="4" s="1"/>
  <c r="D42" i="4"/>
  <c r="S12" i="3"/>
  <c r="N6" i="3"/>
  <c r="D10" i="4"/>
  <c r="O6" i="3" s="1"/>
  <c r="Q6" i="3" s="1"/>
  <c r="S18" i="3"/>
  <c r="S24" i="3"/>
  <c r="N9" i="3"/>
  <c r="C12" i="4"/>
  <c r="D12" i="4" s="1"/>
  <c r="O9" i="3" s="1"/>
  <c r="Q9" i="3" s="1"/>
  <c r="N52" i="3"/>
  <c r="C14" i="4"/>
  <c r="D14" i="4" s="1"/>
  <c r="O52" i="3" s="1"/>
  <c r="S44" i="3"/>
  <c r="C23" i="4"/>
  <c r="D23" i="4" s="1"/>
  <c r="C22" i="4"/>
  <c r="D22" i="4" s="1"/>
  <c r="O17" i="3" s="1"/>
  <c r="Q17" i="3" s="1"/>
  <c r="N17" i="3"/>
  <c r="D7" i="4"/>
  <c r="N19" i="3"/>
  <c r="C19" i="4"/>
  <c r="D19" i="4" s="1"/>
  <c r="N7" i="3"/>
  <c r="N16" i="3"/>
  <c r="C24" i="4"/>
  <c r="D24" i="4" s="1"/>
  <c r="O16" i="3" s="1"/>
  <c r="Q16" i="3" s="1"/>
  <c r="S42" i="3"/>
  <c r="S37" i="3"/>
  <c r="S20" i="3"/>
  <c r="C13" i="4"/>
  <c r="D13" i="4" s="1"/>
  <c r="O10" i="3" s="1"/>
  <c r="Q10" i="3" s="1"/>
  <c r="N10" i="3"/>
  <c r="S25" i="3"/>
  <c r="S14" i="3"/>
  <c r="D41" i="4"/>
  <c r="O31" i="3" s="1"/>
  <c r="Q31" i="3" s="1"/>
  <c r="R31" i="3" s="1"/>
  <c r="N40" i="3"/>
  <c r="N13" i="3"/>
  <c r="C18" i="4"/>
  <c r="D18" i="4" s="1"/>
  <c r="C17" i="4"/>
  <c r="D17" i="4" s="1"/>
  <c r="N11" i="3"/>
  <c r="S39" i="3"/>
  <c r="C57" i="4" l="1"/>
  <c r="D57" i="4" s="1"/>
  <c r="F57" i="4" s="1"/>
  <c r="C79" i="4"/>
  <c r="D79" i="4" s="1"/>
  <c r="J79" i="4" s="1"/>
  <c r="C49" i="4"/>
  <c r="D49" i="4" s="1"/>
  <c r="C87" i="4"/>
  <c r="D87" i="4" s="1"/>
  <c r="F52" i="4"/>
  <c r="O40" i="3"/>
  <c r="Q40" i="3" s="1"/>
  <c r="D39" i="4"/>
  <c r="H39" i="4" s="1"/>
  <c r="C47" i="4"/>
  <c r="D47" i="4" s="1"/>
  <c r="C85" i="4"/>
  <c r="D85" i="4" s="1"/>
  <c r="C55" i="4"/>
  <c r="D55" i="4" s="1"/>
  <c r="C77" i="4"/>
  <c r="D77" i="4" s="1"/>
  <c r="J77" i="4" s="1"/>
  <c r="O30" i="3"/>
  <c r="Q30" i="3" s="1"/>
  <c r="R30" i="3" s="1"/>
  <c r="O29" i="3"/>
  <c r="Q29" i="3" s="1"/>
  <c r="O32" i="3"/>
  <c r="Q32" i="3" s="1"/>
  <c r="O45" i="3"/>
  <c r="O37" i="3"/>
  <c r="Q37" i="3" s="1"/>
  <c r="O33" i="3"/>
  <c r="D37" i="4"/>
  <c r="O24" i="3" s="1"/>
  <c r="Q24" i="3" s="1"/>
  <c r="R24" i="3" s="1"/>
  <c r="C83" i="4"/>
  <c r="D83" i="4" s="1"/>
  <c r="C53" i="4"/>
  <c r="D53" i="4" s="1"/>
  <c r="C75" i="4"/>
  <c r="D75" i="4" s="1"/>
  <c r="F75" i="4" s="1"/>
  <c r="C45" i="4"/>
  <c r="D45" i="4" s="1"/>
  <c r="O39" i="3" s="1"/>
  <c r="Q39" i="3" s="1"/>
  <c r="F56" i="4"/>
  <c r="O44" i="3"/>
  <c r="Q44" i="3" s="1"/>
  <c r="F54" i="4"/>
  <c r="O42" i="3"/>
  <c r="S31" i="3"/>
  <c r="S47" i="3" s="1"/>
  <c r="C63" i="4"/>
  <c r="D63" i="4" s="1"/>
  <c r="D62" i="4"/>
  <c r="C66" i="4"/>
  <c r="D65" i="4"/>
  <c r="O34" i="3" s="1"/>
  <c r="Q34" i="3" s="1"/>
  <c r="C70" i="4"/>
  <c r="D69" i="4"/>
  <c r="O35" i="3" s="1"/>
  <c r="O36" i="3" s="1"/>
  <c r="Q36" i="3" s="1"/>
  <c r="R36" i="3" s="1"/>
  <c r="G61" i="4"/>
  <c r="J61" i="4"/>
  <c r="H61" i="4"/>
  <c r="F61" i="4"/>
  <c r="I61" i="4"/>
  <c r="Q26" i="3"/>
  <c r="R26" i="3" s="1"/>
  <c r="O7" i="3"/>
  <c r="Q7" i="3" s="1"/>
  <c r="R17" i="3"/>
  <c r="R6" i="3"/>
  <c r="I40" i="4"/>
  <c r="H40" i="4"/>
  <c r="J40" i="4"/>
  <c r="Q38" i="3"/>
  <c r="F40" i="4"/>
  <c r="G40" i="4"/>
  <c r="S8" i="3"/>
  <c r="T8" i="3" s="1"/>
  <c r="O55" i="3"/>
  <c r="O18" i="3"/>
  <c r="Q18" i="3" s="1"/>
  <c r="H38" i="4"/>
  <c r="F38" i="4"/>
  <c r="G38" i="4"/>
  <c r="J38" i="4"/>
  <c r="I38" i="4"/>
  <c r="G36" i="4"/>
  <c r="I36" i="4"/>
  <c r="J36" i="4"/>
  <c r="F36" i="4"/>
  <c r="H36" i="4"/>
  <c r="O22" i="3"/>
  <c r="Q22" i="3" s="1"/>
  <c r="S10" i="3"/>
  <c r="T10" i="3" s="1"/>
  <c r="R16" i="3"/>
  <c r="S6" i="3"/>
  <c r="H80" i="4"/>
  <c r="J80" i="4"/>
  <c r="G80" i="4"/>
  <c r="F80" i="4"/>
  <c r="I80" i="4"/>
  <c r="R8" i="3"/>
  <c r="S32" i="3"/>
  <c r="S11" i="3"/>
  <c r="J41" i="4"/>
  <c r="Q42" i="3"/>
  <c r="I41" i="4"/>
  <c r="F41" i="4"/>
  <c r="H41" i="4"/>
  <c r="G41" i="4"/>
  <c r="O12" i="3"/>
  <c r="Q12" i="3" s="1"/>
  <c r="O11" i="3"/>
  <c r="Q11" i="3" s="1"/>
  <c r="S40" i="3"/>
  <c r="R10" i="3"/>
  <c r="S16" i="3"/>
  <c r="T16" i="3" s="1"/>
  <c r="R9" i="3"/>
  <c r="H42" i="4"/>
  <c r="I42" i="4"/>
  <c r="J42" i="4"/>
  <c r="Q46" i="3"/>
  <c r="F42" i="4"/>
  <c r="G42" i="4"/>
  <c r="Q45" i="3"/>
  <c r="Q33" i="3"/>
  <c r="Q35" i="3"/>
  <c r="I76" i="4"/>
  <c r="F76" i="4"/>
  <c r="H76" i="4"/>
  <c r="G76" i="4"/>
  <c r="J76" i="4"/>
  <c r="S13" i="3"/>
  <c r="S19" i="3"/>
  <c r="F79" i="4"/>
  <c r="G79" i="4"/>
  <c r="F7" i="4"/>
  <c r="O19" i="3"/>
  <c r="Q19" i="3" s="1"/>
  <c r="O20" i="3"/>
  <c r="Q20" i="3" s="1"/>
  <c r="S45" i="3"/>
  <c r="O13" i="3"/>
  <c r="O14" i="3"/>
  <c r="Q14" i="3" s="1"/>
  <c r="S7" i="3"/>
  <c r="S17" i="3"/>
  <c r="T17" i="3" s="1"/>
  <c r="S9" i="3"/>
  <c r="T9" i="3" s="1"/>
  <c r="I78" i="4"/>
  <c r="H78" i="4"/>
  <c r="G78" i="4"/>
  <c r="J78" i="4"/>
  <c r="F78" i="4"/>
  <c r="H74" i="4"/>
  <c r="F74" i="4"/>
  <c r="I74" i="4"/>
  <c r="G74" i="4"/>
  <c r="J74" i="4"/>
  <c r="S21" i="3" l="1"/>
  <c r="I39" i="4"/>
  <c r="F39" i="4"/>
  <c r="G77" i="4"/>
  <c r="H77" i="4"/>
  <c r="F77" i="4"/>
  <c r="G39" i="4"/>
  <c r="J39" i="4"/>
  <c r="I77" i="4"/>
  <c r="O23" i="3"/>
  <c r="Q23" i="3" s="1"/>
  <c r="R23" i="3" s="1"/>
  <c r="G37" i="4"/>
  <c r="F37" i="4"/>
  <c r="I79" i="4"/>
  <c r="H79" i="4"/>
  <c r="H37" i="4"/>
  <c r="I37" i="4"/>
  <c r="J37" i="4"/>
  <c r="O25" i="3"/>
  <c r="Q25" i="3" s="1"/>
  <c r="R25" i="3" s="1"/>
  <c r="H75" i="4"/>
  <c r="Q13" i="3"/>
  <c r="T13" i="3" s="1"/>
  <c r="O15" i="3"/>
  <c r="Q15" i="3" s="1"/>
  <c r="R15" i="3" s="1"/>
  <c r="I75" i="4"/>
  <c r="J75" i="4"/>
  <c r="F53" i="4"/>
  <c r="O41" i="3"/>
  <c r="Q41" i="3" s="1"/>
  <c r="R41" i="3" s="1"/>
  <c r="G75" i="4"/>
  <c r="O28" i="3"/>
  <c r="Q28" i="3" s="1"/>
  <c r="T28" i="3" s="1"/>
  <c r="O27" i="3"/>
  <c r="Q27" i="3" s="1"/>
  <c r="R27" i="3" s="1"/>
  <c r="F55" i="4"/>
  <c r="O43" i="3"/>
  <c r="Q43" i="3" s="1"/>
  <c r="T43" i="3" s="1"/>
  <c r="J69" i="4"/>
  <c r="G69" i="4"/>
  <c r="F69" i="4"/>
  <c r="I69" i="4"/>
  <c r="H69" i="4"/>
  <c r="C71" i="4"/>
  <c r="D71" i="4" s="1"/>
  <c r="O56" i="3" s="1"/>
  <c r="D70" i="4"/>
  <c r="T26" i="3"/>
  <c r="G65" i="4"/>
  <c r="I65" i="4"/>
  <c r="F65" i="4"/>
  <c r="J65" i="4"/>
  <c r="H65" i="4"/>
  <c r="C67" i="4"/>
  <c r="D67" i="4" s="1"/>
  <c r="D66" i="4"/>
  <c r="T24" i="3"/>
  <c r="R32" i="3"/>
  <c r="T32" i="3"/>
  <c r="R40" i="3"/>
  <c r="T40" i="3"/>
  <c r="T31" i="3"/>
  <c r="T38" i="3"/>
  <c r="R38" i="3"/>
  <c r="T39" i="3"/>
  <c r="R39" i="3"/>
  <c r="T6" i="3"/>
  <c r="T35" i="3"/>
  <c r="R35" i="3"/>
  <c r="T44" i="3"/>
  <c r="R44" i="3"/>
  <c r="R14" i="3"/>
  <c r="T14" i="3"/>
  <c r="R33" i="3"/>
  <c r="T33" i="3"/>
  <c r="R46" i="3"/>
  <c r="T46" i="3"/>
  <c r="R11" i="3"/>
  <c r="T11" i="3"/>
  <c r="R29" i="3"/>
  <c r="T29" i="3"/>
  <c r="T30" i="3"/>
  <c r="R18" i="3"/>
  <c r="T18" i="3"/>
  <c r="T37" i="3"/>
  <c r="R37" i="3"/>
  <c r="T36" i="3"/>
  <c r="T20" i="3"/>
  <c r="R20" i="3"/>
  <c r="R13" i="3"/>
  <c r="R19" i="3"/>
  <c r="T19" i="3"/>
  <c r="R34" i="3"/>
  <c r="T34" i="3"/>
  <c r="R45" i="3"/>
  <c r="T45" i="3"/>
  <c r="T12" i="3"/>
  <c r="R12" i="3"/>
  <c r="T42" i="3"/>
  <c r="R42" i="3"/>
  <c r="T22" i="3"/>
  <c r="R22" i="3"/>
  <c r="R7" i="3"/>
  <c r="T7" i="3"/>
  <c r="R21" i="3" l="1"/>
  <c r="Q47" i="3"/>
  <c r="Q21" i="3"/>
  <c r="T15" i="3"/>
  <c r="R28" i="3"/>
  <c r="R47" i="3" s="1"/>
  <c r="T23" i="3"/>
  <c r="T27" i="3"/>
  <c r="T25" i="3"/>
  <c r="T41" i="3"/>
  <c r="R43" i="3"/>
  <c r="T21" i="3"/>
  <c r="I48" i="3"/>
  <c r="D48" i="3"/>
  <c r="F48" i="3"/>
  <c r="D64" i="3" s="1"/>
  <c r="S48" i="3"/>
  <c r="P48" i="3"/>
  <c r="Q48" i="3" l="1"/>
  <c r="T47" i="3"/>
  <c r="T48" i="3" s="1"/>
  <c r="S52" i="3"/>
  <c r="R52" i="3"/>
  <c r="S51" i="3"/>
  <c r="R51" i="3"/>
  <c r="R48" i="3"/>
  <c r="B71" i="2" s="1"/>
  <c r="B72" i="2" s="1"/>
  <c r="R53" i="3" l="1"/>
</calcChain>
</file>

<file path=xl/comments1.xml><?xml version="1.0" encoding="utf-8"?>
<comments xmlns="http://schemas.openxmlformats.org/spreadsheetml/2006/main">
  <authors>
    <author>WCNX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areas: Spokane Co., Town of Latah.</t>
        </r>
      </text>
    </comment>
  </commentList>
</comments>
</file>

<file path=xl/sharedStrings.xml><?xml version="1.0" encoding="utf-8"?>
<sst xmlns="http://schemas.openxmlformats.org/spreadsheetml/2006/main" count="525" uniqueCount="368">
  <si>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</si>
  <si>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</si>
  <si>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</si>
  <si>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</si>
  <si>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</si>
  <si>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</si>
  <si>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</si>
  <si>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</si>
  <si>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</si>
  <si>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</si>
  <si>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</si>
  <si>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</si>
  <si>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</si>
  <si>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</si>
  <si>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</si>
  <si>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</si>
  <si>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</si>
  <si>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</si>
  <si>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</si>
  <si>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</si>
  <si>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RL090.0G1W001</t>
  </si>
  <si>
    <t>RL 90 GL 1X WK 1</t>
  </si>
  <si>
    <t>RL090.0G1W002</t>
  </si>
  <si>
    <t>RL 90 GL 1X WK 2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</si>
  <si>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</si>
  <si>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</si>
  <si>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</si>
  <si>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</si>
  <si>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</si>
  <si>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</si>
  <si>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</si>
  <si>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</si>
  <si>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</si>
  <si>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</si>
  <si>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</si>
  <si>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</si>
  <si>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</si>
  <si>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</si>
  <si>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</si>
  <si>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</si>
  <si>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</si>
  <si>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</si>
  <si>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</si>
  <si>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</si>
  <si>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</si>
  <si>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</si>
  <si>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</si>
  <si>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</si>
  <si>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</si>
  <si>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</si>
  <si>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</si>
  <si>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</si>
  <si>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</si>
  <si>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</si>
  <si>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</si>
  <si>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</si>
  <si>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</si>
  <si>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</si>
  <si>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</si>
  <si>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</si>
  <si>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</si>
  <si>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</si>
  <si>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</si>
  <si>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</si>
  <si>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</si>
  <si>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</si>
  <si>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</si>
  <si>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</si>
  <si>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</si>
  <si>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</si>
  <si>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</si>
  <si>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</si>
  <si>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</si>
  <si>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RL32C-OC</t>
  </si>
  <si>
    <t>1 RL 32 GL ON CALL - COMM</t>
  </si>
  <si>
    <t>EXTRA-COMM</t>
  </si>
  <si>
    <t>EXTRA CAN, BAG, BOX-COMM</t>
  </si>
  <si>
    <t>RL1C-OC</t>
  </si>
  <si>
    <t>1 RL 1 YD ON CALL-COMM</t>
  </si>
  <si>
    <t>RL1.5C-OC</t>
  </si>
  <si>
    <t>1 RL 1.5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</si>
  <si>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</si>
  <si>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</si>
  <si>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</si>
  <si>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</si>
  <si>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</si>
  <si>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</si>
  <si>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</si>
  <si>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</si>
  <si>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</si>
  <si>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</si>
  <si>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</si>
  <si>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</si>
  <si>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</si>
  <si>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</si>
  <si>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</si>
  <si>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</si>
  <si>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</si>
  <si>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</si>
  <si>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</si>
  <si>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</si>
  <si>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</si>
  <si>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</si>
  <si>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</si>
  <si>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</si>
  <si>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</si>
  <si>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</si>
  <si>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</si>
  <si>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</si>
  <si>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</si>
  <si>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</si>
  <si>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</si>
  <si>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</si>
  <si>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</si>
  <si>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</si>
  <si>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</si>
  <si>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</si>
  <si>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REINSTATE-COMM</t>
  </si>
  <si>
    <t>REINSTATE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</si>
  <si>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</si>
  <si>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</si>
  <si>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</si>
  <si>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</si>
  <si>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</si>
  <si>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</si>
  <si>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</si>
  <si>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</si>
  <si>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</si>
  <si>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</si>
  <si>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</si>
  <si>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</si>
  <si>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</si>
  <si>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</si>
  <si>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</si>
  <si>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</si>
  <si>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</si>
  <si>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</si>
  <si>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</si>
  <si>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</si>
  <si>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</si>
  <si>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</si>
  <si>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</si>
  <si>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</si>
  <si>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</si>
  <si>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</si>
  <si>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</si>
  <si>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</si>
  <si>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</si>
  <si>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</si>
  <si>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</si>
  <si>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</si>
  <si>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</si>
  <si>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</si>
  <si>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</si>
  <si>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</si>
  <si>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</si>
  <si>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</si>
  <si>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</si>
  <si>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</si>
  <si>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</si>
  <si>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</si>
  <si>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</si>
  <si>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</si>
  <si>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</si>
  <si>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</si>
  <si>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</si>
  <si>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</si>
  <si>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</si>
  <si>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</si>
  <si>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</si>
  <si>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</si>
  <si>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</si>
  <si>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</si>
  <si>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</si>
  <si>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</si>
  <si>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</si>
  <si>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</si>
  <si>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</si>
  <si>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</si>
  <si>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</si>
  <si>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</si>
  <si>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</si>
  <si>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</si>
  <si>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</si>
  <si>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</si>
  <si>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</si>
  <si>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</si>
  <si>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</si>
  <si>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</si>
  <si>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</si>
  <si>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</si>
  <si>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</si>
  <si>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</si>
  <si>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</si>
  <si>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</si>
  <si>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</si>
  <si>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</si>
  <si>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</si>
  <si>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</si>
  <si>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</si>
  <si>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</si>
  <si>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</si>
  <si>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</si>
  <si>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</si>
  <si>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</si>
  <si>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</si>
  <si>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</si>
  <si>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</si>
  <si>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</si>
  <si>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</si>
  <si>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</si>
  <si>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</si>
  <si>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</si>
  <si>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</si>
  <si>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</si>
  <si>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</si>
  <si>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</si>
  <si>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</si>
  <si>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</si>
  <si>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</si>
  <si>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</si>
  <si>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</si>
  <si>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</si>
  <si>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</si>
  <si>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</si>
  <si>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</si>
  <si>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</si>
  <si>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</si>
  <si>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</si>
  <si>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</si>
  <si>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</si>
  <si>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</si>
  <si>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</si>
  <si>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</si>
  <si>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</si>
  <si>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</si>
  <si>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</si>
  <si>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</si>
  <si>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</si>
  <si>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</si>
  <si>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</si>
  <si>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</si>
  <si>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</si>
  <si>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</si>
  <si>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</si>
  <si>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</si>
  <si>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</si>
  <si>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</si>
  <si>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</si>
  <si>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</si>
  <si>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</si>
  <si>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</si>
  <si>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</si>
  <si>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</si>
  <si>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</si>
  <si>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Add'l Cont</t>
  </si>
  <si>
    <t>Add'l PU's</t>
  </si>
  <si>
    <t>Company Proposed Revenue</t>
  </si>
  <si>
    <t>No Current Customers</t>
  </si>
  <si>
    <t>5 Can</t>
  </si>
  <si>
    <t>6 Can</t>
  </si>
  <si>
    <t>Jan 16-June 16</t>
  </si>
  <si>
    <t>Average</t>
  </si>
  <si>
    <t>Unit</t>
  </si>
  <si>
    <t>Annual</t>
  </si>
  <si>
    <t>Cust Count</t>
  </si>
  <si>
    <t>Count</t>
  </si>
  <si>
    <t>Cust</t>
  </si>
  <si>
    <t>RL065.0G1W002</t>
  </si>
  <si>
    <t>RL 65 GL 1X WK 2</t>
  </si>
  <si>
    <t>DRIVEIN1-RES</t>
  </si>
  <si>
    <t xml:space="preserve">DRIVE IN 125-250' - RES </t>
  </si>
  <si>
    <t xml:space="preserve">DRIVEIN1-COMM </t>
  </si>
  <si>
    <t>DRIVE IN 125-250' - COMM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</si>
  <si>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</si>
  <si>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</si>
  <si>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</si>
  <si>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</si>
  <si>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</si>
  <si>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</si>
  <si>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</si>
  <si>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</si>
  <si>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From "Empire Disposal Allocation 6-30-2016.xls"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</si>
  <si>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</si>
  <si>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</si>
  <si>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</si>
  <si>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</si>
  <si>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</si>
  <si>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</si>
  <si>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</si>
  <si>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</si>
  <si>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</si>
  <si>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</si>
  <si>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</si>
  <si>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</si>
  <si>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</si>
  <si>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</si>
  <si>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 xml:space="preserve"> Company Over/ (Under)</t>
  </si>
  <si>
    <t>Totals</t>
  </si>
  <si>
    <t>Current Tariff Rate</t>
  </si>
  <si>
    <t>Proposed Increase</t>
  </si>
  <si>
    <t>Jul. 1, 2015 - Jun. 30, 2016</t>
  </si>
  <si>
    <t>Item 230, Pg. 36</t>
  </si>
  <si>
    <t>90 Gal Special PU</t>
  </si>
  <si>
    <t>65 Gal Special PU</t>
  </si>
  <si>
    <t>32 Gal Special PU</t>
  </si>
  <si>
    <t>Resi.</t>
  </si>
  <si>
    <t>Note from Heather Garland: Customer Counts and Disposal Schedule have been copied from TG-160932.  The information shaded gray was taken directly from the audited file.</t>
  </si>
  <si>
    <t>Empire Dump Fee Calc References</t>
  </si>
  <si>
    <t>1x</t>
  </si>
  <si>
    <t>2x</t>
  </si>
  <si>
    <t>3x</t>
  </si>
  <si>
    <t>4x</t>
  </si>
  <si>
    <t>5x</t>
  </si>
  <si>
    <t>Spokane Dump Fee Calculation</t>
  </si>
  <si>
    <t>Effective 4-1-2017</t>
  </si>
  <si>
    <t>Spokane County</t>
  </si>
  <si>
    <t xml:space="preserve"> Disposal Fees</t>
  </si>
  <si>
    <t>Spokane Waste to Energy</t>
  </si>
  <si>
    <t>Transfer Stations</t>
  </si>
  <si>
    <t>Waste to Energy</t>
  </si>
  <si>
    <t>Increase per ton</t>
  </si>
  <si>
    <t>New 4/1/2017 Rate</t>
  </si>
  <si>
    <t>Empire Disposal</t>
  </si>
  <si>
    <t>City of Spokane Transfer Stations Disposal Data</t>
  </si>
  <si>
    <t>Gate Rate 2015</t>
  </si>
  <si>
    <t>$102.39/Ton</t>
  </si>
  <si>
    <t>Gate Rate</t>
  </si>
  <si>
    <t>$101/Ton</t>
  </si>
  <si>
    <t>Gate Rate 2016</t>
  </si>
  <si>
    <t>$105.36/Ton</t>
  </si>
  <si>
    <t>Incinerator</t>
  </si>
  <si>
    <t>Dump Fee Allocation</t>
  </si>
  <si>
    <t>Spokane Disposal Summary</t>
  </si>
  <si>
    <t>Total Regulated Tonnage</t>
  </si>
  <si>
    <t>Transfer Sation</t>
  </si>
  <si>
    <t>Empire Disposal Inc.</t>
  </si>
  <si>
    <t>Spokane Co. Regulated - Price Out</t>
  </si>
  <si>
    <t>Note:  Revenue below is from the datailed billing system records, and connot be linked.</t>
  </si>
  <si>
    <t>July 1, 2015 - June 30, 2016</t>
  </si>
  <si>
    <t>July 15-Dec 15</t>
  </si>
  <si>
    <t>RL090.0G1W003</t>
  </si>
  <si>
    <t>RL 90 GL 1X WK 3</t>
  </si>
  <si>
    <t>TRIP-RES</t>
  </si>
  <si>
    <t>TRIP FEE - RES</t>
  </si>
  <si>
    <t>Monthly Rate</t>
  </si>
  <si>
    <t>DIST-COM</t>
  </si>
  <si>
    <t>DISTANCE FEE - COMM</t>
  </si>
  <si>
    <t>4 Can</t>
  </si>
  <si>
    <t>Proposed Spokane Rates Effective 4-1-2017</t>
  </si>
  <si>
    <t>Item 55, Pg. 21-A</t>
  </si>
  <si>
    <t>Item 100, Pg. 26A</t>
  </si>
  <si>
    <t>Item 100, Pg. 27-A</t>
  </si>
  <si>
    <t>Item 150, Pg. 30-A</t>
  </si>
  <si>
    <t>Item 240, Pg. 37-A</t>
  </si>
  <si>
    <t>Item 245, Pg 38-A</t>
  </si>
  <si>
    <t>Item 255, Pg 39-A</t>
  </si>
  <si>
    <t>RO Increase</t>
  </si>
  <si>
    <t>T-Stn</t>
  </si>
  <si>
    <t>WTE</t>
  </si>
  <si>
    <t>21-A</t>
  </si>
  <si>
    <t>26-A</t>
  </si>
  <si>
    <t>27-A</t>
  </si>
  <si>
    <t>30-A</t>
  </si>
  <si>
    <t>Spokane WTE</t>
  </si>
  <si>
    <t>Spokane TFS</t>
  </si>
  <si>
    <t>37-A</t>
  </si>
  <si>
    <t>38-A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</si>
</sst>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* #,##0.000_);_(* \(#,##0.000\);_(* &quot;-&quot;??_);_(@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0" xfId="80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Font="1" applyAlignment="1">
      <alignment horizontal="left" indent="1"/>
    </xf>
    <xf numFmtId="164" fontId="0" fillId="0" borderId="0" xfId="80" applyNumberFormat="1" applyFont="1"/>
    <xf numFmtId="0" fontId="0" fillId="33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0" fillId="0" borderId="0" xfId="0" applyFont="1" applyBorder="1"/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 applyFont="1"/>
    <xf numFmtId="171" fontId="0" fillId="0" borderId="0" xfId="0" applyNumberFormat="1" applyFont="1"/>
    <xf numFmtId="0" fontId="0" fillId="0" borderId="0" xfId="0" applyFont="1" applyBorder="1" applyAlignment="1">
      <alignment horizontal="left"/>
    </xf>
    <xf numFmtId="164" fontId="0" fillId="0" borderId="0" xfId="80" applyNumberFormat="1" applyFont="1" applyFill="1" applyBorder="1"/>
    <xf numFmtId="0" fontId="45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 applyFont="1" applyFill="1" applyBorder="1"/>
    <xf numFmtId="44" fontId="45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45" fillId="0" borderId="0" xfId="0" applyFont="1" applyFill="1"/>
    <xf numFmtId="3" fontId="0" fillId="0" borderId="0" xfId="0" applyNumberFormat="1" applyFont="1" applyAlignment="1">
      <alignment horizontal="center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45" fillId="36" borderId="0" xfId="0" applyFont="1" applyFill="1" applyBorder="1"/>
    <xf numFmtId="164" fontId="0" fillId="36" borderId="0" xfId="332" applyNumberFormat="1" applyFont="1" applyFill="1" applyBorder="1"/>
    <xf numFmtId="0" fontId="0" fillId="0" borderId="0" xfId="0" applyFont="1" applyBorder="1" applyAlignment="1">
      <alignment horizontal="center"/>
    </xf>
    <xf numFmtId="0" fontId="48" fillId="0" borderId="0" xfId="314" applyFont="1" applyBorder="1"/>
    <xf numFmtId="164" fontId="0" fillId="0" borderId="6" xfId="332" applyNumberFormat="1" applyFont="1" applyBorder="1"/>
    <xf numFmtId="164" fontId="0" fillId="0" borderId="0" xfId="332" applyNumberFormat="1" applyFont="1" applyFill="1" applyBorder="1"/>
    <xf numFmtId="0" fontId="48" fillId="0" borderId="0" xfId="317" applyFont="1" applyBorder="1"/>
    <xf numFmtId="0" fontId="0" fillId="33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61" fillId="32" borderId="6" xfId="0" applyFont="1" applyFill="1" applyBorder="1" applyAlignment="1"/>
    <xf numFmtId="3" fontId="0" fillId="32" borderId="6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0" fillId="32" borderId="6" xfId="0" applyFont="1" applyFill="1" applyBorder="1"/>
    <xf numFmtId="0" fontId="45" fillId="32" borderId="6" xfId="0" applyFont="1" applyFill="1" applyBorder="1"/>
    <xf numFmtId="0" fontId="45" fillId="0" borderId="0" xfId="0" applyFont="1" applyBorder="1"/>
    <xf numFmtId="0" fontId="0" fillId="32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42" fontId="45" fillId="0" borderId="0" xfId="0" applyNumberFormat="1" applyFont="1" applyBorder="1"/>
    <xf numFmtId="0" fontId="0" fillId="0" borderId="0" xfId="0" applyFont="1"/>
    <xf numFmtId="0" fontId="45" fillId="0" borderId="0" xfId="0" applyFont="1"/>
    <xf numFmtId="0" fontId="45" fillId="32" borderId="6" xfId="0" applyFont="1" applyFill="1" applyBorder="1" applyAlignment="1">
      <alignment horizontal="center" wrapText="1"/>
    </xf>
    <xf numFmtId="0" fontId="45" fillId="0" borderId="0" xfId="0" applyFont="1" applyBorder="1"/>
    <xf numFmtId="43" fontId="0" fillId="33" borderId="0" xfId="332" applyFont="1" applyFill="1"/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NumberFormat="1" applyFont="1"/>
    <xf numFmtId="43" fontId="0" fillId="32" borderId="6" xfId="332" applyNumberFormat="1" applyFont="1" applyFill="1" applyBorder="1"/>
    <xf numFmtId="43" fontId="0" fillId="36" borderId="0" xfId="332" applyNumberFormat="1" applyFont="1" applyFill="1" applyBorder="1"/>
    <xf numFmtId="43" fontId="0" fillId="0" borderId="0" xfId="332" applyNumberFormat="1" applyFont="1" applyBorder="1"/>
    <xf numFmtId="43" fontId="0" fillId="0" borderId="6" xfId="332" applyNumberFormat="1" applyFont="1" applyBorder="1"/>
    <xf numFmtId="43" fontId="0" fillId="0" borderId="0" xfId="332" applyNumberFormat="1" applyFont="1" applyFill="1" applyBorder="1"/>
    <xf numFmtId="43" fontId="0" fillId="0" borderId="0" xfId="332" applyNumberFormat="1" applyFont="1" applyFill="1" applyBorder="1" applyAlignment="1"/>
    <xf numFmtId="173" fontId="0" fillId="0" borderId="0" xfId="0" applyNumberFormat="1" applyFont="1"/>
    <xf numFmtId="173" fontId="0" fillId="0" borderId="0" xfId="0" applyNumberFormat="1" applyFont="1" applyFill="1"/>
    <xf numFmtId="173" fontId="45" fillId="32" borderId="6" xfId="0" applyNumberFormat="1" applyFont="1" applyFill="1" applyBorder="1"/>
    <xf numFmtId="173" fontId="0" fillId="32" borderId="6" xfId="0" applyNumberFormat="1" applyFon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ont="1" applyFill="1" applyBorder="1"/>
    <xf numFmtId="173" fontId="0" fillId="0" borderId="0" xfId="1" applyNumberFormat="1" applyFont="1" applyBorder="1"/>
    <xf numFmtId="173" fontId="0" fillId="0" borderId="6" xfId="0" applyNumberFormat="1" applyFont="1" applyBorder="1"/>
    <xf numFmtId="173" fontId="0" fillId="0" borderId="0" xfId="0" applyNumberFormat="1" applyFont="1" applyBorder="1"/>
    <xf numFmtId="173" fontId="0" fillId="0" borderId="0" xfId="1" applyNumberFormat="1" applyFont="1" applyFill="1" applyBorder="1"/>
    <xf numFmtId="173" fontId="0" fillId="0" borderId="0" xfId="0" applyNumberFormat="1"/>
    <xf numFmtId="43" fontId="0" fillId="39" borderId="0" xfId="0" applyNumberFormat="1" applyFont="1" applyFill="1" applyBorder="1"/>
    <xf numFmtId="0" fontId="61" fillId="39" borderId="0" xfId="152" applyFont="1" applyFill="1"/>
    <xf numFmtId="3" fontId="0" fillId="0" borderId="0" xfId="0" applyNumberFormat="1" applyFont="1" applyFill="1" applyAlignment="1">
      <alignment horizontal="center"/>
    </xf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44" fontId="0" fillId="0" borderId="36" xfId="1" applyFont="1" applyFill="1" applyBorder="1"/>
    <xf numFmtId="10" fontId="0" fillId="39" borderId="0" xfId="2" applyNumberFormat="1" applyFont="1" applyFill="1" applyBorder="1"/>
    <xf numFmtId="0" fontId="58" fillId="0" borderId="0" xfId="0" applyFont="1" applyBorder="1" applyAlignment="1"/>
    <xf numFmtId="0" fontId="45" fillId="0" borderId="0" xfId="0" applyFont="1" applyBorder="1"/>
    <xf numFmtId="0" fontId="0" fillId="33" borderId="0" xfId="0" applyFill="1"/>
    <xf numFmtId="43" fontId="0" fillId="0" borderId="0" xfId="332" applyFont="1"/>
    <xf numFmtId="0" fontId="0" fillId="0" borderId="0" xfId="0" applyFont="1"/>
    <xf numFmtId="10" fontId="0" fillId="0" borderId="0" xfId="2" applyNumberFormat="1" applyFont="1" applyBorder="1" applyAlignment="1">
      <alignment horizontal="right"/>
    </xf>
    <xf numFmtId="164" fontId="0" fillId="0" borderId="0" xfId="332" applyNumberFormat="1" applyFont="1" applyBorder="1" applyAlignment="1">
      <alignment horizontal="right"/>
    </xf>
    <xf numFmtId="164" fontId="0" fillId="0" borderId="0" xfId="33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332" applyNumberFormat="1" applyFont="1" applyFill="1" applyBorder="1"/>
    <xf numFmtId="43" fontId="0" fillId="0" borderId="0" xfId="332" applyNumberFormat="1" applyFont="1" applyFill="1" applyBorder="1"/>
    <xf numFmtId="0" fontId="45" fillId="0" borderId="32" xfId="0" applyFont="1" applyBorder="1"/>
    <xf numFmtId="0" fontId="0" fillId="0" borderId="35" xfId="0" applyFont="1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3" fontId="0" fillId="32" borderId="39" xfId="0" applyNumberFormat="1" applyFont="1" applyFill="1" applyBorder="1" applyAlignment="1">
      <alignment horizontal="center"/>
    </xf>
    <xf numFmtId="0" fontId="0" fillId="0" borderId="0" xfId="0" applyFont="1" applyFill="1"/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0" fontId="45" fillId="39" borderId="0" xfId="0" applyFont="1" applyFill="1" applyBorder="1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44" fontId="0" fillId="0" borderId="0" xfId="1" applyFont="1" applyFill="1"/>
    <xf numFmtId="167" fontId="0" fillId="0" borderId="0" xfId="1" applyNumberFormat="1" applyFont="1" applyFill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NumberFormat="1" applyFont="1" applyFill="1"/>
    <xf numFmtId="10" fontId="0" fillId="0" borderId="0" xfId="2" applyNumberFormat="1" applyFont="1" applyFill="1" applyBorder="1"/>
    <xf numFmtId="44" fontId="0" fillId="0" borderId="0" xfId="0" applyNumberFormat="1" applyFont="1"/>
    <xf numFmtId="0" fontId="0" fillId="0" borderId="0" xfId="0" applyFont="1" applyAlignment="1">
      <alignment horizontal="left"/>
    </xf>
    <xf numFmtId="44" fontId="0" fillId="40" borderId="0" xfId="1" applyFont="1" applyFill="1" applyBorder="1"/>
    <xf numFmtId="44" fontId="0" fillId="40" borderId="6" xfId="1" applyFont="1" applyFill="1" applyBorder="1"/>
    <xf numFmtId="10" fontId="0" fillId="0" borderId="0" xfId="0" applyNumberFormat="1" applyFont="1"/>
    <xf numFmtId="44" fontId="0" fillId="40" borderId="0" xfId="1" applyFont="1" applyFill="1"/>
    <xf numFmtId="164" fontId="0" fillId="0" borderId="0" xfId="0" applyNumberFormat="1" applyFont="1"/>
    <xf numFmtId="44" fontId="45" fillId="0" borderId="0" xfId="0" applyNumberFormat="1" applyFont="1"/>
    <xf numFmtId="43" fontId="0" fillId="39" borderId="0" xfId="4" applyFont="1" applyFill="1" applyAlignment="1">
      <alignment horizontal="center"/>
    </xf>
    <xf numFmtId="0" fontId="45" fillId="39" borderId="35" xfId="0" applyFont="1" applyFill="1" applyBorder="1"/>
    <xf numFmtId="0" fontId="59" fillId="39" borderId="35" xfId="0" applyFont="1" applyFill="1" applyBorder="1"/>
    <xf numFmtId="0" fontId="60" fillId="39" borderId="35" xfId="0" applyFont="1" applyFill="1" applyBorder="1"/>
    <xf numFmtId="174" fontId="0" fillId="0" borderId="0" xfId="0" applyNumberFormat="1" applyFont="1" applyBorder="1" applyAlignment="1">
      <alignment horizontal="right"/>
    </xf>
    <xf numFmtId="0" fontId="48" fillId="0" borderId="0" xfId="554" applyFont="1"/>
    <xf numFmtId="43" fontId="0" fillId="0" borderId="0" xfId="332" applyFont="1" applyFill="1" applyBorder="1" applyAlignment="1">
      <alignment horizontal="right"/>
    </xf>
    <xf numFmtId="43" fontId="0" fillId="0" borderId="6" xfId="332" applyFont="1" applyFill="1" applyBorder="1" applyAlignment="1">
      <alignment horizontal="right"/>
    </xf>
    <xf numFmtId="43" fontId="45" fillId="0" borderId="0" xfId="332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 textRotation="90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Border="1"/>
    <xf numFmtId="173" fontId="0" fillId="0" borderId="6" xfId="0" applyNumberFormat="1" applyFont="1" applyFill="1" applyBorder="1"/>
    <xf numFmtId="43" fontId="0" fillId="0" borderId="0" xfId="332" applyFont="1" applyFill="1"/>
    <xf numFmtId="173" fontId="45" fillId="0" borderId="0" xfId="0" applyNumberFormat="1" applyFont="1" applyAlignment="1">
      <alignment horizontal="right"/>
    </xf>
    <xf numFmtId="173" fontId="65" fillId="0" borderId="0" xfId="0" applyNumberFormat="1" applyFont="1" applyAlignment="1">
      <alignment horizontal="right"/>
    </xf>
    <xf numFmtId="173" fontId="0" fillId="0" borderId="6" xfId="0" applyNumberFormat="1" applyBorder="1"/>
    <xf numFmtId="173" fontId="45" fillId="0" borderId="24" xfId="0" applyNumberFormat="1" applyFont="1" applyBorder="1"/>
    <xf numFmtId="10" fontId="0" fillId="0" borderId="0" xfId="2" applyNumberFormat="1" applyFont="1" applyAlignment="1">
      <alignment horizontal="left"/>
    </xf>
    <xf numFmtId="43" fontId="0" fillId="0" borderId="0" xfId="332" applyFont="1" applyAlignment="1">
      <alignment horizontal="center"/>
    </xf>
    <xf numFmtId="0" fontId="0" fillId="39" borderId="32" xfId="0" applyFont="1" applyFill="1" applyBorder="1"/>
    <xf numFmtId="0" fontId="0" fillId="39" borderId="33" xfId="0" applyFont="1" applyFill="1" applyBorder="1"/>
    <xf numFmtId="0" fontId="0" fillId="39" borderId="34" xfId="0" applyFont="1" applyFill="1" applyBorder="1"/>
    <xf numFmtId="0" fontId="0" fillId="39" borderId="36" xfId="0" applyFont="1" applyFill="1" applyBorder="1"/>
    <xf numFmtId="0" fontId="0" fillId="39" borderId="35" xfId="0" applyFont="1" applyFill="1" applyBorder="1"/>
    <xf numFmtId="43" fontId="0" fillId="39" borderId="6" xfId="0" applyNumberFormat="1" applyFont="1" applyFill="1" applyBorder="1"/>
    <xf numFmtId="0" fontId="0" fillId="39" borderId="37" xfId="0" applyFont="1" applyFill="1" applyBorder="1"/>
    <xf numFmtId="0" fontId="0" fillId="39" borderId="20" xfId="0" applyFont="1" applyFill="1" applyBorder="1"/>
    <xf numFmtId="0" fontId="0" fillId="39" borderId="38" xfId="0" applyFont="1" applyFill="1" applyBorder="1"/>
    <xf numFmtId="0" fontId="61" fillId="39" borderId="0" xfId="526" applyFont="1" applyFill="1"/>
    <xf numFmtId="43" fontId="48" fillId="39" borderId="0" xfId="4" applyFont="1" applyFill="1" applyBorder="1"/>
    <xf numFmtId="44" fontId="48" fillId="39" borderId="0" xfId="333" applyFont="1" applyFill="1" applyBorder="1"/>
    <xf numFmtId="0" fontId="48" fillId="39" borderId="0" xfId="526" applyFont="1" applyFill="1"/>
    <xf numFmtId="43" fontId="61" fillId="39" borderId="0" xfId="4" applyFont="1" applyFill="1" applyBorder="1"/>
    <xf numFmtId="43" fontId="61" fillId="39" borderId="0" xfId="4" applyFont="1" applyFill="1" applyBorder="1" applyAlignment="1">
      <alignment horizontal="center"/>
    </xf>
    <xf numFmtId="43" fontId="48" fillId="39" borderId="6" xfId="4" applyFont="1" applyFill="1" applyBorder="1" applyAlignment="1">
      <alignment horizontal="center"/>
    </xf>
    <xf numFmtId="44" fontId="48" fillId="39" borderId="6" xfId="333" applyFont="1" applyFill="1" applyBorder="1" applyAlignment="1">
      <alignment horizontal="center"/>
    </xf>
    <xf numFmtId="44" fontId="48" fillId="39" borderId="0" xfId="333" applyFont="1" applyFill="1" applyBorder="1" applyAlignment="1">
      <alignment horizontal="center"/>
    </xf>
    <xf numFmtId="17" fontId="48" fillId="39" borderId="0" xfId="526" applyNumberFormat="1" applyFont="1" applyFill="1" applyAlignment="1">
      <alignment horizontal="left"/>
    </xf>
    <xf numFmtId="43" fontId="48" fillId="39" borderId="0" xfId="4" applyFont="1" applyFill="1" applyAlignment="1">
      <alignment horizontal="right"/>
    </xf>
    <xf numFmtId="43" fontId="48" fillId="39" borderId="0" xfId="4" quotePrefix="1" applyFont="1" applyFill="1" applyAlignment="1">
      <alignment horizontal="right"/>
    </xf>
    <xf numFmtId="44" fontId="48" fillId="39" borderId="0" xfId="333" quotePrefix="1" applyFont="1" applyFill="1" applyAlignment="1">
      <alignment horizontal="right"/>
    </xf>
    <xf numFmtId="43" fontId="66" fillId="39" borderId="0" xfId="4" applyFont="1" applyFill="1" applyAlignment="1">
      <alignment horizontal="right"/>
    </xf>
    <xf numFmtId="44" fontId="66" fillId="39" borderId="0" xfId="333" applyFont="1" applyFill="1"/>
    <xf numFmtId="43" fontId="66" fillId="39" borderId="0" xfId="4" quotePrefix="1" applyFont="1" applyFill="1" applyAlignment="1">
      <alignment horizontal="right"/>
    </xf>
    <xf numFmtId="43" fontId="66" fillId="39" borderId="0" xfId="4" applyFont="1" applyFill="1"/>
    <xf numFmtId="43" fontId="48" fillId="39" borderId="31" xfId="4" applyFont="1" applyFill="1" applyBorder="1"/>
    <xf numFmtId="44" fontId="48" fillId="39" borderId="31" xfId="333" applyFont="1" applyFill="1" applyBorder="1"/>
    <xf numFmtId="0" fontId="45" fillId="39" borderId="0" xfId="0" applyFont="1" applyFill="1"/>
    <xf numFmtId="0" fontId="67" fillId="39" borderId="0" xfId="3" applyFont="1" applyFill="1"/>
    <xf numFmtId="0" fontId="67" fillId="39" borderId="0" xfId="3" applyFont="1" applyFill="1" applyAlignment="1">
      <alignment horizontal="center"/>
    </xf>
    <xf numFmtId="164" fontId="0" fillId="39" borderId="0" xfId="4" applyNumberFormat="1" applyFont="1" applyFill="1"/>
    <xf numFmtId="0" fontId="68" fillId="39" borderId="0" xfId="3" applyFont="1" applyFill="1"/>
    <xf numFmtId="0" fontId="62" fillId="39" borderId="0" xfId="3" applyFont="1" applyFill="1"/>
    <xf numFmtId="2" fontId="67" fillId="39" borderId="0" xfId="3" applyNumberFormat="1" applyFont="1" applyFill="1"/>
    <xf numFmtId="0" fontId="62" fillId="39" borderId="0" xfId="3" applyFont="1" applyFill="1" applyAlignment="1">
      <alignment horizontal="center" wrapText="1"/>
    </xf>
    <xf numFmtId="0" fontId="62" fillId="39" borderId="0" xfId="3" applyFont="1" applyFill="1" applyAlignment="1">
      <alignment horizontal="center"/>
    </xf>
    <xf numFmtId="17" fontId="62" fillId="39" borderId="0" xfId="3" applyNumberFormat="1" applyFont="1" applyFill="1" applyAlignment="1">
      <alignment horizontal="center"/>
    </xf>
    <xf numFmtId="164" fontId="62" fillId="39" borderId="0" xfId="4" applyNumberFormat="1" applyFont="1" applyFill="1" applyAlignment="1">
      <alignment horizontal="center"/>
    </xf>
    <xf numFmtId="14" fontId="62" fillId="39" borderId="0" xfId="3" applyNumberFormat="1" applyFont="1" applyFill="1" applyAlignment="1">
      <alignment horizontal="center" wrapText="1"/>
    </xf>
    <xf numFmtId="164" fontId="62" fillId="39" borderId="0" xfId="4" applyNumberFormat="1" applyFont="1" applyFill="1" applyAlignment="1">
      <alignment horizontal="center" wrapText="1"/>
    </xf>
    <xf numFmtId="0" fontId="69" fillId="39" borderId="0" xfId="3" applyFont="1" applyFill="1" applyAlignment="1">
      <alignment horizontal="left"/>
    </xf>
    <xf numFmtId="0" fontId="70" fillId="39" borderId="0" xfId="3" applyFont="1" applyFill="1" applyAlignment="1">
      <alignment horizontal="center"/>
    </xf>
    <xf numFmtId="164" fontId="67" fillId="39" borderId="0" xfId="4" applyNumberFormat="1" applyFont="1" applyFill="1"/>
    <xf numFmtId="0" fontId="67" fillId="0" borderId="0" xfId="3" applyFont="1"/>
    <xf numFmtId="0" fontId="62" fillId="39" borderId="0" xfId="3" applyFont="1" applyFill="1" applyAlignment="1">
      <alignment horizontal="left"/>
    </xf>
    <xf numFmtId="43" fontId="67" fillId="39" borderId="0" xfId="4" applyFont="1" applyFill="1" applyAlignment="1">
      <alignment horizontal="center"/>
    </xf>
    <xf numFmtId="43" fontId="67" fillId="39" borderId="0" xfId="3" applyNumberFormat="1" applyFont="1" applyFill="1"/>
    <xf numFmtId="164" fontId="67" fillId="39" borderId="0" xfId="3" applyNumberFormat="1" applyFont="1" applyFill="1"/>
    <xf numFmtId="43" fontId="67" fillId="0" borderId="0" xfId="3" applyNumberFormat="1" applyFont="1"/>
    <xf numFmtId="0" fontId="67" fillId="0" borderId="0" xfId="3" applyFont="1" applyFill="1"/>
    <xf numFmtId="0" fontId="48" fillId="39" borderId="0" xfId="0" applyFont="1" applyFill="1"/>
    <xf numFmtId="0" fontId="67" fillId="39" borderId="0" xfId="3" applyFont="1" applyFill="1" applyBorder="1"/>
    <xf numFmtId="0" fontId="62" fillId="39" borderId="0" xfId="3" applyFont="1" applyFill="1" applyBorder="1" applyAlignment="1">
      <alignment horizontal="right"/>
    </xf>
    <xf numFmtId="44" fontId="61" fillId="39" borderId="1" xfId="333" applyFont="1" applyFill="1" applyBorder="1"/>
    <xf numFmtId="164" fontId="62" fillId="39" borderId="2" xfId="3" applyNumberFormat="1" applyFont="1" applyFill="1" applyBorder="1"/>
    <xf numFmtId="43" fontId="0" fillId="39" borderId="0" xfId="0" applyNumberFormat="1" applyFont="1" applyFill="1"/>
    <xf numFmtId="14" fontId="62" fillId="0" borderId="0" xfId="3" applyNumberFormat="1" applyFont="1" applyFill="1" applyAlignment="1">
      <alignment horizontal="center" wrapText="1"/>
    </xf>
    <xf numFmtId="0" fontId="67" fillId="39" borderId="0" xfId="0" applyFont="1" applyFill="1" applyAlignment="1">
      <alignment vertical="top"/>
    </xf>
    <xf numFmtId="0" fontId="62" fillId="39" borderId="0" xfId="3" applyFont="1" applyFill="1" applyAlignment="1">
      <alignment horizontal="right"/>
    </xf>
    <xf numFmtId="164" fontId="45" fillId="39" borderId="2" xfId="0" applyNumberFormat="1" applyFont="1" applyFill="1" applyBorder="1"/>
    <xf numFmtId="0" fontId="62" fillId="0" borderId="0" xfId="3" applyFont="1" applyFill="1"/>
    <xf numFmtId="164" fontId="0" fillId="0" borderId="0" xfId="4" applyNumberFormat="1" applyFont="1"/>
    <xf numFmtId="43" fontId="0" fillId="0" borderId="0" xfId="4" applyFont="1"/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5" fillId="32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/>
    </xf>
    <xf numFmtId="0" fontId="58" fillId="39" borderId="0" xfId="0" applyFont="1" applyFill="1" applyBorder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526" applyFont="1" applyFill="1" applyBorder="1" applyAlignment="1">
      <alignment horizontal="center"/>
    </xf>
    <xf numFmtId="0" fontId="61" fillId="39" borderId="30" xfId="526" applyFont="1" applyFill="1" applyBorder="1" applyAlignment="1">
      <alignment horizontal="center"/>
    </xf>
    <xf numFmtId="43" fontId="48" fillId="39" borderId="0" xfId="4" applyFont="1" applyFill="1" applyAlignment="1">
      <alignment horizontal="center"/>
    </xf>
  </cellXfs>
  <cellStyles count="565">
    <cellStyle name="20% - Accent1 2" xfId="6"/>
    <cellStyle name="20% - Accent1 2 2" xfId="334"/>
    <cellStyle name="20% - Accent1 2 3" xfId="335"/>
    <cellStyle name="20% - Accent1 3" xfId="7"/>
    <cellStyle name="20% - Accent1 3 2" xfId="336"/>
    <cellStyle name="20% - Accent1 3 3" xfId="337"/>
    <cellStyle name="20% - Accent1 4" xfId="8"/>
    <cellStyle name="20% - Accent2 2" xfId="9"/>
    <cellStyle name="20% - Accent2 3" xfId="297"/>
    <cellStyle name="20% - Accent2 3 2" xfId="338"/>
    <cellStyle name="20% - Accent3 2" xfId="10"/>
    <cellStyle name="20% - Accent3 3" xfId="298"/>
    <cellStyle name="20% - Accent3 3 2" xfId="339"/>
    <cellStyle name="20% - Accent4 2" xfId="11"/>
    <cellStyle name="20% - Accent4 2 2" xfId="340"/>
    <cellStyle name="20% - Accent4 2 3" xfId="341"/>
    <cellStyle name="20% - Accent4 3" xfId="12"/>
    <cellStyle name="20% - Accent4 3 2" xfId="342"/>
    <cellStyle name="20% - Accent4 3 3" xfId="343"/>
    <cellStyle name="20% - Accent4 4" xfId="13"/>
    <cellStyle name="20% - Accent5 2" xfId="14"/>
    <cellStyle name="20% - Accent5 3" xfId="299"/>
    <cellStyle name="20% - Accent6 2" xfId="15"/>
    <cellStyle name="20% - Accent6 3" xfId="300"/>
    <cellStyle name="20% - Accent6 3 2" xfId="344"/>
    <cellStyle name="40% - Accent1 2" xfId="16"/>
    <cellStyle name="40% - Accent1 3" xfId="17"/>
    <cellStyle name="40% - Accent1 3 2" xfId="345"/>
    <cellStyle name="40% - Accent1 3 3" xfId="346"/>
    <cellStyle name="40% - Accent1 4" xfId="18"/>
    <cellStyle name="40% - Accent2 2" xfId="19"/>
    <cellStyle name="40% - Accent2 3" xfId="301"/>
    <cellStyle name="40% - Accent3 2" xfId="20"/>
    <cellStyle name="40% - Accent3 3" xfId="302"/>
    <cellStyle name="40% - Accent3 3 2" xfId="347"/>
    <cellStyle name="40% - Accent4 2" xfId="21"/>
    <cellStyle name="40% - Accent4 3" xfId="22"/>
    <cellStyle name="40% - Accent4 3 2" xfId="348"/>
    <cellStyle name="40% - Accent4 3 3" xfId="349"/>
    <cellStyle name="40% - Accent4 4" xfId="23"/>
    <cellStyle name="40% - Accent5 2" xfId="24"/>
    <cellStyle name="40% - Accent5 3" xfId="25"/>
    <cellStyle name="40% - Accent5 3 2" xfId="350"/>
    <cellStyle name="40% - Accent6 2" xfId="26"/>
    <cellStyle name="40% - Accent6 3" xfId="27"/>
    <cellStyle name="40% - Accent6 3 2" xfId="351"/>
    <cellStyle name="40% - Accent6 3 3" xfId="352"/>
    <cellStyle name="40% - Accent6 4" xfId="28"/>
    <cellStyle name="60% - Accent1 2" xfId="29"/>
    <cellStyle name="60% - Accent1 2 2" xfId="353"/>
    <cellStyle name="60% - Accent1 2 3" xfId="354"/>
    <cellStyle name="60% - Accent1 3" xfId="30"/>
    <cellStyle name="60% - Accent1 3 2" xfId="355"/>
    <cellStyle name="60% - Accent1 3 3" xfId="356"/>
    <cellStyle name="60% - Accent1 4" xfId="31"/>
    <cellStyle name="60% - Accent2 2" xfId="32"/>
    <cellStyle name="60% - Accent2 3" xfId="33"/>
    <cellStyle name="60% - Accent2 3 2" xfId="357"/>
    <cellStyle name="60% - Accent3 2" xfId="34"/>
    <cellStyle name="60% - Accent3 3" xfId="35"/>
    <cellStyle name="60% - Accent3 3 2" xfId="358"/>
    <cellStyle name="60% - Accent3 3 3" xfId="359"/>
    <cellStyle name="60% - Accent3 4" xfId="36"/>
    <cellStyle name="60% - Accent4 2" xfId="37"/>
    <cellStyle name="60% - Accent4 3" xfId="38"/>
    <cellStyle name="60% - Accent4 3 2" xfId="360"/>
    <cellStyle name="60% - Accent4 3 3" xfId="361"/>
    <cellStyle name="60% - Accent4 4" xfId="39"/>
    <cellStyle name="60% - Accent5 2" xfId="40"/>
    <cellStyle name="60% - Accent5 2 2" xfId="362"/>
    <cellStyle name="60% - Accent5 2 3" xfId="363"/>
    <cellStyle name="60% - Accent5 3" xfId="41"/>
    <cellStyle name="60% - Accent5 3 2" xfId="364"/>
    <cellStyle name="60% - Accent6 2" xfId="42"/>
    <cellStyle name="60% - Accent6 3" xfId="303"/>
    <cellStyle name="60% - Accent6 3 2" xfId="365"/>
    <cellStyle name="Accent1 2" xfId="43"/>
    <cellStyle name="Accent1 2 2" xfId="366"/>
    <cellStyle name="Accent1 2 3" xfId="367"/>
    <cellStyle name="Accent1 3" xfId="44"/>
    <cellStyle name="Accent1 3 2" xfId="368"/>
    <cellStyle name="Accent1 3 3" xfId="369"/>
    <cellStyle name="Accent1 4" xfId="45"/>
    <cellStyle name="Accent2 2" xfId="46"/>
    <cellStyle name="Accent2 3" xfId="47"/>
    <cellStyle name="Accent2 3 2" xfId="370"/>
    <cellStyle name="Accent3 2" xfId="48"/>
    <cellStyle name="Accent3 2 2" xfId="371"/>
    <cellStyle name="Accent3 2 3" xfId="372"/>
    <cellStyle name="Accent3 3" xfId="49"/>
    <cellStyle name="Accent3 3 2" xfId="373"/>
    <cellStyle name="Accent4 2" xfId="50"/>
    <cellStyle name="Accent4 3" xfId="51"/>
    <cellStyle name="Accent4 3 2" xfId="374"/>
    <cellStyle name="Accent5 2" xfId="52"/>
    <cellStyle name="Accent5 3" xfId="53"/>
    <cellStyle name="Accent6 2" xfId="54"/>
    <cellStyle name="Accent6 2 2" xfId="375"/>
    <cellStyle name="Accent6 2 3" xfId="376"/>
    <cellStyle name="Accent6 3" xfId="55"/>
    <cellStyle name="Accent6 3 2" xfId="377"/>
    <cellStyle name="Accounting" xfId="56"/>
    <cellStyle name="Accounting 2" xfId="57"/>
    <cellStyle name="Accounting 3" xfId="58"/>
    <cellStyle name="Accounting_2011-11" xfId="59"/>
    <cellStyle name="Bad 2" xfId="60"/>
    <cellStyle name="Bad 3" xfId="61"/>
    <cellStyle name="Bad 3 2" xfId="378"/>
    <cellStyle name="Budget" xfId="62"/>
    <cellStyle name="Budget 2" xfId="63"/>
    <cellStyle name="Budget 3" xfId="64"/>
    <cellStyle name="Budget_2011-11" xfId="65"/>
    <cellStyle name="Calculation 2" xfId="66"/>
    <cellStyle name="Calculation 2 2" xfId="379"/>
    <cellStyle name="Calculation 2 3" xfId="380"/>
    <cellStyle name="Calculation 3" xfId="67"/>
    <cellStyle name="Calculation 3 2" xfId="381"/>
    <cellStyle name="Calculation 3 3" xfId="382"/>
    <cellStyle name="Calculation 4" xfId="68"/>
    <cellStyle name="Check Cell 2" xfId="69"/>
    <cellStyle name="Check Cell 3" xfId="70"/>
    <cellStyle name="combo" xfId="71"/>
    <cellStyle name="Comma" xfId="332" builtinId="3"/>
    <cellStyle name="Comma 10" xfId="4"/>
    <cellStyle name="Comma 11" xfId="72"/>
    <cellStyle name="Comma 12" xfId="73"/>
    <cellStyle name="Comma 12 2" xfId="304"/>
    <cellStyle name="Comma 12 2 2" xfId="383"/>
    <cellStyle name="Comma 12 3" xfId="384"/>
    <cellStyle name="Comma 12 4" xfId="385"/>
    <cellStyle name="Comma 12 5" xfId="386"/>
    <cellStyle name="Comma 13" xfId="74"/>
    <cellStyle name="Comma 13 2" xfId="387"/>
    <cellStyle name="Comma 14" xfId="75"/>
    <cellStyle name="Comma 15" xfId="76"/>
    <cellStyle name="Comma 15 2" xfId="388"/>
    <cellStyle name="Comma 16" xfId="77"/>
    <cellStyle name="Comma 17" xfId="78"/>
    <cellStyle name="Comma 17 2" xfId="389"/>
    <cellStyle name="Comma 17 2 2" xfId="563"/>
    <cellStyle name="Comma 18" xfId="79"/>
    <cellStyle name="Comma 18 2" xfId="390"/>
    <cellStyle name="Comma 18 3" xfId="391"/>
    <cellStyle name="Comma 18 4" xfId="558"/>
    <cellStyle name="Comma 19" xfId="80"/>
    <cellStyle name="Comma 2" xfId="81"/>
    <cellStyle name="Comma 2 2" xfId="82"/>
    <cellStyle name="Comma 2 2 2" xfId="83"/>
    <cellStyle name="Comma 2 3" xfId="84"/>
    <cellStyle name="Comma 2 4" xfId="85"/>
    <cellStyle name="Comma 2 4 2" xfId="392"/>
    <cellStyle name="Comma 2 4 2 2" xfId="564"/>
    <cellStyle name="Comma 2 4 3" xfId="393"/>
    <cellStyle name="Comma 2 4 4" xfId="559"/>
    <cellStyle name="Comma 2 5" xfId="562"/>
    <cellStyle name="Comma 2 6" xfId="305"/>
    <cellStyle name="Comma 2 6 2" xfId="306"/>
    <cellStyle name="Comma 20" xfId="394"/>
    <cellStyle name="Comma 21" xfId="395"/>
    <cellStyle name="Comma 3" xfId="86"/>
    <cellStyle name="Comma 3 2" xfId="87"/>
    <cellStyle name="Comma 3 2 2" xfId="88"/>
    <cellStyle name="Comma 3 3" xfId="89"/>
    <cellStyle name="Comma 3 4" xfId="90"/>
    <cellStyle name="Comma 4" xfId="91"/>
    <cellStyle name="Comma 4 2" xfId="92"/>
    <cellStyle name="Comma 4 2 2" xfId="396"/>
    <cellStyle name="Comma 4 2 3" xfId="397"/>
    <cellStyle name="Comma 4 3" xfId="93"/>
    <cellStyle name="Comma 4 3 2" xfId="398"/>
    <cellStyle name="Comma 4 3 3" xfId="399"/>
    <cellStyle name="Comma 4 4" xfId="94"/>
    <cellStyle name="Comma 4 4 2" xfId="400"/>
    <cellStyle name="Comma 4 4 3" xfId="401"/>
    <cellStyle name="Comma 4 5" xfId="95"/>
    <cellStyle name="Comma 4 5 2" xfId="402"/>
    <cellStyle name="Comma 4 6" xfId="403"/>
    <cellStyle name="Comma 4 6 2" xfId="556"/>
    <cellStyle name="Comma 5" xfId="96"/>
    <cellStyle name="Comma 5 2" xfId="404"/>
    <cellStyle name="Comma 5 3" xfId="405"/>
    <cellStyle name="Comma 5 4" xfId="406"/>
    <cellStyle name="Comma 6" xfId="97"/>
    <cellStyle name="Comma 6 2" xfId="98"/>
    <cellStyle name="Comma 7" xfId="99"/>
    <cellStyle name="Comma 8" xfId="100"/>
    <cellStyle name="Comma 9" xfId="101"/>
    <cellStyle name="Comma(2)" xfId="102"/>
    <cellStyle name="Comma0" xfId="407"/>
    <cellStyle name="Comma0 - Style2" xfId="103"/>
    <cellStyle name="Comma1 - Style1" xfId="104"/>
    <cellStyle name="Comments" xfId="105"/>
    <cellStyle name="Currency" xfId="1" builtinId="4"/>
    <cellStyle name="Currency 10" xfId="106"/>
    <cellStyle name="Currency 11" xfId="333"/>
    <cellStyle name="Currency 12" xfId="408"/>
    <cellStyle name="Currency 13" xfId="409"/>
    <cellStyle name="Currency 2" xfId="107"/>
    <cellStyle name="Currency 2 2" xfId="108"/>
    <cellStyle name="Currency 2 2 2" xfId="307"/>
    <cellStyle name="Currency 2 2 3" xfId="410"/>
    <cellStyle name="Currency 2 3" xfId="109"/>
    <cellStyle name="Currency 2 3 2" xfId="411"/>
    <cellStyle name="Currency 2 3 3" xfId="412"/>
    <cellStyle name="Currency 2 4" xfId="413"/>
    <cellStyle name="Currency 2 6" xfId="308"/>
    <cellStyle name="Currency 2 6 2" xfId="309"/>
    <cellStyle name="Currency 3" xfId="110"/>
    <cellStyle name="Currency 3 2" xfId="5"/>
    <cellStyle name="Currency 3 3" xfId="111"/>
    <cellStyle name="Currency 3 3 2" xfId="414"/>
    <cellStyle name="Currency 3 3 3" xfId="555"/>
    <cellStyle name="Currency 3 4" xfId="415"/>
    <cellStyle name="Currency 3 5" xfId="416"/>
    <cellStyle name="Currency 4" xfId="112"/>
    <cellStyle name="Currency 4 2" xfId="310"/>
    <cellStyle name="Currency 4 3" xfId="417"/>
    <cellStyle name="Currency 4 4" xfId="418"/>
    <cellStyle name="Currency 5" xfId="113"/>
    <cellStyle name="Currency 5 2" xfId="311"/>
    <cellStyle name="Currency 5 3" xfId="419"/>
    <cellStyle name="Currency 6" xfId="114"/>
    <cellStyle name="Currency 7" xfId="115"/>
    <cellStyle name="Currency 8" xfId="116"/>
    <cellStyle name="Currency 8 2" xfId="420"/>
    <cellStyle name="Currency 8 3" xfId="560"/>
    <cellStyle name="Currency 9" xfId="117"/>
    <cellStyle name="Currency0" xfId="421"/>
    <cellStyle name="Data Enter" xfId="118"/>
    <cellStyle name="date" xfId="119"/>
    <cellStyle name="Explanatory Text 2" xfId="120"/>
    <cellStyle name="Explanatory Text 3" xfId="312"/>
    <cellStyle name="F9ReportControlStyle_ctpInquire" xfId="422"/>
    <cellStyle name="FactSheet" xfId="121"/>
    <cellStyle name="fish" xfId="122"/>
    <cellStyle name="Good 2" xfId="123"/>
    <cellStyle name="Good 3" xfId="124"/>
    <cellStyle name="Good 3 2" xfId="423"/>
    <cellStyle name="Good 4" xfId="424"/>
    <cellStyle name="Heading 1 2" xfId="125"/>
    <cellStyle name="Heading 1 2 2" xfId="425"/>
    <cellStyle name="Heading 1 2 3" xfId="426"/>
    <cellStyle name="Heading 1 3" xfId="126"/>
    <cellStyle name="Heading 1 3 2" xfId="427"/>
    <cellStyle name="Heading 1 3 3" xfId="428"/>
    <cellStyle name="Heading 1 4" xfId="127"/>
    <cellStyle name="Heading 2 2" xfId="128"/>
    <cellStyle name="Heading 2 2 2" xfId="429"/>
    <cellStyle name="Heading 2 2 3" xfId="430"/>
    <cellStyle name="Heading 2 3" xfId="129"/>
    <cellStyle name="Heading 2 3 2" xfId="431"/>
    <cellStyle name="Heading 2 3 3" xfId="432"/>
    <cellStyle name="Heading 2 4" xfId="130"/>
    <cellStyle name="Heading 3 2" xfId="131"/>
    <cellStyle name="Heading 3 2 2" xfId="433"/>
    <cellStyle name="Heading 3 2 3" xfId="434"/>
    <cellStyle name="Heading 3 3" xfId="132"/>
    <cellStyle name="Heading 3 3 2" xfId="435"/>
    <cellStyle name="Heading 3 3 3" xfId="436"/>
    <cellStyle name="Heading 3 4" xfId="133"/>
    <cellStyle name="Heading 4 2" xfId="134"/>
    <cellStyle name="Heading 4 3" xfId="135"/>
    <cellStyle name="Heading 4 3 2" xfId="437"/>
    <cellStyle name="Hyperlink 2" xfId="136"/>
    <cellStyle name="Hyperlink 3" xfId="137"/>
    <cellStyle name="Hyperlink 3 2" xfId="438"/>
    <cellStyle name="Input 2" xfId="138"/>
    <cellStyle name="Input 3" xfId="139"/>
    <cellStyle name="Input 3 2" xfId="439"/>
    <cellStyle name="input(0)" xfId="140"/>
    <cellStyle name="Input(2)" xfId="141"/>
    <cellStyle name="Linked Cell 2" xfId="142"/>
    <cellStyle name="Linked Cell 2 2" xfId="440"/>
    <cellStyle name="Linked Cell 2 3" xfId="441"/>
    <cellStyle name="Linked Cell 3" xfId="143"/>
    <cellStyle name="Linked Cell 3 2" xfId="442"/>
    <cellStyle name="Neutral 2" xfId="144"/>
    <cellStyle name="Neutral 2 2" xfId="443"/>
    <cellStyle name="Neutral 2 3" xfId="444"/>
    <cellStyle name="Neutral 3" xfId="145"/>
    <cellStyle name="Neutral 3 2" xfId="445"/>
    <cellStyle name="New_normal" xfId="146"/>
    <cellStyle name="Normal" xfId="0" builtinId="0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0 2" xfId="153"/>
    <cellStyle name="Normal 10 2 2" xfId="154"/>
    <cellStyle name="Normal 10 2 3" xfId="446"/>
    <cellStyle name="Normal 10 2 4" xfId="447"/>
    <cellStyle name="Normal 10 2 5" xfId="554"/>
    <cellStyle name="Normal 10 3" xfId="448"/>
    <cellStyle name="Normal 10_2112 DF Schedule" xfId="155"/>
    <cellStyle name="Normal 100" xfId="449"/>
    <cellStyle name="Normal 101" xfId="450"/>
    <cellStyle name="Normal 102" xfId="451"/>
    <cellStyle name="Normal 103" xfId="452"/>
    <cellStyle name="Normal 104" xfId="453"/>
    <cellStyle name="Normal 105" xfId="454"/>
    <cellStyle name="Normal 106" xfId="455"/>
    <cellStyle name="Normal 107" xfId="456"/>
    <cellStyle name="Normal 108" xfId="457"/>
    <cellStyle name="Normal 109" xfId="458"/>
    <cellStyle name="Normal 11" xfId="156"/>
    <cellStyle name="Normal 11 2" xfId="459"/>
    <cellStyle name="Normal 11 2 2" xfId="460"/>
    <cellStyle name="Normal 110" xfId="461"/>
    <cellStyle name="Normal 111" xfId="462"/>
    <cellStyle name="Normal 12" xfId="157"/>
    <cellStyle name="Normal 12 2" xfId="463"/>
    <cellStyle name="Normal 12 3" xfId="464"/>
    <cellStyle name="Normal 12 4" xfId="465"/>
    <cellStyle name="Normal 12 5" xfId="466"/>
    <cellStyle name="Normal 12_Sheet1" xfId="467"/>
    <cellStyle name="Normal 13" xfId="158"/>
    <cellStyle name="Normal 13 2" xfId="468"/>
    <cellStyle name="Normal 13 3" xfId="469"/>
    <cellStyle name="Normal 13 4" xfId="470"/>
    <cellStyle name="Normal 13 5" xfId="471"/>
    <cellStyle name="Normal 13_Sheet1" xfId="472"/>
    <cellStyle name="Normal 14" xfId="159"/>
    <cellStyle name="Normal 14 2" xfId="473"/>
    <cellStyle name="Normal 14 3" xfId="474"/>
    <cellStyle name="Normal 14 4" xfId="475"/>
    <cellStyle name="Normal 14_Sheet1" xfId="476"/>
    <cellStyle name="Normal 15" xfId="160"/>
    <cellStyle name="Normal 15 2" xfId="477"/>
    <cellStyle name="Normal 15 3" xfId="478"/>
    <cellStyle name="Normal 15 4" xfId="479"/>
    <cellStyle name="Normal 16" xfId="161"/>
    <cellStyle name="Normal 16 2" xfId="480"/>
    <cellStyle name="Normal 16 3" xfId="481"/>
    <cellStyle name="Normal 17" xfId="162"/>
    <cellStyle name="Normal 17 2" xfId="482"/>
    <cellStyle name="Normal 17 3" xfId="483"/>
    <cellStyle name="Normal 18" xfId="163"/>
    <cellStyle name="Normal 18 2" xfId="484"/>
    <cellStyle name="Normal 18 3" xfId="485"/>
    <cellStyle name="Normal 19" xfId="164"/>
    <cellStyle name="Normal 19 2" xfId="486"/>
    <cellStyle name="Normal 19 3" xfId="487"/>
    <cellStyle name="Normal 2" xfId="165"/>
    <cellStyle name="Normal 2 10" xfId="488"/>
    <cellStyle name="Normal 2 11" xfId="489"/>
    <cellStyle name="Normal 2 2" xfId="166"/>
    <cellStyle name="Normal 2 2 2" xfId="167"/>
    <cellStyle name="Normal 2 2 2 2" xfId="490"/>
    <cellStyle name="Normal 2 2 3" xfId="168"/>
    <cellStyle name="Normal 2 2 4" xfId="491"/>
    <cellStyle name="Normal 2 2_4MthProj2" xfId="492"/>
    <cellStyle name="Normal 2 3" xfId="169"/>
    <cellStyle name="Normal 2 3 2" xfId="170"/>
    <cellStyle name="Normal 2 3 3" xfId="171"/>
    <cellStyle name="Normal 2 3_4MthProj2" xfId="493"/>
    <cellStyle name="Normal 2 4" xfId="172"/>
    <cellStyle name="Normal 2 4 2" xfId="494"/>
    <cellStyle name="Normal 2 5" xfId="173"/>
    <cellStyle name="Normal 2 6" xfId="174"/>
    <cellStyle name="Normal 2 6 2" xfId="561"/>
    <cellStyle name="Normal 2 7" xfId="495"/>
    <cellStyle name="Normal 2 8" xfId="496"/>
    <cellStyle name="Normal 2 9" xfId="497"/>
    <cellStyle name="Normal 2_2009 Regulated Price Out" xfId="498"/>
    <cellStyle name="Normal 20" xfId="175"/>
    <cellStyle name="Normal 20 2" xfId="499"/>
    <cellStyle name="Normal 20 3" xfId="500"/>
    <cellStyle name="Normal 21" xfId="176"/>
    <cellStyle name="Normal 21 2" xfId="501"/>
    <cellStyle name="Normal 22" xfId="177"/>
    <cellStyle name="Normal 22 2" xfId="502"/>
    <cellStyle name="Normal 23" xfId="178"/>
    <cellStyle name="Normal 23 2" xfId="503"/>
    <cellStyle name="Normal 24" xfId="179"/>
    <cellStyle name="Normal 24 2" xfId="504"/>
    <cellStyle name="Normal 25" xfId="180"/>
    <cellStyle name="Normal 26" xfId="181"/>
    <cellStyle name="Normal 27" xfId="182"/>
    <cellStyle name="Normal 27 2" xfId="505"/>
    <cellStyle name="Normal 28" xfId="183"/>
    <cellStyle name="Normal 29" xfId="184"/>
    <cellStyle name="Normal 3" xfId="185"/>
    <cellStyle name="Normal 3 2" xfId="186"/>
    <cellStyle name="Normal 3 2 2" xfId="506"/>
    <cellStyle name="Normal 3 3" xfId="187"/>
    <cellStyle name="Normal 3 3 2" xfId="507"/>
    <cellStyle name="Normal 3 4" xfId="508"/>
    <cellStyle name="Normal 3 4 2" xfId="557"/>
    <cellStyle name="Normal 3_2012 PR" xfId="188"/>
    <cellStyle name="Normal 30" xfId="189"/>
    <cellStyle name="Normal 31" xfId="190"/>
    <cellStyle name="Normal 31 2" xfId="509"/>
    <cellStyle name="Normal 32" xfId="191"/>
    <cellStyle name="Normal 33" xfId="192"/>
    <cellStyle name="Normal 34" xfId="193"/>
    <cellStyle name="Normal 35" xfId="194"/>
    <cellStyle name="Normal 36" xfId="195"/>
    <cellStyle name="Normal 37" xfId="196"/>
    <cellStyle name="Normal 38" xfId="197"/>
    <cellStyle name="Normal 39" xfId="198"/>
    <cellStyle name="Normal 4" xfId="199"/>
    <cellStyle name="Normal 4 2" xfId="200"/>
    <cellStyle name="Normal 4 2 2" xfId="510"/>
    <cellStyle name="Normal 4 3" xfId="511"/>
    <cellStyle name="Normal 4 3 2" xfId="512"/>
    <cellStyle name="Normal 4_Consolidated IS" xfId="513"/>
    <cellStyle name="Normal 40" xfId="201"/>
    <cellStyle name="Normal 41" xfId="202"/>
    <cellStyle name="Normal 42" xfId="203"/>
    <cellStyle name="Normal 43" xfId="204"/>
    <cellStyle name="Normal 44" xfId="205"/>
    <cellStyle name="Normal 45" xfId="206"/>
    <cellStyle name="Normal 46" xfId="207"/>
    <cellStyle name="Normal 47" xfId="208"/>
    <cellStyle name="Normal 48" xfId="209"/>
    <cellStyle name="Normal 49" xfId="210"/>
    <cellStyle name="Normal 5" xfId="211"/>
    <cellStyle name="Normal 5 2" xfId="212"/>
    <cellStyle name="Normal 5 3" xfId="514"/>
    <cellStyle name="Normal 5 4" xfId="515"/>
    <cellStyle name="Normal 5_2112 DF Schedule" xfId="213"/>
    <cellStyle name="Normal 50" xfId="214"/>
    <cellStyle name="Normal 51" xfId="215"/>
    <cellStyle name="Normal 52" xfId="216"/>
    <cellStyle name="Normal 53" xfId="217"/>
    <cellStyle name="Normal 54" xfId="218"/>
    <cellStyle name="Normal 55" xfId="219"/>
    <cellStyle name="Normal 56" xfId="220"/>
    <cellStyle name="Normal 57" xfId="221"/>
    <cellStyle name="Normal 58" xfId="222"/>
    <cellStyle name="Normal 59" xfId="223"/>
    <cellStyle name="Normal 6" xfId="224"/>
    <cellStyle name="Normal 6 2" xfId="313"/>
    <cellStyle name="Normal 6 2 2" xfId="516"/>
    <cellStyle name="Normal 6 3" xfId="517"/>
    <cellStyle name="Normal 60" xfId="225"/>
    <cellStyle name="Normal 61" xfId="226"/>
    <cellStyle name="Normal 62" xfId="227"/>
    <cellStyle name="Normal 63" xfId="228"/>
    <cellStyle name="Normal 64" xfId="229"/>
    <cellStyle name="Normal 65" xfId="230"/>
    <cellStyle name="Normal 66" xfId="231"/>
    <cellStyle name="Normal 67" xfId="232"/>
    <cellStyle name="Normal 68" xfId="233"/>
    <cellStyle name="Normal 69" xfId="234"/>
    <cellStyle name="Normal 7" xfId="235"/>
    <cellStyle name="Normal 7 2" xfId="236"/>
    <cellStyle name="Normal 7 2 2" xfId="518"/>
    <cellStyle name="Normal 70" xfId="237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 2" xfId="519"/>
    <cellStyle name="Normal 8 2 2" xfId="520"/>
    <cellStyle name="Normal 80" xfId="248"/>
    <cellStyle name="Normal 81" xfId="249"/>
    <cellStyle name="Normal 82" xfId="250"/>
    <cellStyle name="Normal 83" xfId="251"/>
    <cellStyle name="Normal 84" xfId="252"/>
    <cellStyle name="Normal 84 2" xfId="314"/>
    <cellStyle name="Normal 84 3" xfId="521"/>
    <cellStyle name="Normal 85" xfId="253"/>
    <cellStyle name="Normal 85 2" xfId="522"/>
    <cellStyle name="Normal 85 3" xfId="523"/>
    <cellStyle name="Normal 86" xfId="315"/>
    <cellStyle name="Normal 87" xfId="316"/>
    <cellStyle name="Normal 88" xfId="317"/>
    <cellStyle name="Normal 89" xfId="318"/>
    <cellStyle name="Normal 9" xfId="254"/>
    <cellStyle name="Normal 9 2" xfId="524"/>
    <cellStyle name="Normal 9 2 2" xfId="525"/>
    <cellStyle name="Normal 90" xfId="319"/>
    <cellStyle name="Normal 91" xfId="320"/>
    <cellStyle name="Normal 92" xfId="526"/>
    <cellStyle name="Normal 93" xfId="527"/>
    <cellStyle name="Normal 94" xfId="528"/>
    <cellStyle name="Normal 95" xfId="529"/>
    <cellStyle name="Normal 96" xfId="530"/>
    <cellStyle name="Normal 97" xfId="531"/>
    <cellStyle name="Normal 98" xfId="532"/>
    <cellStyle name="Normal 99" xfId="533"/>
    <cellStyle name="Normal_Regulated Price Out 9-6-2011 Final HL" xfId="3"/>
    <cellStyle name="Note 2" xfId="255"/>
    <cellStyle name="Note 2 2" xfId="534"/>
    <cellStyle name="Note 2 3" xfId="535"/>
    <cellStyle name="Note 3" xfId="256"/>
    <cellStyle name="Note 3 2" xfId="536"/>
    <cellStyle name="Note 3 3" xfId="537"/>
    <cellStyle name="Note 4" xfId="257"/>
    <cellStyle name="Notes" xfId="258"/>
    <cellStyle name="Output 2" xfId="259"/>
    <cellStyle name="Output 3" xfId="260"/>
    <cellStyle name="Output 3 2" xfId="538"/>
    <cellStyle name="Percent" xfId="2" builtinId="5"/>
    <cellStyle name="Percent 10" xfId="539"/>
    <cellStyle name="Percent 2" xfId="261"/>
    <cellStyle name="Percent 2 2" xfId="262"/>
    <cellStyle name="Percent 2 2 2" xfId="321"/>
    <cellStyle name="Percent 2 2 3" xfId="540"/>
    <cellStyle name="Percent 2 3" xfId="263"/>
    <cellStyle name="Percent 2 4" xfId="541"/>
    <cellStyle name="Percent 2 6" xfId="322"/>
    <cellStyle name="Percent 3" xfId="264"/>
    <cellStyle name="Percent 3 2" xfId="323"/>
    <cellStyle name="Percent 3 2 2" xfId="542"/>
    <cellStyle name="Percent 4" xfId="265"/>
    <cellStyle name="Percent 4 2" xfId="266"/>
    <cellStyle name="Percent 4 3" xfId="543"/>
    <cellStyle name="Percent 4 4" xfId="544"/>
    <cellStyle name="Percent 5" xfId="267"/>
    <cellStyle name="Percent 5 2" xfId="545"/>
    <cellStyle name="Percent 6" xfId="268"/>
    <cellStyle name="Percent 6 2" xfId="546"/>
    <cellStyle name="Percent 7" xfId="269"/>
    <cellStyle name="Percent 7 2" xfId="324"/>
    <cellStyle name="Percent 7 3" xfId="547"/>
    <cellStyle name="Percent 8" xfId="270"/>
    <cellStyle name="Percent 9" xfId="548"/>
    <cellStyle name="Percent(1)" xfId="271"/>
    <cellStyle name="Percent(2)" xfId="272"/>
    <cellStyle name="PRM" xfId="273"/>
    <cellStyle name="PRM 2" xfId="274"/>
    <cellStyle name="PRM 3" xfId="275"/>
    <cellStyle name="PRM_2011-11" xfId="276"/>
    <cellStyle name="PS_Comma" xfId="325"/>
    <cellStyle name="PSChar" xfId="277"/>
    <cellStyle name="PSDate" xfId="326"/>
    <cellStyle name="PSDec" xfId="327"/>
    <cellStyle name="PSHeading" xfId="278"/>
    <cellStyle name="PSInt" xfId="328"/>
    <cellStyle name="PSSpacer" xfId="329"/>
    <cellStyle name="STYL0 - Style1" xfId="279"/>
    <cellStyle name="STYL1 - Style2" xfId="280"/>
    <cellStyle name="STYL2 - Style3" xfId="281"/>
    <cellStyle name="STYL3 - Style4" xfId="282"/>
    <cellStyle name="STYL4 - Style5" xfId="283"/>
    <cellStyle name="STYL5 - Style6" xfId="284"/>
    <cellStyle name="STYL6 - Style7" xfId="285"/>
    <cellStyle name="STYL7 - Style8" xfId="286"/>
    <cellStyle name="Style 1" xfId="287"/>
    <cellStyle name="Style 1 2" xfId="288"/>
    <cellStyle name="STYLE1" xfId="289"/>
    <cellStyle name="sub heading" xfId="290"/>
    <cellStyle name="Title 2" xfId="291"/>
    <cellStyle name="Title 3" xfId="292"/>
    <cellStyle name="Title 3 2" xfId="549"/>
    <cellStyle name="Total 2" xfId="293"/>
    <cellStyle name="Total 2 2" xfId="550"/>
    <cellStyle name="Total 2 3" xfId="551"/>
    <cellStyle name="Total 3" xfId="294"/>
    <cellStyle name="Total 3 2" xfId="552"/>
    <cellStyle name="Total 3 3" xfId="553"/>
    <cellStyle name="Total 4" xfId="295"/>
    <cellStyle name="Warning Text 2" xfId="296"/>
    <cellStyle name="Warning Text 3" xfId="330"/>
    <cellStyle name="WM_STANDARD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Dump%20Fee/DF%20Incr%201-1-2015/Empire%20-%20Spokane%20DF%20Calculations%201-1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3080</v>
          </cell>
        </row>
      </sheetData>
      <sheetData sheetId="4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10000</v>
          </cell>
        </row>
        <row r="8">
          <cell r="H8" t="str">
            <v>2016-03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 refreshError="1">
        <row r="56">
          <cell r="G56">
            <v>0.98072499999999996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abSelected="1" zoomScale="85" zoomScaleNormal="85" workbookViewId="0">
      <selection activeCell="J29" sqref="J29"/>
    </sheetView>
  </sheetViews>
  <sheetFormatPr defaultRowHeight="15"/>
  <cols>
    <col min="1" max="1" width="36.28515625" style="1" bestFit="1" customWidth="1"/>
    <col min="2" max="2" width="19" style="1" bestFit="1" customWidth="1"/>
    <col min="3" max="3" width="16" style="1" bestFit="1" customWidth="1"/>
    <col min="4" max="4" width="13.140625" style="1" customWidth="1"/>
    <col min="5" max="5" width="7" style="1" bestFit="1" customWidth="1"/>
    <col min="6" max="6" width="11.42578125" style="1" bestFit="1" customWidth="1"/>
    <col min="7" max="7" width="10" style="1" bestFit="1" customWidth="1"/>
    <col min="8" max="8" width="8" style="1" bestFit="1" customWidth="1"/>
    <col min="9" max="9" width="15.85546875" style="1" bestFit="1" customWidth="1"/>
    <col min="10" max="10" width="12" style="1" bestFit="1" customWidth="1"/>
    <col min="11" max="16384" width="9.140625" style="1"/>
  </cols>
  <sheetData>
    <row r="1" spans="1:8">
      <c r="A1" s="54" t="s">
        <v>283</v>
      </c>
    </row>
    <row r="2" spans="1:8">
      <c r="A2" s="54" t="s">
        <v>308</v>
      </c>
    </row>
    <row r="4" spans="1:8">
      <c r="A4" s="223" t="s">
        <v>120</v>
      </c>
      <c r="B4" s="223"/>
      <c r="C4" s="223"/>
      <c r="D4" s="223"/>
      <c r="E4" s="223"/>
      <c r="F4" s="223"/>
      <c r="G4" s="223"/>
      <c r="H4" s="223"/>
    </row>
    <row r="5" spans="1:8">
      <c r="A5" s="1" t="s">
        <v>121</v>
      </c>
      <c r="B5" s="2" t="s">
        <v>122</v>
      </c>
      <c r="C5" s="2" t="s">
        <v>123</v>
      </c>
      <c r="D5" s="2" t="s">
        <v>124</v>
      </c>
      <c r="E5" s="3" t="s">
        <v>125</v>
      </c>
      <c r="F5" s="3" t="s">
        <v>126</v>
      </c>
      <c r="G5" s="3" t="s">
        <v>127</v>
      </c>
      <c r="H5" s="2" t="s">
        <v>128</v>
      </c>
    </row>
    <row r="6" spans="1:8">
      <c r="A6" s="1" t="s">
        <v>129</v>
      </c>
      <c r="B6" s="4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" t="s">
        <v>130</v>
      </c>
      <c r="B7" s="4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" t="s">
        <v>131</v>
      </c>
      <c r="B8" s="4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" t="s">
        <v>132</v>
      </c>
      <c r="B9" s="4">
        <f>52*2/12</f>
        <v>8.6666666666666661</v>
      </c>
      <c r="C9" s="6">
        <f>$B$9*2</f>
        <v>17.333333333333332</v>
      </c>
      <c r="D9" s="6">
        <f>$B$9*3</f>
        <v>26</v>
      </c>
      <c r="E9" s="6">
        <f>$B$9*4</f>
        <v>34.666666666666664</v>
      </c>
      <c r="F9" s="6">
        <f>$B$9*5</f>
        <v>43.333333333333329</v>
      </c>
      <c r="G9" s="6">
        <f>$B$9*6</f>
        <v>52</v>
      </c>
      <c r="H9" s="6">
        <f>$B$9*7</f>
        <v>60.666666666666664</v>
      </c>
    </row>
    <row r="10" spans="1:8">
      <c r="A10" s="1" t="s">
        <v>133</v>
      </c>
      <c r="B10" s="4">
        <f>52/12</f>
        <v>4.333333333333333</v>
      </c>
      <c r="C10" s="6">
        <f>$B$10*2</f>
        <v>8.6666666666666661</v>
      </c>
      <c r="D10" s="6">
        <f>$B$10*3</f>
        <v>13</v>
      </c>
      <c r="E10" s="6">
        <f>$B$10*4</f>
        <v>17.333333333333332</v>
      </c>
      <c r="F10" s="6">
        <f>$B$10*5</f>
        <v>21.666666666666664</v>
      </c>
      <c r="G10" s="6">
        <f>$B$10*6</f>
        <v>26</v>
      </c>
      <c r="H10" s="6">
        <f>$B$10*7</f>
        <v>30.333333333333332</v>
      </c>
    </row>
    <row r="11" spans="1:8">
      <c r="A11" s="1" t="s">
        <v>134</v>
      </c>
      <c r="B11" s="4">
        <f>26/12</f>
        <v>2.1666666666666665</v>
      </c>
      <c r="C11" s="6">
        <f>$B$11*2</f>
        <v>4.333333333333333</v>
      </c>
      <c r="D11" s="6">
        <f>$B$11*3</f>
        <v>6.5</v>
      </c>
      <c r="E11" s="6">
        <f>$B$11*4</f>
        <v>8.6666666666666661</v>
      </c>
      <c r="F11" s="6">
        <f>$B$11*5</f>
        <v>10.833333333333332</v>
      </c>
      <c r="G11" s="6">
        <f>$B$11*6</f>
        <v>13</v>
      </c>
      <c r="H11" s="6">
        <f>$B$11*7</f>
        <v>15.166666666666666</v>
      </c>
    </row>
    <row r="12" spans="1:8">
      <c r="A12" s="1" t="s">
        <v>135</v>
      </c>
      <c r="B12" s="4">
        <f>12/12</f>
        <v>1</v>
      </c>
      <c r="C12" s="6">
        <f>$B$12*2</f>
        <v>2</v>
      </c>
      <c r="D12" s="6">
        <f>$B$12*3</f>
        <v>3</v>
      </c>
      <c r="E12" s="6">
        <f>$B$12*4</f>
        <v>4</v>
      </c>
      <c r="F12" s="6">
        <f>$B$12*5</f>
        <v>5</v>
      </c>
      <c r="G12" s="6">
        <f>$B$12*6</f>
        <v>6</v>
      </c>
      <c r="H12" s="6">
        <f>$B$12*7</f>
        <v>7</v>
      </c>
    </row>
    <row r="13" spans="1:8">
      <c r="B13" s="4"/>
      <c r="C13" s="6"/>
      <c r="D13" s="6"/>
      <c r="E13" s="6"/>
      <c r="F13" s="6"/>
      <c r="G13" s="6"/>
      <c r="H13" s="6"/>
    </row>
    <row r="14" spans="1:8">
      <c r="A14" s="223" t="s">
        <v>136</v>
      </c>
      <c r="B14" s="223"/>
      <c r="C14" s="6"/>
      <c r="D14" s="6"/>
      <c r="E14" s="6"/>
      <c r="F14" s="6"/>
      <c r="G14" s="6"/>
      <c r="H14" s="6"/>
    </row>
    <row r="15" spans="1:8">
      <c r="A15" s="7" t="s">
        <v>137</v>
      </c>
      <c r="B15" s="8" t="s">
        <v>138</v>
      </c>
      <c r="C15" s="6"/>
      <c r="D15" s="6"/>
      <c r="E15" s="6"/>
      <c r="F15" s="6"/>
      <c r="G15" s="6"/>
      <c r="H15" s="6"/>
    </row>
    <row r="16" spans="1:8">
      <c r="A16" s="9" t="s">
        <v>139</v>
      </c>
      <c r="B16" s="10">
        <v>20</v>
      </c>
      <c r="C16" s="6"/>
      <c r="D16" s="6"/>
      <c r="E16" s="6"/>
      <c r="F16" s="6"/>
      <c r="G16" s="6"/>
      <c r="H16" s="6"/>
    </row>
    <row r="17" spans="1:8">
      <c r="A17" s="9" t="s">
        <v>140</v>
      </c>
      <c r="B17" s="10">
        <v>34</v>
      </c>
      <c r="C17" s="6"/>
      <c r="D17" s="6"/>
      <c r="E17" s="6"/>
      <c r="F17" s="6"/>
      <c r="G17" s="6"/>
      <c r="H17" s="6"/>
    </row>
    <row r="18" spans="1:8">
      <c r="A18" s="9" t="s">
        <v>141</v>
      </c>
      <c r="B18" s="10">
        <v>51</v>
      </c>
      <c r="C18" s="6"/>
      <c r="D18" s="6"/>
      <c r="E18" s="6"/>
      <c r="F18" s="6"/>
      <c r="G18" s="6"/>
      <c r="H18" s="6"/>
    </row>
    <row r="19" spans="1:8">
      <c r="A19" s="9" t="s">
        <v>142</v>
      </c>
      <c r="B19" s="10">
        <v>77</v>
      </c>
      <c r="C19" s="6"/>
      <c r="D19" s="6"/>
      <c r="E19" s="6"/>
      <c r="F19" s="1" t="s">
        <v>143</v>
      </c>
      <c r="G19" s="10">
        <v>2000</v>
      </c>
      <c r="H19" s="6"/>
    </row>
    <row r="20" spans="1:8">
      <c r="A20" s="9" t="s">
        <v>144</v>
      </c>
      <c r="B20" s="10">
        <v>97</v>
      </c>
      <c r="C20" s="6"/>
      <c r="D20" s="6"/>
      <c r="E20" s="6"/>
      <c r="F20" s="1" t="s">
        <v>145</v>
      </c>
      <c r="G20" s="11" t="s">
        <v>146</v>
      </c>
      <c r="H20" s="6"/>
    </row>
    <row r="21" spans="1:8">
      <c r="A21" s="9" t="s">
        <v>147</v>
      </c>
      <c r="B21" s="10">
        <v>117</v>
      </c>
      <c r="C21" s="6"/>
      <c r="D21" s="6"/>
      <c r="E21" s="6"/>
      <c r="H21" s="6"/>
    </row>
    <row r="22" spans="1:8">
      <c r="A22" s="9" t="s">
        <v>148</v>
      </c>
      <c r="B22" s="10">
        <v>157</v>
      </c>
      <c r="C22" s="6"/>
      <c r="D22" s="6"/>
      <c r="E22" s="6"/>
      <c r="F22" s="12"/>
      <c r="G22" s="13"/>
      <c r="H22" s="6"/>
    </row>
    <row r="23" spans="1:8">
      <c r="A23" s="9" t="s">
        <v>149</v>
      </c>
      <c r="B23" s="10">
        <v>47</v>
      </c>
      <c r="C23" s="6"/>
      <c r="D23" s="6" t="s">
        <v>255</v>
      </c>
      <c r="E23" s="6"/>
      <c r="F23" s="6" t="s">
        <v>256</v>
      </c>
      <c r="G23" s="6"/>
      <c r="H23" s="6"/>
    </row>
    <row r="24" spans="1:8">
      <c r="A24" s="9" t="s">
        <v>150</v>
      </c>
      <c r="B24" s="10">
        <v>68</v>
      </c>
      <c r="C24" s="6"/>
      <c r="D24" s="36">
        <v>2</v>
      </c>
      <c r="E24" s="6"/>
      <c r="F24" s="36">
        <v>2</v>
      </c>
      <c r="G24" s="6"/>
      <c r="H24" s="6"/>
    </row>
    <row r="25" spans="1:8">
      <c r="A25" s="9" t="s">
        <v>151</v>
      </c>
      <c r="B25" s="10">
        <v>34</v>
      </c>
      <c r="C25" s="6"/>
      <c r="D25" s="36">
        <v>3</v>
      </c>
      <c r="E25" s="6"/>
      <c r="F25" s="36">
        <v>3</v>
      </c>
      <c r="G25" s="6"/>
      <c r="H25" s="6"/>
    </row>
    <row r="26" spans="1:8">
      <c r="A26" s="9" t="s">
        <v>152</v>
      </c>
      <c r="B26" s="10">
        <v>34</v>
      </c>
      <c r="C26" s="6"/>
      <c r="D26" s="36">
        <v>4</v>
      </c>
      <c r="E26" s="6"/>
      <c r="F26" s="36">
        <v>4</v>
      </c>
      <c r="G26" s="6"/>
      <c r="H26" s="6"/>
    </row>
    <row r="27" spans="1:8">
      <c r="A27" s="7" t="s">
        <v>153</v>
      </c>
      <c r="B27" s="10"/>
      <c r="C27" s="6"/>
      <c r="D27" s="36">
        <v>5</v>
      </c>
      <c r="E27" s="6"/>
      <c r="F27" s="36">
        <v>5</v>
      </c>
      <c r="G27" s="6"/>
      <c r="H27" s="6"/>
    </row>
    <row r="28" spans="1:8">
      <c r="A28" s="9" t="s">
        <v>154</v>
      </c>
      <c r="B28" s="10">
        <v>29</v>
      </c>
      <c r="C28" s="6"/>
      <c r="D28" s="6"/>
      <c r="E28" s="6"/>
      <c r="F28" s="6"/>
      <c r="G28" s="6"/>
      <c r="H28" s="6"/>
    </row>
    <row r="29" spans="1:8">
      <c r="A29" s="9" t="s">
        <v>155</v>
      </c>
      <c r="B29" s="10">
        <v>175</v>
      </c>
      <c r="C29" s="6"/>
      <c r="D29" s="6"/>
      <c r="E29" s="6"/>
      <c r="F29" s="6"/>
      <c r="G29" s="6"/>
      <c r="H29" s="6"/>
    </row>
    <row r="30" spans="1:8">
      <c r="A30" s="9" t="s">
        <v>156</v>
      </c>
      <c r="B30" s="10">
        <v>250</v>
      </c>
      <c r="C30" s="6"/>
      <c r="D30" s="6"/>
      <c r="E30" s="6"/>
      <c r="F30" s="6"/>
      <c r="G30" s="6"/>
      <c r="H30" s="6"/>
    </row>
    <row r="31" spans="1:8">
      <c r="A31" s="9" t="s">
        <v>157</v>
      </c>
      <c r="B31" s="10">
        <v>375</v>
      </c>
      <c r="C31" s="6" t="s">
        <v>158</v>
      </c>
      <c r="D31" s="6"/>
      <c r="E31" s="6"/>
      <c r="F31" s="6"/>
      <c r="G31" s="6"/>
      <c r="H31" s="6"/>
    </row>
    <row r="32" spans="1:8">
      <c r="A32" s="9" t="s">
        <v>159</v>
      </c>
      <c r="B32" s="10">
        <v>324</v>
      </c>
      <c r="C32" s="6"/>
      <c r="D32" s="6"/>
      <c r="E32" s="6"/>
      <c r="F32" s="6"/>
      <c r="G32" s="6"/>
      <c r="H32" s="6"/>
    </row>
    <row r="33" spans="1:8">
      <c r="A33" s="9" t="s">
        <v>160</v>
      </c>
      <c r="B33" s="10">
        <v>473</v>
      </c>
      <c r="C33" s="6"/>
      <c r="D33" s="6"/>
      <c r="E33" s="6"/>
      <c r="F33" s="6"/>
      <c r="G33" s="6"/>
      <c r="H33" s="6"/>
    </row>
    <row r="34" spans="1:8">
      <c r="A34" s="9" t="s">
        <v>161</v>
      </c>
      <c r="B34" s="10">
        <v>710</v>
      </c>
      <c r="C34" s="6" t="s">
        <v>158</v>
      </c>
      <c r="D34" s="6"/>
      <c r="E34" s="6"/>
      <c r="F34" s="6"/>
      <c r="G34" s="6"/>
      <c r="H34" s="6"/>
    </row>
    <row r="35" spans="1:8">
      <c r="A35" s="9" t="s">
        <v>162</v>
      </c>
      <c r="B35" s="10">
        <v>613</v>
      </c>
      <c r="C35" s="6"/>
      <c r="D35" s="6"/>
      <c r="E35" s="6"/>
      <c r="F35" s="6"/>
      <c r="G35" s="6"/>
      <c r="H35" s="6"/>
    </row>
    <row r="36" spans="1:8">
      <c r="A36" s="9" t="s">
        <v>163</v>
      </c>
      <c r="B36" s="10">
        <v>920</v>
      </c>
      <c r="C36" s="6" t="s">
        <v>158</v>
      </c>
      <c r="D36" s="6"/>
      <c r="E36" s="6"/>
      <c r="F36" s="6"/>
      <c r="G36" s="6"/>
      <c r="H36" s="6"/>
    </row>
    <row r="37" spans="1:8">
      <c r="A37" s="9" t="s">
        <v>164</v>
      </c>
      <c r="B37" s="10">
        <v>840</v>
      </c>
      <c r="C37" s="6"/>
      <c r="D37" s="6"/>
      <c r="E37" s="6"/>
      <c r="F37" s="6"/>
      <c r="G37" s="6"/>
      <c r="H37" s="6"/>
    </row>
    <row r="38" spans="1:8">
      <c r="A38" s="9" t="s">
        <v>165</v>
      </c>
      <c r="B38" s="10">
        <v>1260</v>
      </c>
      <c r="C38" s="6" t="s">
        <v>158</v>
      </c>
      <c r="D38" s="6"/>
      <c r="E38" s="6"/>
      <c r="F38" s="6"/>
      <c r="G38" s="6"/>
      <c r="H38" s="6"/>
    </row>
    <row r="39" spans="1:8">
      <c r="A39" s="9" t="s">
        <v>166</v>
      </c>
      <c r="B39" s="10">
        <v>980</v>
      </c>
      <c r="C39" s="6"/>
      <c r="D39" s="6"/>
      <c r="E39" s="6"/>
      <c r="F39" s="6"/>
      <c r="G39" s="6"/>
      <c r="H39" s="6"/>
    </row>
    <row r="40" spans="1:8">
      <c r="A40" s="9" t="s">
        <v>167</v>
      </c>
      <c r="B40" s="10">
        <v>482</v>
      </c>
      <c r="C40" s="6" t="s">
        <v>158</v>
      </c>
      <c r="D40" s="6"/>
      <c r="E40" s="6"/>
      <c r="F40" s="6"/>
      <c r="G40" s="6"/>
      <c r="H40" s="6"/>
    </row>
    <row r="41" spans="1:8">
      <c r="A41" s="9" t="s">
        <v>168</v>
      </c>
      <c r="B41" s="10">
        <v>689</v>
      </c>
      <c r="C41" s="6" t="s">
        <v>158</v>
      </c>
      <c r="D41" s="6"/>
      <c r="E41" s="6"/>
      <c r="F41" s="6"/>
      <c r="G41" s="6"/>
      <c r="H41" s="6"/>
    </row>
    <row r="42" spans="1:8">
      <c r="A42" s="9" t="s">
        <v>169</v>
      </c>
      <c r="B42" s="10">
        <v>892</v>
      </c>
      <c r="C42" s="6" t="s">
        <v>158</v>
      </c>
      <c r="D42" s="6"/>
      <c r="E42" s="6"/>
      <c r="F42" s="6"/>
      <c r="G42" s="6"/>
      <c r="H42" s="6"/>
    </row>
    <row r="43" spans="1:8">
      <c r="A43" s="9" t="s">
        <v>170</v>
      </c>
      <c r="B43" s="10">
        <v>1301</v>
      </c>
      <c r="C43" s="6"/>
      <c r="D43" s="6"/>
      <c r="E43" s="6"/>
      <c r="F43" s="6"/>
      <c r="G43" s="6"/>
      <c r="H43" s="6"/>
    </row>
    <row r="44" spans="1:8">
      <c r="A44" s="9" t="s">
        <v>171</v>
      </c>
      <c r="B44" s="10">
        <v>1686</v>
      </c>
      <c r="C44" s="6"/>
      <c r="D44" s="6"/>
      <c r="E44" s="6"/>
      <c r="F44" s="6"/>
      <c r="G44" s="6"/>
      <c r="H44" s="6"/>
    </row>
    <row r="45" spans="1:8">
      <c r="A45" s="9" t="s">
        <v>172</v>
      </c>
      <c r="B45" s="10">
        <v>2046</v>
      </c>
      <c r="C45" s="6"/>
      <c r="D45" s="6"/>
      <c r="E45" s="6"/>
      <c r="F45" s="6"/>
      <c r="G45" s="6"/>
      <c r="H45" s="6"/>
    </row>
    <row r="46" spans="1:8">
      <c r="A46" s="9" t="s">
        <v>173</v>
      </c>
      <c r="B46" s="10">
        <v>2310</v>
      </c>
      <c r="C46" s="6"/>
      <c r="D46" s="6"/>
      <c r="E46" s="6"/>
      <c r="F46" s="6"/>
      <c r="G46" s="6"/>
      <c r="H46" s="6"/>
    </row>
    <row r="47" spans="1:8">
      <c r="A47" s="9" t="s">
        <v>174</v>
      </c>
      <c r="B47" s="10">
        <v>2800</v>
      </c>
      <c r="C47" s="6" t="s">
        <v>158</v>
      </c>
      <c r="D47" s="6"/>
      <c r="E47" s="6"/>
      <c r="F47" s="6"/>
      <c r="G47" s="6"/>
      <c r="H47" s="6"/>
    </row>
    <row r="48" spans="1:8">
      <c r="A48" s="9" t="s">
        <v>175</v>
      </c>
      <c r="B48" s="10">
        <v>125</v>
      </c>
      <c r="C48" s="6"/>
      <c r="D48" s="6"/>
      <c r="E48" s="6"/>
      <c r="F48" s="6"/>
      <c r="G48" s="6"/>
      <c r="H48" s="6"/>
    </row>
    <row r="49" spans="1:12">
      <c r="B49" s="224" t="s">
        <v>176</v>
      </c>
      <c r="C49" s="224"/>
    </row>
    <row r="50" spans="1:12">
      <c r="A50" s="9" t="s">
        <v>198</v>
      </c>
      <c r="B50" s="21">
        <v>12</v>
      </c>
    </row>
    <row r="52" spans="1:12">
      <c r="A52" s="103"/>
      <c r="B52" s="103"/>
      <c r="C52" s="103"/>
      <c r="D52" s="103"/>
      <c r="F52" s="225" t="s">
        <v>179</v>
      </c>
      <c r="G52" s="225"/>
    </row>
    <row r="53" spans="1:12">
      <c r="A53" s="53" t="s">
        <v>317</v>
      </c>
      <c r="B53" s="55" t="s">
        <v>177</v>
      </c>
      <c r="C53" s="55" t="s">
        <v>178</v>
      </c>
      <c r="D53" s="103"/>
      <c r="F53" s="1" t="s">
        <v>181</v>
      </c>
      <c r="G53" s="15">
        <f>0.015</f>
        <v>1.4999999999999999E-2</v>
      </c>
      <c r="I53" s="23"/>
      <c r="J53" s="26"/>
      <c r="K53" s="24"/>
      <c r="L53" s="24"/>
    </row>
    <row r="54" spans="1:12">
      <c r="A54" s="100" t="s">
        <v>318</v>
      </c>
      <c r="B54" s="14"/>
      <c r="C54" s="14"/>
      <c r="D54" s="103"/>
      <c r="F54" s="1" t="s">
        <v>183</v>
      </c>
      <c r="G54" s="16">
        <f>0.004275</f>
        <v>4.2750000000000002E-3</v>
      </c>
      <c r="I54" s="23"/>
      <c r="J54" s="26"/>
      <c r="K54" s="24"/>
      <c r="L54" s="24"/>
    </row>
    <row r="55" spans="1:12">
      <c r="A55" s="130" t="s">
        <v>180</v>
      </c>
      <c r="B55" s="131">
        <v>105.36</v>
      </c>
      <c r="C55" s="124">
        <f>B55/2000</f>
        <v>5.2679999999999998E-2</v>
      </c>
      <c r="D55" s="103"/>
      <c r="F55" s="1" t="s">
        <v>185</v>
      </c>
      <c r="G55" s="17"/>
      <c r="I55" s="23"/>
      <c r="J55" s="27"/>
      <c r="K55" s="24"/>
      <c r="L55" s="24"/>
    </row>
    <row r="56" spans="1:12">
      <c r="A56" s="130" t="s">
        <v>182</v>
      </c>
      <c r="B56" s="132">
        <v>108.41</v>
      </c>
      <c r="C56" s="125">
        <f>B56/2000</f>
        <v>5.4204999999999996E-2</v>
      </c>
      <c r="D56" s="103"/>
      <c r="F56" s="1" t="s">
        <v>0</v>
      </c>
      <c r="G56" s="18">
        <f>SUM(G53:G55)</f>
        <v>1.9275E-2</v>
      </c>
      <c r="I56" s="23"/>
      <c r="J56" s="26"/>
      <c r="K56" s="24"/>
      <c r="L56" s="24"/>
    </row>
    <row r="57" spans="1:12">
      <c r="A57" s="9" t="s">
        <v>184</v>
      </c>
      <c r="B57" s="123">
        <f>B56-B55</f>
        <v>3.0499999999999972</v>
      </c>
      <c r="C57" s="126">
        <f>C56-C55</f>
        <v>1.5249999999999986E-3</v>
      </c>
      <c r="D57" s="133">
        <f>B57/B55</f>
        <v>2.8948367501898227E-2</v>
      </c>
      <c r="I57" s="23"/>
      <c r="J57" s="26"/>
      <c r="K57" s="24"/>
      <c r="L57" s="24"/>
    </row>
    <row r="58" spans="1:12">
      <c r="A58" s="60" t="s">
        <v>319</v>
      </c>
      <c r="B58" s="123"/>
      <c r="C58" s="124"/>
      <c r="D58" s="103"/>
      <c r="F58" s="1" t="s">
        <v>186</v>
      </c>
      <c r="G58" s="19">
        <f>1-G56</f>
        <v>0.98072499999999996</v>
      </c>
      <c r="I58" s="23"/>
      <c r="J58" s="26"/>
      <c r="K58" s="24"/>
      <c r="L58" s="24"/>
    </row>
    <row r="59" spans="1:12">
      <c r="A59" s="103" t="s">
        <v>180</v>
      </c>
      <c r="B59" s="134">
        <v>101</v>
      </c>
      <c r="C59" s="124">
        <f>B59/2000</f>
        <v>5.0500000000000003E-2</v>
      </c>
      <c r="D59" s="103"/>
      <c r="I59" s="23"/>
      <c r="J59" s="27"/>
      <c r="K59" s="24"/>
      <c r="L59" s="24"/>
    </row>
    <row r="60" spans="1:12">
      <c r="A60" s="130" t="s">
        <v>182</v>
      </c>
      <c r="B60" s="132">
        <v>104.5</v>
      </c>
      <c r="C60" s="125">
        <f>B60/2000</f>
        <v>5.2249999999999998E-2</v>
      </c>
      <c r="D60" s="103"/>
      <c r="I60" s="24"/>
      <c r="J60" s="24"/>
      <c r="K60" s="24"/>
      <c r="L60" s="24"/>
    </row>
    <row r="61" spans="1:12">
      <c r="A61" s="9" t="s">
        <v>184</v>
      </c>
      <c r="B61" s="123">
        <f>B60-B59</f>
        <v>3.5</v>
      </c>
      <c r="C61" s="126">
        <f>C60-C59</f>
        <v>1.7499999999999946E-3</v>
      </c>
      <c r="D61" s="133">
        <f>B61/B59</f>
        <v>3.4653465346534656E-2</v>
      </c>
      <c r="E61" s="24"/>
      <c r="I61" s="24"/>
      <c r="J61" s="24"/>
      <c r="K61" s="24"/>
      <c r="L61" s="24"/>
    </row>
    <row r="62" spans="1:12" s="56" customFormat="1">
      <c r="A62" s="103"/>
      <c r="B62" s="103"/>
      <c r="C62" s="103"/>
      <c r="D62" s="133"/>
      <c r="E62" s="57"/>
      <c r="I62" s="57"/>
      <c r="J62" s="57"/>
      <c r="K62" s="57"/>
      <c r="L62" s="57"/>
    </row>
    <row r="63" spans="1:12" s="103" customFormat="1">
      <c r="B63" s="55" t="s">
        <v>320</v>
      </c>
      <c r="C63" s="55" t="s">
        <v>319</v>
      </c>
      <c r="E63" s="57"/>
      <c r="I63" s="57"/>
      <c r="J63" s="57"/>
      <c r="K63" s="57"/>
      <c r="L63" s="57"/>
    </row>
    <row r="64" spans="1:12" s="103" customFormat="1">
      <c r="A64" s="103" t="s">
        <v>321</v>
      </c>
      <c r="B64" s="129">
        <f>B57</f>
        <v>3.0499999999999972</v>
      </c>
      <c r="C64" s="129">
        <f>B61</f>
        <v>3.5</v>
      </c>
      <c r="E64" s="57"/>
      <c r="I64" s="57"/>
      <c r="J64" s="57"/>
      <c r="K64" s="57"/>
      <c r="L64" s="57"/>
    </row>
    <row r="65" spans="1:12" s="103" customFormat="1">
      <c r="A65" s="103" t="s">
        <v>284</v>
      </c>
      <c r="B65" s="129">
        <f>B64/$G$58</f>
        <v>3.1099441739529401</v>
      </c>
      <c r="C65" s="129">
        <f>C64/$G$58</f>
        <v>3.5687883963394431</v>
      </c>
      <c r="E65" s="57"/>
      <c r="I65" s="57"/>
      <c r="J65" s="57"/>
      <c r="K65" s="57"/>
      <c r="L65" s="57"/>
    </row>
    <row r="66" spans="1:12" s="103" customFormat="1">
      <c r="A66" s="103" t="s">
        <v>285</v>
      </c>
      <c r="B66" s="43">
        <f>'Disposal Schedule'!L25</f>
        <v>482.78999999999996</v>
      </c>
      <c r="C66" s="43">
        <f>'Disposal Schedule'!E25</f>
        <v>1250.8900000000001</v>
      </c>
      <c r="D66" s="135"/>
      <c r="E66" s="57"/>
      <c r="I66" s="57"/>
      <c r="J66" s="57"/>
      <c r="K66" s="57"/>
      <c r="L66" s="57"/>
    </row>
    <row r="67" spans="1:12" s="103" customFormat="1">
      <c r="A67" s="60" t="s">
        <v>286</v>
      </c>
      <c r="B67" s="136">
        <f>B65*B66</f>
        <v>1501.4499477427398</v>
      </c>
      <c r="C67" s="136">
        <f t="shared" ref="C67" si="0">C65*C66</f>
        <v>4464.1617170970467</v>
      </c>
      <c r="D67" s="136">
        <f>SUM(B67:C67)</f>
        <v>5965.6116648397865</v>
      </c>
      <c r="E67" s="57"/>
      <c r="I67" s="57"/>
      <c r="J67" s="57"/>
      <c r="K67" s="57"/>
      <c r="L67" s="57"/>
    </row>
    <row r="68" spans="1:12" s="103" customFormat="1">
      <c r="E68" s="57"/>
      <c r="I68" s="57"/>
      <c r="J68" s="57"/>
      <c r="K68" s="57"/>
      <c r="L68" s="57"/>
    </row>
    <row r="69" spans="1:12" s="56" customFormat="1" ht="15.75" thickBot="1">
      <c r="B69" s="58"/>
      <c r="C69" s="57"/>
      <c r="D69" s="57"/>
      <c r="E69" s="57"/>
      <c r="I69" s="57"/>
      <c r="J69" s="57"/>
      <c r="K69" s="57"/>
      <c r="L69" s="57"/>
    </row>
    <row r="70" spans="1:12" s="56" customFormat="1">
      <c r="A70" s="110" t="s">
        <v>287</v>
      </c>
      <c r="B70" s="115" t="s">
        <v>288</v>
      </c>
      <c r="C70" s="57"/>
      <c r="D70" s="57"/>
      <c r="E70" s="57"/>
      <c r="I70" s="57"/>
      <c r="J70" s="57"/>
      <c r="K70" s="57"/>
      <c r="L70" s="57"/>
    </row>
    <row r="71" spans="1:12" s="56" customFormat="1">
      <c r="A71" s="111" t="s">
        <v>289</v>
      </c>
      <c r="B71" s="97">
        <f>'Spokane DF Calc'!R48</f>
        <v>5966.5684917164917</v>
      </c>
      <c r="C71" s="57"/>
      <c r="D71" s="57"/>
      <c r="E71" s="57"/>
      <c r="I71" s="57"/>
      <c r="J71" s="57"/>
      <c r="K71" s="57"/>
      <c r="L71" s="57"/>
    </row>
    <row r="72" spans="1:12" s="56" customFormat="1">
      <c r="A72" s="111" t="s">
        <v>290</v>
      </c>
      <c r="B72" s="97">
        <f>B71-D67</f>
        <v>0.95682687670523592</v>
      </c>
      <c r="C72" s="128"/>
      <c r="D72" s="57"/>
      <c r="E72" s="57"/>
      <c r="I72" s="57"/>
      <c r="J72" s="57"/>
      <c r="K72" s="57"/>
      <c r="L72" s="57"/>
    </row>
    <row r="73" spans="1:12" s="56" customFormat="1" ht="15.75" thickBot="1">
      <c r="A73" s="113"/>
      <c r="B73" s="114"/>
      <c r="C73" s="57"/>
      <c r="D73" s="57"/>
      <c r="E73" s="57"/>
      <c r="I73" s="57"/>
      <c r="J73" s="57"/>
      <c r="K73" s="57"/>
      <c r="L73" s="57"/>
    </row>
    <row r="74" spans="1:12">
      <c r="A74" s="24"/>
      <c r="B74" s="34"/>
      <c r="C74" s="21"/>
      <c r="D74" s="24"/>
      <c r="E74" s="24"/>
      <c r="I74" s="21"/>
      <c r="J74" s="21"/>
      <c r="K74" s="24"/>
      <c r="L74" s="24"/>
    </row>
    <row r="75" spans="1:12">
      <c r="A75" s="24"/>
      <c r="B75" s="21"/>
      <c r="C75" s="29"/>
      <c r="D75" s="28"/>
      <c r="E75" s="24"/>
      <c r="I75" s="29"/>
      <c r="J75" s="29"/>
      <c r="K75" s="28"/>
      <c r="L75" s="24"/>
    </row>
    <row r="76" spans="1:12">
      <c r="A76" s="22"/>
      <c r="B76" s="29"/>
      <c r="C76" s="28"/>
      <c r="D76" s="28"/>
      <c r="E76" s="24"/>
      <c r="I76" s="24"/>
      <c r="J76" s="24"/>
      <c r="K76" s="24"/>
      <c r="L76" s="24"/>
    </row>
    <row r="77" spans="1:12">
      <c r="A77" s="24"/>
      <c r="B77" s="24"/>
      <c r="C77" s="24"/>
      <c r="D77" s="24"/>
      <c r="E77" s="24"/>
    </row>
    <row r="78" spans="1:12">
      <c r="A78" s="24"/>
      <c r="B78" s="24"/>
      <c r="C78" s="24"/>
      <c r="D78" s="24"/>
      <c r="E78" s="24"/>
    </row>
    <row r="79" spans="1:12">
      <c r="A79" s="24"/>
      <c r="B79" s="24"/>
      <c r="C79" s="24"/>
      <c r="D79" s="24"/>
      <c r="E79" s="24"/>
    </row>
    <row r="80" spans="1:12">
      <c r="A80" s="22"/>
      <c r="B80" s="30"/>
      <c r="C80" s="24"/>
      <c r="D80" s="24"/>
      <c r="E80" s="24"/>
    </row>
    <row r="81" spans="1:5">
      <c r="A81" s="24"/>
      <c r="B81" s="23"/>
      <c r="C81" s="24"/>
      <c r="D81" s="24"/>
      <c r="E81" s="24"/>
    </row>
    <row r="82" spans="1:5">
      <c r="A82" s="24"/>
      <c r="B82" s="23"/>
      <c r="C82" s="24"/>
      <c r="D82" s="24"/>
      <c r="E82" s="24"/>
    </row>
    <row r="83" spans="1:5">
      <c r="A83" s="24"/>
      <c r="B83" s="24"/>
      <c r="C83" s="24"/>
      <c r="D83" s="24"/>
      <c r="E83" s="24"/>
    </row>
    <row r="84" spans="1:5">
      <c r="A84" s="22"/>
      <c r="B84" s="30"/>
      <c r="C84" s="24"/>
      <c r="D84" s="24"/>
      <c r="E84" s="24"/>
    </row>
    <row r="85" spans="1:5">
      <c r="A85" s="24"/>
      <c r="B85" s="23"/>
      <c r="C85" s="24"/>
      <c r="D85" s="24"/>
      <c r="E85" s="24"/>
    </row>
    <row r="86" spans="1:5">
      <c r="A86" s="25"/>
      <c r="B86" s="23"/>
      <c r="C86" s="24"/>
      <c r="D86" s="24"/>
      <c r="E86" s="24"/>
    </row>
    <row r="87" spans="1:5">
      <c r="A87" s="24"/>
      <c r="B87" s="24"/>
      <c r="C87" s="24"/>
      <c r="D87" s="24"/>
      <c r="E87" s="24"/>
    </row>
    <row r="88" spans="1:5">
      <c r="A88" s="24"/>
      <c r="B88" s="24"/>
      <c r="C88" s="24"/>
      <c r="D88" s="24"/>
      <c r="E88" s="24"/>
    </row>
    <row r="89" spans="1:5">
      <c r="A89" s="24"/>
      <c r="B89" s="24"/>
      <c r="C89" s="24"/>
      <c r="D89" s="24"/>
      <c r="E89" s="24"/>
    </row>
    <row r="90" spans="1:5">
      <c r="A90" s="24"/>
      <c r="B90" s="24"/>
      <c r="C90" s="24"/>
      <c r="D90" s="24"/>
      <c r="E90" s="24"/>
    </row>
    <row r="91" spans="1:5">
      <c r="A91" s="24"/>
      <c r="B91" s="24"/>
      <c r="C91" s="24"/>
      <c r="D91" s="24"/>
      <c r="E91" s="24"/>
    </row>
    <row r="92" spans="1:5">
      <c r="A92" s="24"/>
      <c r="B92" s="24"/>
      <c r="C92" s="24"/>
      <c r="D92" s="24"/>
      <c r="E92" s="24"/>
    </row>
    <row r="93" spans="1:5">
      <c r="A93" s="24"/>
      <c r="B93" s="24"/>
      <c r="C93" s="24"/>
      <c r="D93" s="24"/>
      <c r="E93" s="24"/>
    </row>
    <row r="94" spans="1:5">
      <c r="A94" s="24"/>
      <c r="B94" s="24"/>
      <c r="C94" s="24"/>
      <c r="D94" s="24"/>
      <c r="E94" s="24"/>
    </row>
    <row r="95" spans="1:5">
      <c r="A95" s="24"/>
      <c r="B95" s="24"/>
      <c r="C95" s="24"/>
      <c r="D95" s="24"/>
      <c r="E95" s="24"/>
    </row>
    <row r="96" spans="1:5">
      <c r="A96" s="24"/>
      <c r="B96" s="24"/>
      <c r="C96" s="24"/>
      <c r="D96" s="24"/>
      <c r="E96" s="24"/>
    </row>
    <row r="97" spans="1:5">
      <c r="A97" s="24"/>
      <c r="B97" s="24"/>
      <c r="C97" s="24"/>
      <c r="D97" s="24"/>
      <c r="E97" s="24"/>
    </row>
    <row r="98" spans="1:5">
      <c r="A98" s="24"/>
      <c r="B98" s="24"/>
      <c r="C98" s="24"/>
      <c r="D98" s="24"/>
      <c r="E98" s="24"/>
    </row>
    <row r="99" spans="1:5">
      <c r="A99" s="24"/>
      <c r="B99" s="24"/>
      <c r="C99" s="24"/>
      <c r="D99" s="24"/>
      <c r="E99" s="24"/>
    </row>
    <row r="100" spans="1:5">
      <c r="A100" s="24"/>
      <c r="B100" s="24"/>
      <c r="C100" s="24"/>
      <c r="D100" s="24"/>
      <c r="E100" s="24"/>
    </row>
    <row r="101" spans="1:5">
      <c r="A101" s="24"/>
      <c r="B101" s="24"/>
      <c r="C101" s="24"/>
      <c r="D101" s="24"/>
      <c r="E101" s="24"/>
    </row>
    <row r="102" spans="1:5">
      <c r="A102" s="24"/>
      <c r="B102" s="24"/>
      <c r="C102" s="24"/>
      <c r="D102" s="24"/>
      <c r="E102" s="24"/>
    </row>
    <row r="103" spans="1:5">
      <c r="A103" s="24"/>
      <c r="B103" s="24"/>
      <c r="C103" s="24"/>
      <c r="D103" s="24"/>
      <c r="E103" s="24"/>
    </row>
    <row r="104" spans="1:5">
      <c r="A104" s="24"/>
      <c r="B104" s="24"/>
      <c r="C104" s="24"/>
      <c r="D104" s="24"/>
      <c r="E104" s="24"/>
    </row>
    <row r="105" spans="1:5">
      <c r="A105" s="24"/>
      <c r="B105" s="24"/>
      <c r="C105" s="24"/>
      <c r="D105" s="24"/>
      <c r="E105" s="24"/>
    </row>
    <row r="106" spans="1:5">
      <c r="A106" s="24"/>
      <c r="B106" s="24"/>
      <c r="C106" s="24"/>
      <c r="D106" s="24"/>
      <c r="E106" s="24"/>
    </row>
    <row r="107" spans="1:5">
      <c r="A107" s="24"/>
      <c r="B107" s="24"/>
      <c r="C107" s="24"/>
      <c r="D107" s="24"/>
      <c r="E107" s="24"/>
    </row>
    <row r="108" spans="1:5">
      <c r="A108" s="24"/>
      <c r="B108" s="24"/>
      <c r="C108" s="24"/>
      <c r="D108" s="24"/>
      <c r="E108" s="24"/>
    </row>
    <row r="109" spans="1:5">
      <c r="A109" s="24"/>
      <c r="B109" s="24"/>
      <c r="C109" s="24"/>
      <c r="D109" s="24"/>
      <c r="E109" s="24"/>
    </row>
    <row r="110" spans="1:5">
      <c r="A110" s="24"/>
      <c r="B110" s="24"/>
      <c r="C110" s="24"/>
      <c r="D110" s="24"/>
      <c r="E110" s="24"/>
    </row>
    <row r="111" spans="1:5">
      <c r="A111" s="24"/>
      <c r="B111" s="24"/>
      <c r="C111" s="24"/>
      <c r="D111" s="24"/>
      <c r="E111" s="24"/>
    </row>
    <row r="112" spans="1:5">
      <c r="A112" s="24"/>
      <c r="B112" s="24"/>
      <c r="C112" s="24"/>
      <c r="D112" s="24"/>
      <c r="E112" s="24"/>
    </row>
    <row r="113" spans="1:5">
      <c r="A113" s="24"/>
      <c r="B113" s="24"/>
      <c r="C113" s="24"/>
      <c r="D113" s="24"/>
      <c r="E113" s="24"/>
    </row>
    <row r="114" spans="1:5">
      <c r="A114" s="24"/>
      <c r="B114" s="24"/>
      <c r="C114" s="24"/>
      <c r="D114" s="24"/>
      <c r="E114" s="24"/>
    </row>
    <row r="115" spans="1:5">
      <c r="A115" s="24"/>
      <c r="B115" s="24"/>
      <c r="C115" s="24"/>
      <c r="D115" s="24"/>
      <c r="E115" s="24"/>
    </row>
    <row r="116" spans="1:5">
      <c r="A116" s="24"/>
      <c r="B116" s="24"/>
      <c r="C116" s="24"/>
      <c r="D116" s="24"/>
      <c r="E116" s="24"/>
    </row>
    <row r="117" spans="1:5">
      <c r="A117" s="24"/>
      <c r="B117" s="24"/>
      <c r="C117" s="24"/>
      <c r="D117" s="24"/>
      <c r="E117" s="24"/>
    </row>
    <row r="118" spans="1:5">
      <c r="A118" s="24"/>
      <c r="B118" s="24"/>
      <c r="C118" s="24"/>
      <c r="D118" s="24"/>
      <c r="E118" s="24"/>
    </row>
    <row r="119" spans="1:5">
      <c r="A119" s="24"/>
      <c r="B119" s="24"/>
      <c r="C119" s="24"/>
      <c r="D119" s="24"/>
      <c r="E119" s="24"/>
    </row>
    <row r="120" spans="1:5">
      <c r="A120" s="24"/>
      <c r="B120" s="24"/>
      <c r="C120" s="24"/>
      <c r="D120" s="24"/>
      <c r="E120" s="24"/>
    </row>
    <row r="121" spans="1:5">
      <c r="A121" s="24"/>
      <c r="B121" s="24"/>
      <c r="C121" s="24"/>
      <c r="D121" s="24"/>
      <c r="E121" s="24"/>
    </row>
    <row r="122" spans="1:5">
      <c r="A122" s="24"/>
      <c r="B122" s="24"/>
      <c r="C122" s="24"/>
      <c r="D122" s="24"/>
      <c r="E122" s="24"/>
    </row>
    <row r="123" spans="1:5">
      <c r="A123" s="24"/>
      <c r="B123" s="24"/>
      <c r="C123" s="24"/>
      <c r="D123" s="24"/>
      <c r="E123" s="24"/>
    </row>
    <row r="124" spans="1:5">
      <c r="A124" s="24"/>
      <c r="B124" s="24"/>
      <c r="C124" s="24"/>
      <c r="D124" s="24"/>
      <c r="E124" s="24"/>
    </row>
    <row r="125" spans="1:5">
      <c r="A125" s="24"/>
      <c r="B125" s="24"/>
      <c r="C125" s="24"/>
      <c r="D125" s="24"/>
      <c r="E125" s="24"/>
    </row>
    <row r="126" spans="1:5">
      <c r="A126" s="24"/>
      <c r="B126" s="24"/>
      <c r="C126" s="24"/>
      <c r="D126" s="24"/>
      <c r="E126" s="24"/>
    </row>
    <row r="127" spans="1:5">
      <c r="A127" s="24"/>
      <c r="B127" s="24"/>
      <c r="C127" s="24"/>
      <c r="D127" s="24"/>
      <c r="E127" s="24"/>
    </row>
    <row r="128" spans="1:5">
      <c r="A128" s="24"/>
      <c r="B128" s="24"/>
      <c r="C128" s="24"/>
      <c r="D128" s="24"/>
      <c r="E128" s="24"/>
    </row>
    <row r="129" spans="1:5">
      <c r="A129" s="24"/>
      <c r="B129" s="24"/>
      <c r="C129" s="24"/>
      <c r="D129" s="24"/>
      <c r="E129" s="24"/>
    </row>
    <row r="130" spans="1:5">
      <c r="A130" s="24"/>
      <c r="B130" s="24"/>
      <c r="C130" s="24"/>
      <c r="D130" s="24"/>
      <c r="E130" s="24"/>
    </row>
    <row r="131" spans="1:5">
      <c r="A131" s="24"/>
      <c r="B131" s="24"/>
      <c r="C131" s="24"/>
      <c r="D131" s="24"/>
      <c r="E131" s="24"/>
    </row>
    <row r="132" spans="1:5">
      <c r="A132" s="24"/>
      <c r="B132" s="24"/>
      <c r="C132" s="24"/>
      <c r="D132" s="24"/>
      <c r="E132" s="24"/>
    </row>
    <row r="133" spans="1:5">
      <c r="A133" s="24"/>
      <c r="B133" s="24"/>
      <c r="C133" s="24"/>
      <c r="D133" s="24"/>
      <c r="E133" s="24"/>
    </row>
    <row r="134" spans="1:5">
      <c r="A134" s="24"/>
      <c r="B134" s="24"/>
      <c r="C134" s="24"/>
      <c r="D134" s="24"/>
      <c r="E134" s="24"/>
    </row>
    <row r="135" spans="1:5">
      <c r="A135" s="24"/>
      <c r="B135" s="24"/>
      <c r="C135" s="24"/>
      <c r="D135" s="24"/>
      <c r="E135" s="24"/>
    </row>
    <row r="136" spans="1:5">
      <c r="A136" s="24"/>
      <c r="B136" s="24"/>
      <c r="C136" s="24"/>
      <c r="D136" s="24"/>
      <c r="E136" s="24"/>
    </row>
    <row r="137" spans="1:5">
      <c r="A137" s="24"/>
      <c r="B137" s="24"/>
      <c r="C137" s="24"/>
      <c r="D137" s="24"/>
      <c r="E137" s="24"/>
    </row>
    <row r="138" spans="1:5">
      <c r="A138" s="24"/>
      <c r="B138" s="24"/>
      <c r="C138" s="24"/>
      <c r="D138" s="24"/>
      <c r="E138" s="24"/>
    </row>
    <row r="139" spans="1:5">
      <c r="A139" s="24"/>
      <c r="B139" s="24"/>
      <c r="C139" s="24"/>
      <c r="D139" s="24"/>
      <c r="E139" s="24"/>
    </row>
    <row r="140" spans="1:5">
      <c r="A140" s="24"/>
      <c r="B140" s="24"/>
      <c r="C140" s="24"/>
      <c r="D140" s="24"/>
      <c r="E140" s="24"/>
    </row>
    <row r="141" spans="1:5">
      <c r="A141" s="24"/>
      <c r="B141" s="24"/>
      <c r="C141" s="24"/>
      <c r="D141" s="24"/>
      <c r="E141" s="24"/>
    </row>
    <row r="142" spans="1:5">
      <c r="A142" s="24"/>
      <c r="B142" s="24"/>
      <c r="C142" s="24"/>
      <c r="D142" s="24"/>
      <c r="E142" s="24"/>
    </row>
    <row r="143" spans="1:5">
      <c r="A143" s="24"/>
      <c r="B143" s="24"/>
      <c r="C143" s="24"/>
      <c r="D143" s="24"/>
      <c r="E143" s="24"/>
    </row>
    <row r="144" spans="1:5">
      <c r="A144" s="24"/>
      <c r="B144" s="24"/>
      <c r="C144" s="24"/>
      <c r="D144" s="24"/>
      <c r="E144" s="24"/>
    </row>
    <row r="145" spans="1:5">
      <c r="A145" s="24"/>
      <c r="B145" s="24"/>
      <c r="C145" s="24"/>
      <c r="D145" s="24"/>
      <c r="E145" s="24"/>
    </row>
    <row r="146" spans="1:5">
      <c r="A146" s="24"/>
      <c r="B146" s="24"/>
      <c r="C146" s="24"/>
      <c r="D146" s="24"/>
      <c r="E146" s="24"/>
    </row>
    <row r="147" spans="1:5">
      <c r="A147" s="24"/>
      <c r="B147" s="24"/>
      <c r="C147" s="24"/>
      <c r="D147" s="24"/>
      <c r="E147" s="24"/>
    </row>
    <row r="148" spans="1:5">
      <c r="A148" s="24"/>
      <c r="B148" s="24"/>
      <c r="C148" s="24"/>
      <c r="D148" s="24"/>
      <c r="E148" s="24"/>
    </row>
    <row r="149" spans="1:5">
      <c r="A149" s="24"/>
      <c r="B149" s="24"/>
      <c r="C149" s="24"/>
      <c r="D149" s="24"/>
      <c r="E149" s="24"/>
    </row>
    <row r="150" spans="1:5">
      <c r="A150" s="24"/>
      <c r="B150" s="24"/>
      <c r="C150" s="24"/>
      <c r="D150" s="24"/>
      <c r="E150" s="24"/>
    </row>
    <row r="151" spans="1:5">
      <c r="A151" s="24"/>
      <c r="B151" s="24"/>
      <c r="C151" s="24"/>
      <c r="D151" s="24"/>
      <c r="E151" s="24"/>
    </row>
    <row r="152" spans="1:5">
      <c r="A152" s="24"/>
      <c r="B152" s="24"/>
      <c r="C152" s="24"/>
      <c r="D152" s="24"/>
      <c r="E152" s="24"/>
    </row>
    <row r="153" spans="1:5">
      <c r="A153" s="24"/>
      <c r="B153" s="24"/>
    </row>
  </sheetData>
  <mergeCells count="4">
    <mergeCell ref="A4:H4"/>
    <mergeCell ref="A14:B14"/>
    <mergeCell ref="B49:C49"/>
    <mergeCell ref="F52:G52"/>
  </mergeCells>
  <pageMargins left="0.7" right="0.7" top="0.75" bottom="0.75" header="0.3" footer="0.3"/>
  <pageSetup scale="64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="85" zoomScaleNormal="85" workbookViewId="0">
      <pane xSplit="3" ySplit="5" topLeftCell="D6" activePane="bottomRight" state="frozen"/>
      <selection activeCell="J29" sqref="J29"/>
      <selection pane="topRight" activeCell="J29" sqref="J29"/>
      <selection pane="bottomLeft" activeCell="J29" sqref="J29"/>
      <selection pane="bottomRight" activeCell="J29" sqref="J29"/>
    </sheetView>
  </sheetViews>
  <sheetFormatPr defaultRowHeight="15"/>
  <cols>
    <col min="1" max="1" width="4.140625" style="1" customWidth="1"/>
    <col min="2" max="2" width="7.7109375" style="48" customWidth="1"/>
    <col min="3" max="3" width="26.140625" style="1" customWidth="1"/>
    <col min="4" max="4" width="12.42578125" style="65" customWidth="1"/>
    <col min="5" max="5" width="10.7109375" style="72" customWidth="1"/>
    <col min="6" max="6" width="10.140625" style="65" customWidth="1"/>
    <col min="7" max="7" width="8.5703125" style="65" bestFit="1" customWidth="1"/>
    <col min="8" max="9" width="12" style="65" customWidth="1"/>
    <col min="10" max="11" width="11.5703125" style="79" bestFit="1" customWidth="1"/>
    <col min="12" max="12" width="10.28515625" style="79" bestFit="1" customWidth="1"/>
    <col min="13" max="13" width="12.42578125" style="79" bestFit="1" customWidth="1"/>
    <col min="14" max="15" width="10.85546875" style="79" customWidth="1"/>
    <col min="16" max="17" width="15.42578125" style="79" customWidth="1"/>
    <col min="18" max="18" width="13.42578125" style="79" customWidth="1"/>
    <col min="19" max="19" width="15.140625" style="79" customWidth="1"/>
    <col min="20" max="20" width="11.28515625" style="79" bestFit="1" customWidth="1"/>
    <col min="21" max="21" width="9.140625" style="1"/>
    <col min="27" max="16384" width="9.140625" style="1"/>
  </cols>
  <sheetData>
    <row r="1" spans="1:26" s="59" customFormat="1">
      <c r="A1" s="62" t="s">
        <v>283</v>
      </c>
      <c r="B1" s="48"/>
      <c r="D1" s="65"/>
      <c r="E1" s="72"/>
      <c r="F1" s="65"/>
      <c r="G1" s="65"/>
      <c r="H1" s="65"/>
      <c r="I1" s="65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V1"/>
      <c r="W1"/>
      <c r="X1"/>
      <c r="Y1"/>
      <c r="Z1"/>
    </row>
    <row r="2" spans="1:26" s="59" customFormat="1">
      <c r="A2" s="60" t="s">
        <v>314</v>
      </c>
      <c r="B2" s="48"/>
      <c r="D2" s="65"/>
      <c r="E2" s="72"/>
      <c r="F2" s="65"/>
      <c r="G2" s="65"/>
      <c r="H2" s="65"/>
      <c r="I2" s="65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V2"/>
      <c r="W2"/>
      <c r="X2"/>
      <c r="Y2"/>
      <c r="Z2"/>
    </row>
    <row r="3" spans="1:26" s="59" customFormat="1">
      <c r="A3" s="60" t="s">
        <v>315</v>
      </c>
      <c r="B3" s="48"/>
      <c r="D3" s="65"/>
      <c r="E3" s="72"/>
      <c r="F3" s="65"/>
      <c r="G3" s="65"/>
      <c r="H3" s="65"/>
      <c r="I3" s="65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V3"/>
      <c r="W3"/>
      <c r="X3"/>
      <c r="Y3"/>
      <c r="Z3"/>
    </row>
    <row r="4" spans="1:26" s="59" customFormat="1">
      <c r="A4" s="99"/>
      <c r="B4" s="48"/>
      <c r="D4" s="65"/>
      <c r="E4" s="72"/>
      <c r="F4" s="65"/>
      <c r="G4" s="65"/>
      <c r="H4" s="65"/>
      <c r="I4" s="65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V4"/>
      <c r="W4"/>
      <c r="X4"/>
      <c r="Y4"/>
      <c r="Z4"/>
    </row>
    <row r="5" spans="1:26" ht="45" customHeight="1">
      <c r="A5" s="61"/>
      <c r="B5" s="61" t="s">
        <v>291</v>
      </c>
      <c r="C5" s="61" t="s">
        <v>292</v>
      </c>
      <c r="D5" s="61" t="s">
        <v>189</v>
      </c>
      <c r="E5" s="61" t="s">
        <v>190</v>
      </c>
      <c r="F5" s="61" t="s">
        <v>191</v>
      </c>
      <c r="G5" s="61" t="s">
        <v>136</v>
      </c>
      <c r="H5" s="61" t="s">
        <v>192</v>
      </c>
      <c r="I5" s="61" t="s">
        <v>193</v>
      </c>
      <c r="J5" s="61" t="s">
        <v>184</v>
      </c>
      <c r="K5" s="61" t="s">
        <v>194</v>
      </c>
      <c r="L5" s="61" t="s">
        <v>293</v>
      </c>
      <c r="M5" s="61" t="s">
        <v>195</v>
      </c>
      <c r="N5" s="61" t="s">
        <v>294</v>
      </c>
      <c r="O5" s="61" t="s">
        <v>196</v>
      </c>
      <c r="P5" s="61" t="s">
        <v>197</v>
      </c>
      <c r="Q5" s="61" t="s">
        <v>257</v>
      </c>
      <c r="R5" s="61" t="s">
        <v>295</v>
      </c>
      <c r="S5" s="61" t="s">
        <v>296</v>
      </c>
      <c r="T5" s="61" t="s">
        <v>297</v>
      </c>
    </row>
    <row r="6" spans="1:26" ht="15" customHeight="1">
      <c r="A6" s="226" t="s">
        <v>187</v>
      </c>
      <c r="B6" s="93" t="s">
        <v>361</v>
      </c>
      <c r="C6" s="1" t="s">
        <v>9</v>
      </c>
      <c r="D6" s="65">
        <f>'Spokane Reg - Price out'!M15</f>
        <v>4.0416959026334025</v>
      </c>
      <c r="E6" s="72">
        <f>+References!B10</f>
        <v>4.333333333333333</v>
      </c>
      <c r="F6" s="65">
        <f>D6*E6*References!$B$50</f>
        <v>210.16818693693693</v>
      </c>
      <c r="G6" s="65">
        <f>+References!B16</f>
        <v>20</v>
      </c>
      <c r="H6" s="65">
        <f>F6*G6</f>
        <v>4203.3637387387389</v>
      </c>
      <c r="I6" s="65">
        <f t="shared" ref="I6:I20" si="0">H6*$D$65</f>
        <v>3624.220229352075</v>
      </c>
      <c r="J6" s="79">
        <f>(I6*References!$C$57*'Spokane DF Calc'!$E$71)+('Spokane DF Calc'!I6*References!$C$61*'Spokane DF Calc'!$E$70)</f>
        <v>6.1153014591051456</v>
      </c>
      <c r="K6" s="79">
        <f>J6/References!$G$58</f>
        <v>6.2354905392491737</v>
      </c>
      <c r="L6" s="79">
        <f>K6/F6*E6</f>
        <v>0.12856588524275961</v>
      </c>
      <c r="M6" s="79">
        <f>+'Proposed Rates'!B10</f>
        <v>15.21</v>
      </c>
      <c r="N6" s="79">
        <f>L6+M6</f>
        <v>15.33856588524276</v>
      </c>
      <c r="O6" s="79">
        <f>+'Proposed Rates'!D10</f>
        <v>15.33856588524276</v>
      </c>
      <c r="P6" s="79">
        <f>D6*M6*References!$B$50</f>
        <v>737.69033614864873</v>
      </c>
      <c r="Q6" s="79">
        <f>D6*O6*References!$B$50</f>
        <v>743.92582668789782</v>
      </c>
      <c r="R6" s="79">
        <f>Q6-P6</f>
        <v>6.2354905392490991</v>
      </c>
      <c r="S6" s="79">
        <f>D6*N6*References!$B$50</f>
        <v>743.92582668789782</v>
      </c>
      <c r="T6" s="79">
        <f>Q6-S6</f>
        <v>0</v>
      </c>
    </row>
    <row r="7" spans="1:26">
      <c r="A7" s="227"/>
      <c r="B7" s="93" t="s">
        <v>361</v>
      </c>
      <c r="C7" s="1" t="s">
        <v>11</v>
      </c>
      <c r="D7" s="65">
        <f>'Spokane Reg - Price out'!M16</f>
        <v>4.5833333662844336</v>
      </c>
      <c r="E7" s="72">
        <f>+References!B12</f>
        <v>1</v>
      </c>
      <c r="F7" s="65">
        <f>D7*E7*References!$B$50</f>
        <v>55.000000395413203</v>
      </c>
      <c r="G7" s="65">
        <f>+References!B17</f>
        <v>34</v>
      </c>
      <c r="H7" s="65">
        <f t="shared" ref="H7:H20" si="1">F7*G7</f>
        <v>1870.0000134440488</v>
      </c>
      <c r="I7" s="65">
        <f t="shared" si="0"/>
        <v>1612.3496082797174</v>
      </c>
      <c r="J7" s="79">
        <f>(I7*References!$C$57*'Spokane DF Calc'!$E$71)+('Spokane DF Calc'!I7*References!$C$61*'Spokane DF Calc'!$E$70)</f>
        <v>2.7205863021914922</v>
      </c>
      <c r="K7" s="79">
        <f>J7/References!$G$58</f>
        <v>2.7740562361431516</v>
      </c>
      <c r="L7" s="79">
        <f t="shared" ref="L7:L20" si="2">K7/F7*E7</f>
        <v>5.0437385749082603E-2</v>
      </c>
      <c r="M7" s="79">
        <f>+'Proposed Rates'!B19</f>
        <v>11.86</v>
      </c>
      <c r="N7" s="79">
        <f t="shared" ref="N7:N20" si="3">L7+M7</f>
        <v>11.910437385749082</v>
      </c>
      <c r="O7" s="79">
        <f>+'Proposed Rates'!D19</f>
        <v>11.910437385749082</v>
      </c>
      <c r="P7" s="79">
        <f>D7*M7*References!$B$50</f>
        <v>652.30000468960054</v>
      </c>
      <c r="Q7" s="79">
        <f>D7*O7*References!$B$50</f>
        <v>655.07406092574377</v>
      </c>
      <c r="R7" s="79">
        <f t="shared" ref="R7:R20" si="4">Q7-P7</f>
        <v>2.7740562361432239</v>
      </c>
      <c r="S7" s="79">
        <f>D7*N7*References!$B$50</f>
        <v>655.07406092574377</v>
      </c>
      <c r="T7" s="79">
        <f t="shared" ref="T7:T20" si="5">Q7-S7</f>
        <v>0</v>
      </c>
    </row>
    <row r="8" spans="1:26">
      <c r="A8" s="227"/>
      <c r="B8" s="93" t="s">
        <v>361</v>
      </c>
      <c r="C8" s="1" t="s">
        <v>13</v>
      </c>
      <c r="D8" s="65">
        <f>'Spokane Reg - Price out'!M17</f>
        <v>445.38907581493572</v>
      </c>
      <c r="E8" s="72">
        <f>+References!B10</f>
        <v>4.333333333333333</v>
      </c>
      <c r="F8" s="65">
        <f>D8*E8*References!$B$50</f>
        <v>23160.231942376657</v>
      </c>
      <c r="G8" s="65">
        <f>+References!B17</f>
        <v>34</v>
      </c>
      <c r="H8" s="65">
        <f t="shared" si="1"/>
        <v>787447.8860408063</v>
      </c>
      <c r="I8" s="65">
        <f t="shared" si="0"/>
        <v>678952.55693621084</v>
      </c>
      <c r="J8" s="79">
        <f>(I8*References!$C$57*'Spokane DF Calc'!$E$71)+('Spokane DF Calc'!I8*References!$C$61*'Spokane DF Calc'!$E$70)</f>
        <v>1145.6256240911325</v>
      </c>
      <c r="K8" s="79">
        <f>J8/References!$G$58</f>
        <v>1168.1415525158761</v>
      </c>
      <c r="L8" s="79">
        <f t="shared" si="2"/>
        <v>0.21856200491269126</v>
      </c>
      <c r="M8" s="79">
        <f>+'Proposed Rates'!B11</f>
        <v>18.670000000000002</v>
      </c>
      <c r="N8" s="79">
        <f t="shared" si="3"/>
        <v>18.888562004912693</v>
      </c>
      <c r="O8" s="79">
        <f>+'Proposed Rates'!D11</f>
        <v>18.888562004912693</v>
      </c>
      <c r="P8" s="79">
        <f>D8*M8*References!$B$50</f>
        <v>99784.968545578216</v>
      </c>
      <c r="Q8" s="79">
        <f>D8*O8*References!$B$50</f>
        <v>100953.1100980941</v>
      </c>
      <c r="R8" s="79">
        <f t="shared" si="4"/>
        <v>1168.1415525158809</v>
      </c>
      <c r="S8" s="79">
        <f>D8*N8*References!$B$50</f>
        <v>100953.1100980941</v>
      </c>
      <c r="T8" s="79">
        <f t="shared" si="5"/>
        <v>0</v>
      </c>
    </row>
    <row r="9" spans="1:26">
      <c r="A9" s="227"/>
      <c r="B9" s="93" t="s">
        <v>361</v>
      </c>
      <c r="C9" s="1" t="s">
        <v>15</v>
      </c>
      <c r="D9" s="65">
        <f>'Spokane Reg - Price out'!M18</f>
        <v>136.21806779626158</v>
      </c>
      <c r="E9" s="72">
        <f>+References!B10</f>
        <v>4.333333333333333</v>
      </c>
      <c r="F9" s="65">
        <f>D9*E9*References!$B$50</f>
        <v>7083.3395254056013</v>
      </c>
      <c r="G9" s="65">
        <f>+References!B18</f>
        <v>51</v>
      </c>
      <c r="H9" s="65">
        <f t="shared" si="1"/>
        <v>361250.31579568569</v>
      </c>
      <c r="I9" s="65">
        <f t="shared" si="0"/>
        <v>311476.89891796117</v>
      </c>
      <c r="J9" s="79">
        <f>(I9*References!$C$57*'Spokane DF Calc'!$E$71)+('Spokane DF Calc'!I9*References!$C$61*'Spokane DF Calc'!$E$70)</f>
        <v>525.56826403760863</v>
      </c>
      <c r="K9" s="79">
        <f>J9/References!$G$58</f>
        <v>535.89769205190919</v>
      </c>
      <c r="L9" s="79">
        <f t="shared" si="2"/>
        <v>0.32784300736903704</v>
      </c>
      <c r="M9" s="79">
        <f>+'Proposed Rates'!B12</f>
        <v>26.36</v>
      </c>
      <c r="N9" s="79">
        <f t="shared" si="3"/>
        <v>26.687843007369036</v>
      </c>
      <c r="O9" s="79">
        <f>+'Proposed Rates'!D12</f>
        <v>26.687843007369036</v>
      </c>
      <c r="P9" s="79">
        <f>D9*M9*References!$B$50</f>
        <v>43088.499205313463</v>
      </c>
      <c r="Q9" s="79">
        <f>D9*O9*References!$B$50</f>
        <v>43624.396897365368</v>
      </c>
      <c r="R9" s="79">
        <f t="shared" si="4"/>
        <v>535.89769205190532</v>
      </c>
      <c r="S9" s="79">
        <f>D9*N9*References!$B$50</f>
        <v>43624.396897365368</v>
      </c>
      <c r="T9" s="79">
        <f t="shared" si="5"/>
        <v>0</v>
      </c>
    </row>
    <row r="10" spans="1:26">
      <c r="A10" s="227"/>
      <c r="B10" s="93" t="s">
        <v>361</v>
      </c>
      <c r="C10" s="1" t="s">
        <v>17</v>
      </c>
      <c r="D10" s="65">
        <f>'Spokane Reg - Price out'!M19</f>
        <v>2</v>
      </c>
      <c r="E10" s="72">
        <f>+References!B10</f>
        <v>4.333333333333333</v>
      </c>
      <c r="F10" s="65">
        <f>D10*E10*References!$B$50</f>
        <v>104</v>
      </c>
      <c r="G10" s="65">
        <f>+References!B19</f>
        <v>77</v>
      </c>
      <c r="H10" s="65">
        <f t="shared" si="1"/>
        <v>8008</v>
      </c>
      <c r="I10" s="65">
        <f t="shared" si="0"/>
        <v>6904.6500375815631</v>
      </c>
      <c r="J10" s="79">
        <f>(I10*References!$C$57*'Spokane DF Calc'!$E$71)+('Spokane DF Calc'!I10*References!$C$61*'Spokane DF Calc'!$E$70)</f>
        <v>11.650510669154778</v>
      </c>
      <c r="K10" s="79">
        <f>J10/References!$G$58</f>
        <v>11.879487796430986</v>
      </c>
      <c r="L10" s="79">
        <f t="shared" si="2"/>
        <v>0.49497865818462439</v>
      </c>
      <c r="M10" s="79">
        <f>+'Proposed Rates'!B13</f>
        <v>37.61</v>
      </c>
      <c r="N10" s="79">
        <f t="shared" si="3"/>
        <v>38.104978658184621</v>
      </c>
      <c r="O10" s="79">
        <f>+'Proposed Rates'!D13</f>
        <v>38.104978658184621</v>
      </c>
      <c r="P10" s="79">
        <f>D10*M10*References!$B$50</f>
        <v>902.64</v>
      </c>
      <c r="Q10" s="79">
        <f>D10*O10*References!$B$50</f>
        <v>914.51948779643089</v>
      </c>
      <c r="R10" s="79">
        <f t="shared" si="4"/>
        <v>11.879487796430908</v>
      </c>
      <c r="S10" s="79">
        <f>D10*N10*References!$B$50</f>
        <v>914.51948779643089</v>
      </c>
      <c r="T10" s="79">
        <f t="shared" si="5"/>
        <v>0</v>
      </c>
    </row>
    <row r="11" spans="1:26">
      <c r="A11" s="227"/>
      <c r="B11" s="93" t="s">
        <v>361</v>
      </c>
      <c r="C11" s="1" t="s">
        <v>19</v>
      </c>
      <c r="D11" s="65">
        <f>'Spokane Reg - Price out'!M20</f>
        <v>230.55486637316199</v>
      </c>
      <c r="E11" s="72">
        <f>+References!$B$10</f>
        <v>4.333333333333333</v>
      </c>
      <c r="F11" s="65">
        <f>D11*E11*References!$B$50</f>
        <v>11988.853051404423</v>
      </c>
      <c r="G11" s="65">
        <f>+References!B23</f>
        <v>47</v>
      </c>
      <c r="H11" s="65">
        <f t="shared" si="1"/>
        <v>563476.09341600793</v>
      </c>
      <c r="I11" s="65">
        <f t="shared" si="0"/>
        <v>485839.81388376019</v>
      </c>
      <c r="J11" s="79">
        <f>(I11*References!$C$57*'Spokane DF Calc'!$E$71)+('Spokane DF Calc'!I11*References!$C$61*'Spokane DF Calc'!$E$70)</f>
        <v>819.77825151808884</v>
      </c>
      <c r="K11" s="79">
        <f>J11/References!$G$58</f>
        <v>835.89003188262654</v>
      </c>
      <c r="L11" s="79">
        <f t="shared" si="2"/>
        <v>0.30212983032048507</v>
      </c>
      <c r="M11" s="79">
        <f>+'Proposed Rates'!B17</f>
        <v>28.13</v>
      </c>
      <c r="N11" s="79">
        <f t="shared" si="3"/>
        <v>28.432129830320484</v>
      </c>
      <c r="O11" s="79">
        <f>+'Proposed Rates'!D17</f>
        <v>28.432129830320484</v>
      </c>
      <c r="P11" s="79">
        <f>D11*M11*References!$B$50</f>
        <v>77826.100692924549</v>
      </c>
      <c r="Q11" s="79">
        <f>D11*O11*References!$B$50</f>
        <v>78661.990724807183</v>
      </c>
      <c r="R11" s="79">
        <f t="shared" si="4"/>
        <v>835.8900318826345</v>
      </c>
      <c r="S11" s="79">
        <f>D11*N11*References!$B$50</f>
        <v>78661.990724807183</v>
      </c>
      <c r="T11" s="79">
        <f t="shared" si="5"/>
        <v>0</v>
      </c>
    </row>
    <row r="12" spans="1:26" s="59" customFormat="1">
      <c r="A12" s="227"/>
      <c r="B12" s="93" t="s">
        <v>361</v>
      </c>
      <c r="C12" s="59" t="s">
        <v>269</v>
      </c>
      <c r="D12" s="65">
        <f>'Spokane Reg - Price out'!M21</f>
        <v>0.99981259370314857</v>
      </c>
      <c r="E12" s="127">
        <f>+References!$B$10</f>
        <v>4.333333333333333</v>
      </c>
      <c r="F12" s="68">
        <f>D12*E12*References!$B$50</f>
        <v>51.990254872563725</v>
      </c>
      <c r="G12" s="68">
        <f>+References!B23*2</f>
        <v>94</v>
      </c>
      <c r="H12" s="65">
        <f t="shared" ref="H12" si="6">F12*G12</f>
        <v>4887.0839580209904</v>
      </c>
      <c r="I12" s="65">
        <f t="shared" si="0"/>
        <v>4213.7368174842513</v>
      </c>
      <c r="J12" s="79">
        <f>(I12*References!$C$57*'Spokane DF Calc'!$E$71)+('Spokane DF Calc'!I12*References!$C$61*'Spokane DF Calc'!$E$70)</f>
        <v>7.1100179562910473</v>
      </c>
      <c r="K12" s="79">
        <f>J12/References!$G$58</f>
        <v>7.2497570229075912</v>
      </c>
      <c r="L12" s="79">
        <f t="shared" si="2"/>
        <v>0.60425966064096992</v>
      </c>
      <c r="M12" s="79">
        <f>+'Proposed Rates'!B17*2</f>
        <v>56.26</v>
      </c>
      <c r="N12" s="79">
        <f>L12+M12</f>
        <v>56.864259660640968</v>
      </c>
      <c r="O12" s="79">
        <f>+'Proposed Rates'!D17*2</f>
        <v>56.864259660640968</v>
      </c>
      <c r="P12" s="79">
        <f>D12*M12*References!$B$50</f>
        <v>674.99347826086955</v>
      </c>
      <c r="Q12" s="79">
        <f>D12*O12*References!$B$50</f>
        <v>682.24323528377727</v>
      </c>
      <c r="R12" s="79">
        <f t="shared" si="4"/>
        <v>7.2497570229077155</v>
      </c>
      <c r="S12" s="79">
        <f>D12*N12*References!$B$50</f>
        <v>682.24323528377727</v>
      </c>
      <c r="T12" s="79">
        <f t="shared" si="5"/>
        <v>0</v>
      </c>
      <c r="V12"/>
      <c r="W12"/>
      <c r="X12"/>
      <c r="Y12"/>
      <c r="Z12"/>
    </row>
    <row r="13" spans="1:26">
      <c r="A13" s="227"/>
      <c r="B13" s="93" t="s">
        <v>361</v>
      </c>
      <c r="C13" s="1" t="s">
        <v>21</v>
      </c>
      <c r="D13" s="65">
        <f>'Spokane Reg - Price out'!M22</f>
        <v>306.83345905319698</v>
      </c>
      <c r="E13" s="72">
        <f>+References!B10</f>
        <v>4.333333333333333</v>
      </c>
      <c r="F13" s="65">
        <f>D13*E13*References!$B$50</f>
        <v>15955.339870766242</v>
      </c>
      <c r="G13" s="65">
        <f>+References!$B$24</f>
        <v>68</v>
      </c>
      <c r="H13" s="65">
        <f t="shared" si="1"/>
        <v>1084963.1112121046</v>
      </c>
      <c r="I13" s="65">
        <f t="shared" si="0"/>
        <v>935475.84747818031</v>
      </c>
      <c r="J13" s="79">
        <f>(I13*References!$C$57*'Spokane DF Calc'!$E$71)+('Spokane DF Calc'!I13*References!$C$61*'Spokane DF Calc'!$E$70)</f>
        <v>1578.468319532466</v>
      </c>
      <c r="K13" s="79">
        <f>J13/References!$G$58</f>
        <v>1609.49126363911</v>
      </c>
      <c r="L13" s="79">
        <f t="shared" si="2"/>
        <v>0.43712400982538269</v>
      </c>
      <c r="M13" s="79">
        <f>+'Proposed Rates'!B18</f>
        <v>35.130000000000003</v>
      </c>
      <c r="N13" s="79">
        <f t="shared" si="3"/>
        <v>35.567124009825385</v>
      </c>
      <c r="O13" s="79">
        <f>+'Proposed Rates'!D18</f>
        <v>35.567124009825385</v>
      </c>
      <c r="P13" s="79">
        <f>D13*M13*References!$B$50</f>
        <v>129348.71299846572</v>
      </c>
      <c r="Q13" s="79">
        <f>D13*O13*References!$B$50</f>
        <v>130958.20426210483</v>
      </c>
      <c r="R13" s="79">
        <f t="shared" si="4"/>
        <v>1609.4912636391091</v>
      </c>
      <c r="S13" s="79">
        <f>D13*N13*References!$B$50</f>
        <v>130958.20426210483</v>
      </c>
      <c r="T13" s="79">
        <f t="shared" si="5"/>
        <v>0</v>
      </c>
    </row>
    <row r="14" spans="1:26">
      <c r="A14" s="227"/>
      <c r="B14" s="93" t="s">
        <v>361</v>
      </c>
      <c r="C14" s="1" t="s">
        <v>23</v>
      </c>
      <c r="D14" s="65">
        <f>'Spokane Reg - Price out'!M23</f>
        <v>2.8541669714831461</v>
      </c>
      <c r="E14" s="127">
        <f>+References!$B$10</f>
        <v>4.333333333333333</v>
      </c>
      <c r="F14" s="65">
        <f>D14*E14*References!$B$50</f>
        <v>148.4166825171236</v>
      </c>
      <c r="G14" s="68">
        <f>+References!B24*2</f>
        <v>136</v>
      </c>
      <c r="H14" s="65">
        <f t="shared" si="1"/>
        <v>20184.668822328811</v>
      </c>
      <c r="I14" s="65">
        <f t="shared" si="0"/>
        <v>17403.60568714586</v>
      </c>
      <c r="J14" s="79">
        <f>(I14*References!$C$57*'Spokane DF Calc'!$E$71)+('Spokane DF Calc'!I14*References!$C$61*'Spokane DF Calc'!$E$70)</f>
        <v>29.365846586900307</v>
      </c>
      <c r="K14" s="79">
        <f>J14/References!$G$58</f>
        <v>29.942997870861156</v>
      </c>
      <c r="L14" s="79">
        <f t="shared" si="2"/>
        <v>0.87424801965076526</v>
      </c>
      <c r="M14" s="79">
        <f>+'Proposed Rates'!B18*2</f>
        <v>70.260000000000005</v>
      </c>
      <c r="N14" s="79">
        <f t="shared" si="3"/>
        <v>71.134248019650769</v>
      </c>
      <c r="O14" s="79">
        <f>+'Proposed Rates'!D18*2</f>
        <v>71.134248019650769</v>
      </c>
      <c r="P14" s="79">
        <f>D14*M14*References!$B$50</f>
        <v>2406.4052569968703</v>
      </c>
      <c r="Q14" s="79">
        <f>D14*O14*References!$B$50</f>
        <v>2436.3482548677316</v>
      </c>
      <c r="R14" s="79">
        <f t="shared" si="4"/>
        <v>29.942997870861291</v>
      </c>
      <c r="S14" s="79">
        <f>D14*N14*References!$B$50</f>
        <v>2436.3482548677316</v>
      </c>
      <c r="T14" s="79">
        <f>Q14-S14</f>
        <v>0</v>
      </c>
    </row>
    <row r="15" spans="1:26" s="103" customFormat="1">
      <c r="A15" s="227"/>
      <c r="B15" s="93" t="s">
        <v>361</v>
      </c>
      <c r="C15" s="103" t="s">
        <v>342</v>
      </c>
      <c r="D15" s="65">
        <f>'Spokane Reg - Price out'!M24</f>
        <v>1.125</v>
      </c>
      <c r="E15" s="127">
        <f>+References!$B$10</f>
        <v>4.333333333333333</v>
      </c>
      <c r="F15" s="65">
        <f>D15*E15*References!$B$50</f>
        <v>58.5</v>
      </c>
      <c r="G15" s="65">
        <f>+References!$B$24*3</f>
        <v>204</v>
      </c>
      <c r="H15" s="65">
        <f t="shared" si="1"/>
        <v>11934</v>
      </c>
      <c r="I15" s="65">
        <f t="shared" si="0"/>
        <v>10289.721971590707</v>
      </c>
      <c r="J15" s="79">
        <f>(I15*References!$C$57*'Spokane DF Calc'!$E$71)+('Spokane DF Calc'!I15*References!$C$61*'Spokane DF Calc'!$E$70)</f>
        <v>17.362287003707934</v>
      </c>
      <c r="K15" s="79">
        <f>J15/References!$G$58</f>
        <v>17.703522397927998</v>
      </c>
      <c r="L15" s="79">
        <f t="shared" ref="L15" si="7">K15/F15*E15</f>
        <v>1.3113720294761477</v>
      </c>
      <c r="M15" s="79">
        <f>M13*3</f>
        <v>105.39000000000001</v>
      </c>
      <c r="N15" s="79">
        <f t="shared" ref="N15" si="8">L15+M15</f>
        <v>106.70137202947616</v>
      </c>
      <c r="O15" s="79">
        <f>O13*3</f>
        <v>106.70137202947615</v>
      </c>
      <c r="P15" s="79">
        <f>D15*M15*References!$B$50</f>
        <v>1422.7650000000001</v>
      </c>
      <c r="Q15" s="79">
        <f>D15*O15*References!$B$50</f>
        <v>1440.4685223979279</v>
      </c>
      <c r="R15" s="79">
        <f t="shared" ref="R15" si="9">Q15-P15</f>
        <v>17.703522397927827</v>
      </c>
      <c r="S15" s="79">
        <f>D15*N15*References!$B$50</f>
        <v>1440.4685223979282</v>
      </c>
      <c r="T15" s="79">
        <f>Q15-S15</f>
        <v>0</v>
      </c>
      <c r="V15"/>
      <c r="W15"/>
      <c r="X15"/>
      <c r="Y15"/>
      <c r="Z15"/>
    </row>
    <row r="16" spans="1:26">
      <c r="A16" s="227"/>
      <c r="B16" s="93" t="s">
        <v>362</v>
      </c>
      <c r="C16" s="1" t="s">
        <v>25</v>
      </c>
      <c r="D16" s="65">
        <f>'Spokane Reg - Price out'!M25</f>
        <v>0.16666666666666666</v>
      </c>
      <c r="E16" s="72">
        <f>+References!$B$12</f>
        <v>1</v>
      </c>
      <c r="F16" s="65">
        <f>D16*E16*References!$B$50</f>
        <v>2</v>
      </c>
      <c r="G16" s="65">
        <f>+References!B17</f>
        <v>34</v>
      </c>
      <c r="H16" s="65">
        <f t="shared" si="1"/>
        <v>68</v>
      </c>
      <c r="I16" s="65">
        <f t="shared" si="0"/>
        <v>58.630894425018269</v>
      </c>
      <c r="J16" s="79">
        <f>(I16*References!$C$57*'Spokane DF Calc'!$E$71)+('Spokane DF Calc'!I16*References!$C$61*'Spokane DF Calc'!$E$70)</f>
        <v>9.8930410277538072E-2</v>
      </c>
      <c r="K16" s="79">
        <f>J16/References!$G$58</f>
        <v>0.10087477149816521</v>
      </c>
      <c r="L16" s="79">
        <f t="shared" si="2"/>
        <v>5.0437385749082603E-2</v>
      </c>
      <c r="M16" s="79">
        <f>+'Proposed Rates'!B24</f>
        <v>13.01</v>
      </c>
      <c r="N16" s="79">
        <f t="shared" si="3"/>
        <v>13.060437385749083</v>
      </c>
      <c r="O16" s="79">
        <f>+'Proposed Rates'!D24</f>
        <v>13.060437385749083</v>
      </c>
      <c r="P16" s="79">
        <f>F16*M16</f>
        <v>26.02</v>
      </c>
      <c r="Q16" s="79">
        <f>F16*O16</f>
        <v>26.120874771498166</v>
      </c>
      <c r="R16" s="79">
        <f t="shared" si="4"/>
        <v>0.10087477149816593</v>
      </c>
      <c r="S16" s="79">
        <f>F16*N16</f>
        <v>26.120874771498166</v>
      </c>
      <c r="T16" s="79">
        <f t="shared" si="5"/>
        <v>0</v>
      </c>
    </row>
    <row r="17" spans="1:20">
      <c r="A17" s="227"/>
      <c r="B17" s="93" t="s">
        <v>362</v>
      </c>
      <c r="C17" s="1" t="s">
        <v>27</v>
      </c>
      <c r="D17" s="65">
        <f>'Spokane Reg - Price out'!M26</f>
        <v>120.17369688572182</v>
      </c>
      <c r="E17" s="72">
        <f>+References!$B$12</f>
        <v>1</v>
      </c>
      <c r="F17" s="65">
        <f>D17*E17*References!$B$50</f>
        <v>1442.0843626286619</v>
      </c>
      <c r="G17" s="65">
        <f>+References!B26</f>
        <v>34</v>
      </c>
      <c r="H17" s="65">
        <f t="shared" si="1"/>
        <v>49030.868329374505</v>
      </c>
      <c r="I17" s="65">
        <f t="shared" si="0"/>
        <v>42275.34800862542</v>
      </c>
      <c r="J17" s="79">
        <f>(I17*References!$C$57*'Spokane DF Calc'!$E$71)+('Spokane DF Calc'!I17*References!$C$61*'Spokane DF Calc'!$E$70)</f>
        <v>71.332998824837759</v>
      </c>
      <c r="K17" s="79">
        <f>J17/References!$G$58</f>
        <v>72.734965280621751</v>
      </c>
      <c r="L17" s="79">
        <f t="shared" si="2"/>
        <v>5.043738574908261E-2</v>
      </c>
      <c r="M17" s="79">
        <f>+'Proposed Rates'!B22</f>
        <v>4.4400000000000004</v>
      </c>
      <c r="N17" s="79">
        <f t="shared" si="3"/>
        <v>4.4904373857490834</v>
      </c>
      <c r="O17" s="79">
        <f>+'Proposed Rates'!D22</f>
        <v>4.4904373857490834</v>
      </c>
      <c r="P17" s="79">
        <f t="shared" ref="P17:P20" si="10">F17*M17</f>
        <v>6402.8545700712593</v>
      </c>
      <c r="Q17" s="79">
        <f t="shared" ref="Q17:Q20" si="11">F17*O17</f>
        <v>6475.5895353518818</v>
      </c>
      <c r="R17" s="79">
        <f t="shared" si="4"/>
        <v>72.734965280622419</v>
      </c>
      <c r="S17" s="79">
        <f t="shared" ref="S17:S20" si="12">F17*N17</f>
        <v>6475.5895353518818</v>
      </c>
      <c r="T17" s="79">
        <f t="shared" si="5"/>
        <v>0</v>
      </c>
    </row>
    <row r="18" spans="1:20">
      <c r="A18" s="227"/>
      <c r="B18" s="93" t="s">
        <v>363</v>
      </c>
      <c r="C18" s="1" t="s">
        <v>29</v>
      </c>
      <c r="D18" s="65">
        <f>'Spokane Reg - Price out'!M27</f>
        <v>1.0416861642690693</v>
      </c>
      <c r="E18" s="72">
        <f>+References!$B$12</f>
        <v>1</v>
      </c>
      <c r="F18" s="65">
        <f>D18*E18*References!$B$50</f>
        <v>12.500233971228832</v>
      </c>
      <c r="G18" s="65">
        <f>+References!B48</f>
        <v>125</v>
      </c>
      <c r="H18" s="65">
        <f t="shared" si="1"/>
        <v>1562.529246403604</v>
      </c>
      <c r="I18" s="65">
        <f t="shared" si="0"/>
        <v>1347.2424600278391</v>
      </c>
      <c r="J18" s="79">
        <f>(I18*References!$C$57*'Spokane DF Calc'!$E$71)+('Spokane DF Calc'!I18*References!$C$61*'Spokane DF Calc'!$E$70)</f>
        <v>2.2732596973141312</v>
      </c>
      <c r="K18" s="79">
        <f>J18/References!$G$58</f>
        <v>2.3179379513259386</v>
      </c>
      <c r="L18" s="79">
        <f t="shared" si="2"/>
        <v>0.18543156525398014</v>
      </c>
      <c r="M18" s="80">
        <f>+'Proposed Rates'!B27</f>
        <v>22.61</v>
      </c>
      <c r="N18" s="79">
        <f t="shared" si="3"/>
        <v>22.795431565253981</v>
      </c>
      <c r="O18" s="80">
        <f>'Proposed Rates'!D27</f>
        <v>22.795431565253981</v>
      </c>
      <c r="P18" s="79">
        <f t="shared" si="10"/>
        <v>282.63029008948388</v>
      </c>
      <c r="Q18" s="79">
        <f t="shared" si="11"/>
        <v>284.94822804080985</v>
      </c>
      <c r="R18" s="79">
        <f t="shared" si="4"/>
        <v>2.3179379513259732</v>
      </c>
      <c r="S18" s="79">
        <f t="shared" si="12"/>
        <v>284.94822804080985</v>
      </c>
      <c r="T18" s="79">
        <f t="shared" si="5"/>
        <v>0</v>
      </c>
    </row>
    <row r="19" spans="1:20">
      <c r="A19" s="227"/>
      <c r="B19" s="93" t="s">
        <v>360</v>
      </c>
      <c r="C19" s="1" t="s">
        <v>31</v>
      </c>
      <c r="D19" s="65">
        <f>'Spokane Reg - Price out'!M29</f>
        <v>1.6666666666666665</v>
      </c>
      <c r="E19" s="72">
        <f>+References!$B$12</f>
        <v>1</v>
      </c>
      <c r="F19" s="65">
        <f>D19*E19*References!$B$50</f>
        <v>20</v>
      </c>
      <c r="G19" s="65">
        <f>+References!B26</f>
        <v>34</v>
      </c>
      <c r="H19" s="65">
        <f t="shared" si="1"/>
        <v>680</v>
      </c>
      <c r="I19" s="65">
        <f t="shared" si="0"/>
        <v>586.30894425018266</v>
      </c>
      <c r="J19" s="79">
        <f>(I19*References!$C$57*'Spokane DF Calc'!$E$71)+('Spokane DF Calc'!I19*References!$C$61*'Spokane DF Calc'!$E$70)</f>
        <v>0.98930410277538072</v>
      </c>
      <c r="K19" s="79">
        <f>J19/References!$G$58</f>
        <v>1.0087477149816522</v>
      </c>
      <c r="L19" s="79">
        <f t="shared" si="2"/>
        <v>5.043738574908261E-2</v>
      </c>
      <c r="M19" s="79">
        <f>+'Proposed Rates'!B7</f>
        <v>4.4400000000000004</v>
      </c>
      <c r="N19" s="79">
        <f t="shared" si="3"/>
        <v>4.4904373857490834</v>
      </c>
      <c r="O19" s="79">
        <f>+'Proposed Rates'!D7</f>
        <v>4.4904373857490834</v>
      </c>
      <c r="P19" s="79">
        <f t="shared" si="10"/>
        <v>88.800000000000011</v>
      </c>
      <c r="Q19" s="79">
        <f t="shared" si="11"/>
        <v>89.808747714981664</v>
      </c>
      <c r="R19" s="79">
        <f t="shared" si="4"/>
        <v>1.0087477149816522</v>
      </c>
      <c r="S19" s="79">
        <f t="shared" si="12"/>
        <v>89.808747714981664</v>
      </c>
      <c r="T19" s="79">
        <f t="shared" si="5"/>
        <v>0</v>
      </c>
    </row>
    <row r="20" spans="1:20">
      <c r="A20" s="227"/>
      <c r="B20" s="93" t="s">
        <v>360</v>
      </c>
      <c r="C20" s="1" t="s">
        <v>33</v>
      </c>
      <c r="D20" s="65">
        <f>'Spokane Reg - Price out'!M30</f>
        <v>1.1666666666666667</v>
      </c>
      <c r="E20" s="72">
        <f>+References!$B$12</f>
        <v>1</v>
      </c>
      <c r="F20" s="65">
        <f>D20*E20*References!$B$50</f>
        <v>14</v>
      </c>
      <c r="G20" s="65">
        <f>+References!B26</f>
        <v>34</v>
      </c>
      <c r="H20" s="65">
        <f t="shared" si="1"/>
        <v>476</v>
      </c>
      <c r="I20" s="65">
        <f t="shared" si="0"/>
        <v>410.4162609751279</v>
      </c>
      <c r="J20" s="79">
        <f>(I20*References!$C$57*'Spokane DF Calc'!$E$71)+('Spokane DF Calc'!I20*References!$C$61*'Spokane DF Calc'!$E$70)</f>
        <v>0.69251287194276656</v>
      </c>
      <c r="K20" s="79">
        <f>J20/References!$G$58</f>
        <v>0.70612340048715649</v>
      </c>
      <c r="L20" s="79">
        <f t="shared" si="2"/>
        <v>5.043738574908261E-2</v>
      </c>
      <c r="M20" s="79">
        <f>+'Proposed Rates'!B7</f>
        <v>4.4400000000000004</v>
      </c>
      <c r="N20" s="79">
        <f t="shared" si="3"/>
        <v>4.4904373857490834</v>
      </c>
      <c r="O20" s="79">
        <f>+'Proposed Rates'!D7</f>
        <v>4.4904373857490834</v>
      </c>
      <c r="P20" s="79">
        <f t="shared" si="10"/>
        <v>62.160000000000004</v>
      </c>
      <c r="Q20" s="79">
        <f t="shared" si="11"/>
        <v>62.866123400487169</v>
      </c>
      <c r="R20" s="79">
        <f t="shared" si="4"/>
        <v>0.70612340048716504</v>
      </c>
      <c r="S20" s="79">
        <f t="shared" si="12"/>
        <v>62.866123400487169</v>
      </c>
      <c r="T20" s="79">
        <f t="shared" si="5"/>
        <v>0</v>
      </c>
    </row>
    <row r="21" spans="1:20">
      <c r="A21" s="52"/>
      <c r="B21" s="50"/>
      <c r="C21" s="49" t="s">
        <v>0</v>
      </c>
      <c r="D21" s="66">
        <f>SUM(D6:D20)</f>
        <v>1258.8148609216516</v>
      </c>
      <c r="E21" s="73"/>
      <c r="F21" s="66">
        <f>SUM(F6:F20)</f>
        <v>60306.424111274857</v>
      </c>
      <c r="G21" s="67"/>
      <c r="H21" s="66">
        <f>SUM(H6:H20)</f>
        <v>2900041.9205729156</v>
      </c>
      <c r="I21" s="66">
        <f>SUM(I6:I20)</f>
        <v>2500471.3481358495</v>
      </c>
      <c r="J21" s="81"/>
      <c r="K21" s="81"/>
      <c r="L21" s="82"/>
      <c r="M21" s="82"/>
      <c r="N21" s="82"/>
      <c r="O21" s="82"/>
      <c r="P21" s="66">
        <f>SUM(P6:P20)</f>
        <v>363707.54037853866</v>
      </c>
      <c r="Q21" s="66">
        <f>SUM(Q6:Q20)</f>
        <v>368009.61487961066</v>
      </c>
      <c r="R21" s="66">
        <f>SUM(R6:R20)</f>
        <v>4302.0745010719638</v>
      </c>
      <c r="S21" s="66">
        <f>SUM(S6:S20)</f>
        <v>368009.61487961066</v>
      </c>
      <c r="T21" s="66">
        <f t="shared" ref="T21" si="13">SUM(T6:T20)</f>
        <v>0</v>
      </c>
    </row>
    <row r="22" spans="1:20" ht="15" customHeight="1">
      <c r="A22" s="230" t="s">
        <v>188</v>
      </c>
      <c r="B22" s="93" t="s">
        <v>366</v>
      </c>
      <c r="C22" s="103" t="s">
        <v>44</v>
      </c>
      <c r="D22" s="65">
        <f>'Spokane Reg - Price out'!M41</f>
        <v>23.895844878544381</v>
      </c>
      <c r="E22" s="72">
        <f>+References!B10</f>
        <v>4.333333333333333</v>
      </c>
      <c r="F22" s="65">
        <f>D22*E22*References!$B$50</f>
        <v>1242.5839336843078</v>
      </c>
      <c r="G22" s="65">
        <f>+References!$B$29</f>
        <v>175</v>
      </c>
      <c r="H22" s="65">
        <f t="shared" ref="H22:H46" si="14">F22*G22</f>
        <v>217452.18839475387</v>
      </c>
      <c r="I22" s="65">
        <f t="shared" ref="I22:I46" si="15">H22*$D$65</f>
        <v>187491.41618032349</v>
      </c>
      <c r="J22" s="79">
        <f>(I22*References!$C$57*'Spokane DF Calc'!$E$71)+('Spokane DF Calc'!I22*References!$C$61*'Spokane DF Calc'!$E$70)</f>
        <v>316.36226784766922</v>
      </c>
      <c r="K22" s="79">
        <f>J22/References!$G$58</f>
        <v>322.57999729554075</v>
      </c>
      <c r="L22" s="79">
        <f>K22/F22</f>
        <v>0.25960419135557228</v>
      </c>
      <c r="M22" s="79">
        <f>+'Proposed Rates'!B36</f>
        <v>17.57</v>
      </c>
      <c r="N22" s="79">
        <f t="shared" ref="N22:N46" si="16">L22+M22</f>
        <v>17.829604191355571</v>
      </c>
      <c r="O22" s="79">
        <f>+'Proposed Rates'!D36</f>
        <v>17.829604191355571</v>
      </c>
      <c r="P22" s="79">
        <f>F22*M22</f>
        <v>21832.199714833288</v>
      </c>
      <c r="Q22" s="79">
        <f>F22*O22</f>
        <v>22154.779712128828</v>
      </c>
      <c r="R22" s="79">
        <f>Q22-P22</f>
        <v>322.57999729553921</v>
      </c>
      <c r="S22" s="79">
        <f>F22*N22</f>
        <v>22154.779712128828</v>
      </c>
      <c r="T22" s="79">
        <f>Q22-S22</f>
        <v>0</v>
      </c>
    </row>
    <row r="23" spans="1:20">
      <c r="A23" s="229"/>
      <c r="B23" s="93" t="s">
        <v>366</v>
      </c>
      <c r="C23" s="103" t="s">
        <v>46</v>
      </c>
      <c r="D23" s="65">
        <f>'Spokane Reg - Price out'!M42</f>
        <v>10.979170529698994</v>
      </c>
      <c r="E23" s="72">
        <f>+References!$B$10</f>
        <v>4.333333333333333</v>
      </c>
      <c r="F23" s="65">
        <f>D23*E23*References!$B$50</f>
        <v>570.91686754434772</v>
      </c>
      <c r="G23" s="65">
        <f>+References!$B$30</f>
        <v>250</v>
      </c>
      <c r="H23" s="65">
        <f t="shared" si="14"/>
        <v>142729.21688608694</v>
      </c>
      <c r="I23" s="65">
        <f t="shared" si="15"/>
        <v>123063.84774431909</v>
      </c>
      <c r="J23" s="79">
        <f>(I23*References!$C$57*'Spokane DF Calc'!$E$71)+('Spokane DF Calc'!I23*References!$C$61*'Spokane DF Calc'!$E$70)</f>
        <v>207.65088213429851</v>
      </c>
      <c r="K23" s="79">
        <f>J23/References!$G$58</f>
        <v>211.73201675729538</v>
      </c>
      <c r="L23" s="79">
        <f t="shared" ref="L23:L46" si="17">K23/F23</f>
        <v>0.37086313050796044</v>
      </c>
      <c r="M23" s="79">
        <f>+'Proposed Rates'!B37</f>
        <v>26.33</v>
      </c>
      <c r="N23" s="79">
        <f t="shared" si="16"/>
        <v>26.700863130507958</v>
      </c>
      <c r="O23" s="79">
        <f>+'Proposed Rates'!D37</f>
        <v>26.700863130507958</v>
      </c>
      <c r="P23" s="79">
        <f t="shared" ref="P23:P46" si="18">F23*M23</f>
        <v>15032.241122442674</v>
      </c>
      <c r="Q23" s="79">
        <f t="shared" ref="Q23:Q46" si="19">F23*O23</f>
        <v>15243.97313919997</v>
      </c>
      <c r="R23" s="79">
        <f t="shared" ref="R23:R46" si="20">Q23-P23</f>
        <v>211.73201675729615</v>
      </c>
      <c r="S23" s="79">
        <f t="shared" ref="S23:S46" si="21">F23*N23</f>
        <v>15243.97313919997</v>
      </c>
      <c r="T23" s="79">
        <f t="shared" ref="T23:T46" si="22">Q23-S23</f>
        <v>0</v>
      </c>
    </row>
    <row r="24" spans="1:20">
      <c r="A24" s="229"/>
      <c r="B24" s="93" t="s">
        <v>366</v>
      </c>
      <c r="C24" s="103" t="s">
        <v>48</v>
      </c>
      <c r="D24" s="65">
        <f>'Spokane Reg - Price out'!M43</f>
        <v>0.56244221523668636</v>
      </c>
      <c r="E24" s="127">
        <f>+References!$B$10</f>
        <v>4.333333333333333</v>
      </c>
      <c r="F24" s="68">
        <f>D24*E24*References!$B$50</f>
        <v>29.246995192307686</v>
      </c>
      <c r="G24" s="68">
        <f>+References!B30*2</f>
        <v>500</v>
      </c>
      <c r="H24" s="65">
        <f t="shared" si="14"/>
        <v>14623.497596153844</v>
      </c>
      <c r="I24" s="65">
        <f t="shared" si="15"/>
        <v>12608.657995361831</v>
      </c>
      <c r="J24" s="79">
        <f>(I24*References!$C$57*'Spokane DF Calc'!$E$71)+('Spokane DF Calc'!I24*References!$C$61*'Spokane DF Calc'!$E$70)</f>
        <v>21.275126718824879</v>
      </c>
      <c r="K24" s="79">
        <f>J24/References!$G$58</f>
        <v>21.693264389940992</v>
      </c>
      <c r="L24" s="79">
        <f>K24/(F24*2)</f>
        <v>0.37086313050796044</v>
      </c>
      <c r="M24" s="79">
        <f>+'Proposed Rates'!B37</f>
        <v>26.33</v>
      </c>
      <c r="N24" s="79">
        <f>L24+M24</f>
        <v>26.700863130507958</v>
      </c>
      <c r="O24" s="79">
        <f>+'Proposed Rates'!D37</f>
        <v>26.700863130507958</v>
      </c>
      <c r="P24" s="79">
        <f>F24*2*M24</f>
        <v>1540.1467668269227</v>
      </c>
      <c r="Q24" s="79">
        <f>F24*2*O24</f>
        <v>1561.8400312168637</v>
      </c>
      <c r="R24" s="79">
        <f t="shared" si="20"/>
        <v>21.693264389941078</v>
      </c>
      <c r="S24" s="79">
        <f>F24*2*N24</f>
        <v>1561.8400312168637</v>
      </c>
      <c r="T24" s="79">
        <f t="shared" si="22"/>
        <v>0</v>
      </c>
    </row>
    <row r="25" spans="1:20">
      <c r="A25" s="229"/>
      <c r="B25" s="93" t="s">
        <v>366</v>
      </c>
      <c r="C25" s="103" t="s">
        <v>50</v>
      </c>
      <c r="D25" s="65">
        <f>'Spokane Reg - Price out'!M44</f>
        <v>0.16666666666666666</v>
      </c>
      <c r="E25" s="127">
        <f>+References!$B$10</f>
        <v>4.333333333333333</v>
      </c>
      <c r="F25" s="68">
        <f>D25*E25*References!$B$50</f>
        <v>8.6666666666666643</v>
      </c>
      <c r="G25" s="68">
        <f>+References!B30*3</f>
        <v>750</v>
      </c>
      <c r="H25" s="65">
        <f t="shared" si="14"/>
        <v>6499.9999999999982</v>
      </c>
      <c r="I25" s="65">
        <f t="shared" si="15"/>
        <v>5604.4237318032156</v>
      </c>
      <c r="J25" s="79">
        <f>(I25*References!$C$57*'Spokane DF Calc'!$E$71)+('Spokane DF Calc'!I25*References!$C$61*'Spokane DF Calc'!$E$70)</f>
        <v>9.456583335352903</v>
      </c>
      <c r="K25" s="79">
        <f>J25/References!$G$58</f>
        <v>9.6424413932069672</v>
      </c>
      <c r="L25" s="79">
        <f>K25/(F25*3)</f>
        <v>0.37086313050796038</v>
      </c>
      <c r="M25" s="79">
        <f>+'Proposed Rates'!B37</f>
        <v>26.33</v>
      </c>
      <c r="N25" s="79">
        <f t="shared" si="16"/>
        <v>26.700863130507958</v>
      </c>
      <c r="O25" s="79">
        <f>+'Proposed Rates'!D37</f>
        <v>26.700863130507958</v>
      </c>
      <c r="P25" s="79">
        <f>F25*3*M25</f>
        <v>684.57999999999981</v>
      </c>
      <c r="Q25" s="79">
        <f>F25*3*O25</f>
        <v>694.22244139320674</v>
      </c>
      <c r="R25" s="79">
        <f t="shared" si="20"/>
        <v>9.6424413932069228</v>
      </c>
      <c r="S25" s="79">
        <f>F25*3*N25</f>
        <v>694.22244139320674</v>
      </c>
      <c r="T25" s="79">
        <f t="shared" si="22"/>
        <v>0</v>
      </c>
    </row>
    <row r="26" spans="1:20">
      <c r="A26" s="229"/>
      <c r="B26" s="93" t="s">
        <v>366</v>
      </c>
      <c r="C26" s="103" t="s">
        <v>52</v>
      </c>
      <c r="D26" s="65">
        <f>'Spokane Reg - Price out'!M45</f>
        <v>8.9996862143504632</v>
      </c>
      <c r="E26" s="127">
        <f>+References!$B$10</f>
        <v>4.333333333333333</v>
      </c>
      <c r="F26" s="65">
        <f>D26*E26*References!$B$50</f>
        <v>467.98368314622405</v>
      </c>
      <c r="G26" s="65">
        <f>References!$B$32</f>
        <v>324</v>
      </c>
      <c r="H26" s="65">
        <f t="shared" si="14"/>
        <v>151626.71333937658</v>
      </c>
      <c r="I26" s="65">
        <f t="shared" si="15"/>
        <v>130735.43855608086</v>
      </c>
      <c r="J26" s="79">
        <f>(I26*References!$C$57*'Spokane DF Calc'!$E$71)+('Spokane DF Calc'!I26*References!$C$61*'Spokane DF Calc'!$E$70)</f>
        <v>220.59548470145853</v>
      </c>
      <c r="K26" s="79">
        <f>J26/References!$G$58</f>
        <v>224.93103031069722</v>
      </c>
      <c r="L26" s="79">
        <f t="shared" si="17"/>
        <v>0.48063861713831657</v>
      </c>
      <c r="M26" s="79">
        <f>'Proposed Rates'!B38</f>
        <v>35.01</v>
      </c>
      <c r="N26" s="79">
        <f t="shared" si="16"/>
        <v>35.490638617138316</v>
      </c>
      <c r="O26" s="79">
        <f>'Proposed Rates'!D38</f>
        <v>35.490638617138316</v>
      </c>
      <c r="P26" s="79">
        <f t="shared" si="18"/>
        <v>16384.108746949303</v>
      </c>
      <c r="Q26" s="79">
        <f t="shared" si="19"/>
        <v>16609.039777260001</v>
      </c>
      <c r="R26" s="79">
        <f t="shared" si="20"/>
        <v>224.93103031069768</v>
      </c>
      <c r="S26" s="79">
        <f t="shared" si="21"/>
        <v>16609.039777260001</v>
      </c>
      <c r="T26" s="79">
        <f t="shared" si="22"/>
        <v>0</v>
      </c>
    </row>
    <row r="27" spans="1:20">
      <c r="A27" s="229"/>
      <c r="B27" s="93" t="s">
        <v>366</v>
      </c>
      <c r="C27" s="103" t="s">
        <v>54</v>
      </c>
      <c r="D27" s="65">
        <f>'Spokane Reg - Price out'!M46</f>
        <v>3.3124120519824514</v>
      </c>
      <c r="E27" s="127">
        <f>+References!$B$10</f>
        <v>4.333333333333333</v>
      </c>
      <c r="F27" s="68">
        <f>D27*E27*References!$B$50</f>
        <v>172.24542670308745</v>
      </c>
      <c r="G27" s="65">
        <f>References!$B$33</f>
        <v>473</v>
      </c>
      <c r="H27" s="65">
        <f t="shared" si="14"/>
        <v>81472.086830560365</v>
      </c>
      <c r="I27" s="65">
        <f t="shared" si="15"/>
        <v>70246.784140419215</v>
      </c>
      <c r="J27" s="79">
        <f>(I27*References!$C$57*'Spokane DF Calc'!$E$71)+('Spokane DF Calc'!I27*References!$C$61*'Spokane DF Calc'!$E$70)</f>
        <v>118.530396710508</v>
      </c>
      <c r="K27" s="79">
        <f>J27/References!$G$58</f>
        <v>120.85997268399196</v>
      </c>
      <c r="L27" s="79">
        <f t="shared" si="17"/>
        <v>0.70167304292106103</v>
      </c>
      <c r="M27" s="79">
        <f>'Proposed Rates'!$B$39</f>
        <v>49.16</v>
      </c>
      <c r="N27" s="79">
        <f t="shared" si="16"/>
        <v>49.861673042921055</v>
      </c>
      <c r="O27" s="79">
        <f>'Proposed Rates'!$D$39</f>
        <v>49.861673042921055</v>
      </c>
      <c r="P27" s="79">
        <f t="shared" si="18"/>
        <v>8467.5851767237782</v>
      </c>
      <c r="Q27" s="79">
        <f t="shared" si="19"/>
        <v>8588.4451494077693</v>
      </c>
      <c r="R27" s="79">
        <f t="shared" si="20"/>
        <v>120.85997268399115</v>
      </c>
      <c r="S27" s="79">
        <f t="shared" si="21"/>
        <v>8588.4451494077693</v>
      </c>
      <c r="T27" s="79">
        <f t="shared" si="22"/>
        <v>0</v>
      </c>
    </row>
    <row r="28" spans="1:20">
      <c r="A28" s="229"/>
      <c r="B28" s="93" t="s">
        <v>366</v>
      </c>
      <c r="C28" s="103" t="s">
        <v>56</v>
      </c>
      <c r="D28" s="65">
        <f>'Spokane Reg - Price out'!M47</f>
        <v>2</v>
      </c>
      <c r="E28" s="127">
        <f>+References!$B$10</f>
        <v>4.333333333333333</v>
      </c>
      <c r="F28" s="68">
        <f>D28*E28*References!$B$50</f>
        <v>104</v>
      </c>
      <c r="G28" s="65">
        <f>G27*2</f>
        <v>946</v>
      </c>
      <c r="H28" s="65">
        <f t="shared" si="14"/>
        <v>98384</v>
      </c>
      <c r="I28" s="65">
        <f t="shared" si="15"/>
        <v>84828.557604573492</v>
      </c>
      <c r="J28" s="79">
        <f>(I28*References!$C$57*'Spokane DF Calc'!$E$71)+('Spokane DF Calc'!I28*References!$C$61*'Spokane DF Calc'!$E$70)</f>
        <v>143.13484536390158</v>
      </c>
      <c r="K28" s="79">
        <f>J28/References!$G$58</f>
        <v>145.94799292758071</v>
      </c>
      <c r="L28" s="79">
        <f>K28/(F28*2)</f>
        <v>0.70167304292106114</v>
      </c>
      <c r="M28" s="79">
        <f>'Proposed Rates'!$B$39</f>
        <v>49.16</v>
      </c>
      <c r="N28" s="79">
        <f t="shared" si="16"/>
        <v>49.861673042921055</v>
      </c>
      <c r="O28" s="79">
        <f>'Proposed Rates'!$D$39</f>
        <v>49.861673042921055</v>
      </c>
      <c r="P28" s="79">
        <f>F28*2*M28</f>
        <v>10225.279999999999</v>
      </c>
      <c r="Q28" s="79">
        <f>F28*2*O28</f>
        <v>10371.227992927579</v>
      </c>
      <c r="R28" s="79">
        <f t="shared" si="20"/>
        <v>145.94799292758034</v>
      </c>
      <c r="S28" s="79">
        <f>F28*2*N28</f>
        <v>10371.227992927579</v>
      </c>
      <c r="T28" s="79">
        <f t="shared" si="22"/>
        <v>0</v>
      </c>
    </row>
    <row r="29" spans="1:20">
      <c r="A29" s="229"/>
      <c r="B29" s="93" t="s">
        <v>366</v>
      </c>
      <c r="C29" s="103" t="s">
        <v>58</v>
      </c>
      <c r="D29" s="65">
        <f>'Spokane Reg - Price out'!M48</f>
        <v>5</v>
      </c>
      <c r="E29" s="72">
        <f>+References!$B$10</f>
        <v>4.333333333333333</v>
      </c>
      <c r="F29" s="65">
        <f>D29*E29*References!$B$50</f>
        <v>260</v>
      </c>
      <c r="G29" s="65">
        <f>References!$B$35</f>
        <v>613</v>
      </c>
      <c r="H29" s="65">
        <f t="shared" si="14"/>
        <v>159380</v>
      </c>
      <c r="I29" s="65">
        <f t="shared" si="15"/>
        <v>137420.46990381487</v>
      </c>
      <c r="J29" s="79">
        <f>(I29*References!$C$57*'Spokane DF Calc'!$E$71)+('Spokane DF Calc'!I29*References!$C$61*'Spokane DF Calc'!$E$70)</f>
        <v>231.8754233828532</v>
      </c>
      <c r="K29" s="79">
        <f>J29/References!$G$58</f>
        <v>236.43266296143486</v>
      </c>
      <c r="L29" s="79">
        <f t="shared" si="17"/>
        <v>0.90935639600551865</v>
      </c>
      <c r="M29" s="79">
        <f>'Proposed Rates'!$B$40</f>
        <v>65.11</v>
      </c>
      <c r="N29" s="79">
        <f t="shared" si="16"/>
        <v>66.01935639600552</v>
      </c>
      <c r="O29" s="79">
        <f>'Proposed Rates'!$D$40</f>
        <v>66.01935639600552</v>
      </c>
      <c r="P29" s="79">
        <f t="shared" si="18"/>
        <v>16928.599999999999</v>
      </c>
      <c r="Q29" s="79">
        <f t="shared" si="19"/>
        <v>17165.032662961436</v>
      </c>
      <c r="R29" s="79">
        <f t="shared" si="20"/>
        <v>236.43266296143702</v>
      </c>
      <c r="S29" s="79">
        <f t="shared" si="21"/>
        <v>17165.032662961436</v>
      </c>
      <c r="T29" s="79">
        <f t="shared" si="22"/>
        <v>0</v>
      </c>
    </row>
    <row r="30" spans="1:20">
      <c r="A30" s="229"/>
      <c r="B30" s="93" t="s">
        <v>366</v>
      </c>
      <c r="C30" s="103" t="s">
        <v>60</v>
      </c>
      <c r="D30" s="65">
        <f>'Spokane Reg - Price out'!M49</f>
        <v>0.99999062564448704</v>
      </c>
      <c r="E30" s="72">
        <f>+References!$B$10</f>
        <v>4.333333333333333</v>
      </c>
      <c r="F30" s="65">
        <f>D30*E30*References!$B$50</f>
        <v>51.999512533513325</v>
      </c>
      <c r="G30" s="65">
        <f>G29*2</f>
        <v>1226</v>
      </c>
      <c r="H30" s="65">
        <f t="shared" si="14"/>
        <v>63751.402366087335</v>
      </c>
      <c r="I30" s="65">
        <f t="shared" si="15"/>
        <v>54967.672670190099</v>
      </c>
      <c r="J30" s="79">
        <f>(I30*References!$C$57*'Spokane DF Calc'!$E$71)+('Spokane DF Calc'!I30*References!$C$61*'Spokane DF Calc'!$E$70)</f>
        <v>92.749299880079889</v>
      </c>
      <c r="K30" s="79">
        <f>J30/References!$G$58</f>
        <v>94.572178623038965</v>
      </c>
      <c r="L30" s="79">
        <f>K30/(F30*2)</f>
        <v>0.90935639600551887</v>
      </c>
      <c r="M30" s="79">
        <f>'Proposed Rates'!$B$40</f>
        <v>65.11</v>
      </c>
      <c r="N30" s="79">
        <f t="shared" si="16"/>
        <v>66.01935639600552</v>
      </c>
      <c r="O30" s="79">
        <f>'Proposed Rates'!$D$40</f>
        <v>66.01935639600552</v>
      </c>
      <c r="P30" s="79">
        <f t="shared" ref="P30:P31" si="23">F30*2*M30</f>
        <v>6771.3765221141048</v>
      </c>
      <c r="Q30" s="79">
        <f t="shared" ref="Q30:Q31" si="24">F30*2*O30</f>
        <v>6865.9487007371445</v>
      </c>
      <c r="R30" s="79">
        <f t="shared" ref="R30:R31" si="25">Q30-P30</f>
        <v>94.57217862303969</v>
      </c>
      <c r="S30" s="79">
        <f t="shared" ref="S30:S31" si="26">F30*2*N30</f>
        <v>6865.9487007371445</v>
      </c>
      <c r="T30" s="79">
        <f t="shared" si="22"/>
        <v>0</v>
      </c>
    </row>
    <row r="31" spans="1:20">
      <c r="A31" s="229"/>
      <c r="B31" s="93" t="s">
        <v>366</v>
      </c>
      <c r="C31" s="103" t="s">
        <v>62</v>
      </c>
      <c r="D31" s="65">
        <f>'Spokane Reg - Price out'!M50</f>
        <v>0.99999355761425579</v>
      </c>
      <c r="E31" s="72">
        <f>+References!$B$10</f>
        <v>4.333333333333333</v>
      </c>
      <c r="F31" s="65">
        <f>D31*E31*References!$B$50</f>
        <v>51.999664995941295</v>
      </c>
      <c r="G31" s="65">
        <f>References!B37*2</f>
        <v>1680</v>
      </c>
      <c r="H31" s="65">
        <f t="shared" si="14"/>
        <v>87359.43719318138</v>
      </c>
      <c r="I31" s="65">
        <f t="shared" si="15"/>
        <v>75322.969692682818</v>
      </c>
      <c r="J31" s="79">
        <f>(I31*References!$C$57*'Spokane DF Calc'!$E$71)+('Spokane DF Calc'!I31*References!$C$61*'Spokane DF Calc'!$E$70)</f>
        <v>127.09566122259196</v>
      </c>
      <c r="K31" s="79">
        <f>J31/References!$G$58</f>
        <v>129.59357742750717</v>
      </c>
      <c r="L31" s="79">
        <f>K31/(F31*2)</f>
        <v>1.2461001185067468</v>
      </c>
      <c r="M31" s="79">
        <f>'Proposed Rates'!B41</f>
        <v>94.48</v>
      </c>
      <c r="N31" s="79">
        <f t="shared" si="16"/>
        <v>95.72610011850675</v>
      </c>
      <c r="O31" s="79">
        <f>'Proposed Rates'!D41</f>
        <v>95.72610011850675</v>
      </c>
      <c r="P31" s="79">
        <f t="shared" si="23"/>
        <v>9825.8566976330676</v>
      </c>
      <c r="Q31" s="79">
        <f t="shared" si="24"/>
        <v>9955.4502750605752</v>
      </c>
      <c r="R31" s="79">
        <f t="shared" si="25"/>
        <v>129.59357742750763</v>
      </c>
      <c r="S31" s="79">
        <f t="shared" si="26"/>
        <v>9955.4502750605752</v>
      </c>
      <c r="T31" s="79">
        <f t="shared" si="22"/>
        <v>0</v>
      </c>
    </row>
    <row r="32" spans="1:20">
      <c r="A32" s="229"/>
      <c r="B32" s="93" t="s">
        <v>367</v>
      </c>
      <c r="C32" s="103" t="s">
        <v>64</v>
      </c>
      <c r="D32" s="65">
        <f>'Spokane Reg - Price out'!M51</f>
        <v>11.166758544652701</v>
      </c>
      <c r="E32" s="72">
        <f>+References!B10</f>
        <v>4.333333333333333</v>
      </c>
      <c r="F32" s="65">
        <f>D32*E32*References!$B$50</f>
        <v>580.6714443219405</v>
      </c>
      <c r="G32" s="65">
        <f>References!$B$28</f>
        <v>29</v>
      </c>
      <c r="H32" s="65">
        <f t="shared" si="14"/>
        <v>16839.471885336276</v>
      </c>
      <c r="I32" s="65">
        <f t="shared" si="15"/>
        <v>14519.313210032567</v>
      </c>
      <c r="J32" s="79">
        <f>(I32*References!$C$57*'Spokane DF Calc'!$E$71)+('Spokane DF Calc'!I32*References!$C$61*'Spokane DF Calc'!$E$70)</f>
        <v>24.499056801079199</v>
      </c>
      <c r="K32" s="79">
        <f>J32/References!$G$58</f>
        <v>24.980557037986387</v>
      </c>
      <c r="L32" s="79">
        <f t="shared" si="17"/>
        <v>4.3020123138923408E-2</v>
      </c>
      <c r="M32" s="79">
        <f>'Proposed Rates'!$B$61</f>
        <v>4.24</v>
      </c>
      <c r="N32" s="79">
        <f t="shared" si="16"/>
        <v>4.2830201231389236</v>
      </c>
      <c r="O32" s="79">
        <f>'Proposed Rates'!$D$61</f>
        <v>4.2830201231389236</v>
      </c>
      <c r="P32" s="79">
        <f t="shared" si="18"/>
        <v>2462.0469239250278</v>
      </c>
      <c r="Q32" s="79">
        <f t="shared" si="19"/>
        <v>2487.0274809630141</v>
      </c>
      <c r="R32" s="79">
        <f t="shared" si="20"/>
        <v>24.980557037986273</v>
      </c>
      <c r="S32" s="79">
        <f t="shared" si="21"/>
        <v>2487.0274809630141</v>
      </c>
      <c r="T32" s="79">
        <f t="shared" si="22"/>
        <v>0</v>
      </c>
    </row>
    <row r="33" spans="1:26">
      <c r="A33" s="229"/>
      <c r="B33" s="93" t="s">
        <v>367</v>
      </c>
      <c r="C33" s="103" t="s">
        <v>66</v>
      </c>
      <c r="D33" s="65">
        <f>'Spokane Reg - Price out'!M52</f>
        <v>1.7497120644975528</v>
      </c>
      <c r="E33" s="127">
        <f>+References!$B$10</f>
        <v>4.333333333333333</v>
      </c>
      <c r="F33" s="68">
        <f>D33*E33*References!$B$50</f>
        <v>90.985027353872738</v>
      </c>
      <c r="G33" s="65">
        <f>References!$B$28*2</f>
        <v>58</v>
      </c>
      <c r="H33" s="65">
        <f t="shared" si="14"/>
        <v>5277.1315865246188</v>
      </c>
      <c r="I33" s="65">
        <f t="shared" si="15"/>
        <v>4550.0433075949131</v>
      </c>
      <c r="J33" s="79">
        <f>(I33*References!$C$57*'Spokane DF Calc'!$E$71)+('Spokane DF Calc'!I33*References!$C$61*'Spokane DF Calc'!$E$70)</f>
        <v>7.6774822491681762</v>
      </c>
      <c r="K33" s="79">
        <f>J33/References!$G$58</f>
        <v>7.8283741611238389</v>
      </c>
      <c r="L33" s="79">
        <f>K33/(F33*2)</f>
        <v>4.3020123138923401E-2</v>
      </c>
      <c r="M33" s="79">
        <f>'Proposed Rates'!$B$61</f>
        <v>4.24</v>
      </c>
      <c r="N33" s="79">
        <f t="shared" si="16"/>
        <v>4.2830201231389236</v>
      </c>
      <c r="O33" s="79">
        <f>'Proposed Rates'!$D$61</f>
        <v>4.2830201231389236</v>
      </c>
      <c r="P33" s="79">
        <f>(F33*2)*M33</f>
        <v>771.55303196084083</v>
      </c>
      <c r="Q33" s="79">
        <f>(F33*2)*O33</f>
        <v>779.38140612196469</v>
      </c>
      <c r="R33" s="79">
        <f t="shared" si="20"/>
        <v>7.8283741611238611</v>
      </c>
      <c r="S33" s="79">
        <f>(F33*2)*N33</f>
        <v>779.38140612196469</v>
      </c>
      <c r="T33" s="79">
        <f t="shared" si="22"/>
        <v>0</v>
      </c>
    </row>
    <row r="34" spans="1:26">
      <c r="A34" s="229"/>
      <c r="B34" s="93" t="s">
        <v>367</v>
      </c>
      <c r="C34" s="103" t="s">
        <v>68</v>
      </c>
      <c r="D34" s="65">
        <f>'Spokane Reg - Price out'!M53</f>
        <v>4.084510842900599</v>
      </c>
      <c r="E34" s="127">
        <f>+References!$B$10</f>
        <v>4.333333333333333</v>
      </c>
      <c r="F34" s="65">
        <f>D34*E34*References!$B$50</f>
        <v>212.39456383083112</v>
      </c>
      <c r="G34" s="65">
        <f>References!$B$23</f>
        <v>47</v>
      </c>
      <c r="H34" s="65">
        <f t="shared" si="14"/>
        <v>9982.5445000490618</v>
      </c>
      <c r="I34" s="65">
        <f t="shared" si="15"/>
        <v>8607.139892285637</v>
      </c>
      <c r="J34" s="79">
        <f>(I34*References!$C$57*'Spokane DF Calc'!$E$71)+('Spokane DF Calc'!I34*References!$C$61*'Spokane DF Calc'!$E$70)</f>
        <v>14.523194455935807</v>
      </c>
      <c r="K34" s="79">
        <f>J34/References!$G$58</f>
        <v>14.808630814892867</v>
      </c>
      <c r="L34" s="79">
        <f t="shared" si="17"/>
        <v>6.972226853549654E-2</v>
      </c>
      <c r="M34" s="79">
        <f>'Proposed Rates'!$B$65</f>
        <v>8.2899999999999991</v>
      </c>
      <c r="N34" s="79">
        <f t="shared" si="16"/>
        <v>8.3597222685354957</v>
      </c>
      <c r="O34" s="79">
        <f>'Proposed Rates'!$D$65</f>
        <v>8.3597222685354957</v>
      </c>
      <c r="P34" s="79">
        <f t="shared" si="18"/>
        <v>1760.7509341575899</v>
      </c>
      <c r="Q34" s="79">
        <f t="shared" si="19"/>
        <v>1775.5595649724826</v>
      </c>
      <c r="R34" s="79">
        <f t="shared" si="20"/>
        <v>14.808630814892695</v>
      </c>
      <c r="S34" s="79">
        <f t="shared" si="21"/>
        <v>1775.5595649724826</v>
      </c>
      <c r="T34" s="79">
        <f t="shared" si="22"/>
        <v>0</v>
      </c>
    </row>
    <row r="35" spans="1:26">
      <c r="A35" s="229"/>
      <c r="B35" s="93" t="s">
        <v>367</v>
      </c>
      <c r="C35" s="103" t="s">
        <v>70</v>
      </c>
      <c r="D35" s="65">
        <f>'Spokane Reg - Price out'!M54</f>
        <v>5.4687699577128779</v>
      </c>
      <c r="E35" s="127">
        <f>+References!$B$10</f>
        <v>4.333333333333333</v>
      </c>
      <c r="F35" s="65">
        <f>D35*E35*References!$B$50</f>
        <v>284.37603780106963</v>
      </c>
      <c r="G35" s="65">
        <f>References!$B$24</f>
        <v>68</v>
      </c>
      <c r="H35" s="65">
        <f t="shared" si="14"/>
        <v>19337.570570472733</v>
      </c>
      <c r="I35" s="65">
        <f t="shared" si="15"/>
        <v>16673.221449319517</v>
      </c>
      <c r="J35" s="79">
        <f>(I35*References!$C$57*'Spokane DF Calc'!$E$71)+('Spokane DF Calc'!I35*References!$C$61*'Spokane DF Calc'!$E$70)</f>
        <v>28.133438092760493</v>
      </c>
      <c r="K35" s="79">
        <f>J35/References!$G$58</f>
        <v>28.68636783273649</v>
      </c>
      <c r="L35" s="79">
        <f t="shared" si="17"/>
        <v>0.10087477149816521</v>
      </c>
      <c r="M35" s="79">
        <f>'Proposed Rates'!$B$69</f>
        <v>10.17</v>
      </c>
      <c r="N35" s="79">
        <f t="shared" si="16"/>
        <v>10.270874771498166</v>
      </c>
      <c r="O35" s="79">
        <f>'Proposed Rates'!$D$69</f>
        <v>10.270874771498166</v>
      </c>
      <c r="P35" s="79">
        <f t="shared" si="18"/>
        <v>2892.104304436878</v>
      </c>
      <c r="Q35" s="79">
        <f t="shared" si="19"/>
        <v>2920.7906722696148</v>
      </c>
      <c r="R35" s="79">
        <f t="shared" si="20"/>
        <v>28.686367832736778</v>
      </c>
      <c r="S35" s="79">
        <f t="shared" si="21"/>
        <v>2920.7906722696148</v>
      </c>
      <c r="T35" s="79">
        <f t="shared" si="22"/>
        <v>0</v>
      </c>
    </row>
    <row r="36" spans="1:26">
      <c r="A36" s="229"/>
      <c r="B36" s="93" t="s">
        <v>367</v>
      </c>
      <c r="C36" s="103" t="s">
        <v>72</v>
      </c>
      <c r="D36" s="65">
        <f>'Spokane Reg - Price out'!M55</f>
        <v>0.41666666666666669</v>
      </c>
      <c r="E36" s="127">
        <f>+References!$B$10</f>
        <v>4.333333333333333</v>
      </c>
      <c r="F36" s="65">
        <f>D36*E36*References!$B$50</f>
        <v>21.666666666666668</v>
      </c>
      <c r="G36" s="65">
        <f>References!$B$24*2</f>
        <v>136</v>
      </c>
      <c r="H36" s="65">
        <f t="shared" si="14"/>
        <v>2946.666666666667</v>
      </c>
      <c r="I36" s="65">
        <f t="shared" si="15"/>
        <v>2540.6720917507919</v>
      </c>
      <c r="J36" s="79">
        <f>(I36*References!$C$57*'Spokane DF Calc'!$E$71)+('Spokane DF Calc'!I36*References!$C$61*'Spokane DF Calc'!$E$70)</f>
        <v>4.2869844453599839</v>
      </c>
      <c r="K36" s="79">
        <f>J36/References!$G$58</f>
        <v>4.3712400982538266</v>
      </c>
      <c r="L36" s="79">
        <f>K36/(F36*2)</f>
        <v>0.10087477149816522</v>
      </c>
      <c r="M36" s="79">
        <f>M35</f>
        <v>10.17</v>
      </c>
      <c r="N36" s="79">
        <f t="shared" si="16"/>
        <v>10.270874771498166</v>
      </c>
      <c r="O36" s="79">
        <f>O35</f>
        <v>10.270874771498166</v>
      </c>
      <c r="P36" s="79">
        <f>F36*2*M36</f>
        <v>440.70000000000005</v>
      </c>
      <c r="Q36" s="79">
        <f>F36*2*O36</f>
        <v>445.0712400982539</v>
      </c>
      <c r="R36" s="79">
        <f t="shared" ref="R36" si="27">Q36-P36</f>
        <v>4.3712400982538497</v>
      </c>
      <c r="S36" s="79">
        <f>F36*2*N36</f>
        <v>445.0712400982539</v>
      </c>
      <c r="T36" s="79">
        <f t="shared" si="22"/>
        <v>0</v>
      </c>
    </row>
    <row r="37" spans="1:26">
      <c r="A37" s="229"/>
      <c r="B37" s="93" t="s">
        <v>367</v>
      </c>
      <c r="C37" s="103" t="s">
        <v>74</v>
      </c>
      <c r="D37" s="65">
        <f>'Spokane Reg - Price out'!M56</f>
        <v>0.41666666666666663</v>
      </c>
      <c r="E37" s="127">
        <f>References!$B$12</f>
        <v>1</v>
      </c>
      <c r="F37" s="68">
        <f>D37*E37*References!$B$50</f>
        <v>5</v>
      </c>
      <c r="G37" s="65">
        <f>References!$B$28</f>
        <v>29</v>
      </c>
      <c r="H37" s="65">
        <f t="shared" si="14"/>
        <v>145</v>
      </c>
      <c r="I37" s="65">
        <f t="shared" si="15"/>
        <v>125.02176017099484</v>
      </c>
      <c r="J37" s="79">
        <f>(I37*References!$C$57*'Spokane DF Calc'!$E$71)+('Spokane DF Calc'!I37*References!$C$61*'Spokane DF Calc'!$E$70)</f>
        <v>0.21095455132710328</v>
      </c>
      <c r="K37" s="79">
        <f>J37/References!$G$58</f>
        <v>0.21510061569461703</v>
      </c>
      <c r="L37" s="79">
        <f>K37/(F37)</f>
        <v>4.3020123138923408E-2</v>
      </c>
      <c r="M37" s="79">
        <f>'Proposed Rates'!$B$61</f>
        <v>4.24</v>
      </c>
      <c r="N37" s="79">
        <f t="shared" si="16"/>
        <v>4.2830201231389236</v>
      </c>
      <c r="O37" s="79">
        <f>'Proposed Rates'!$D$61</f>
        <v>4.2830201231389236</v>
      </c>
      <c r="P37" s="79">
        <f>F37*2*M37</f>
        <v>42.400000000000006</v>
      </c>
      <c r="Q37" s="79">
        <f>F37*2*O37</f>
        <v>42.830201231389239</v>
      </c>
      <c r="R37" s="79">
        <f t="shared" si="20"/>
        <v>0.43020123138923339</v>
      </c>
      <c r="S37" s="79">
        <f>F37*2*N37</f>
        <v>42.830201231389239</v>
      </c>
      <c r="T37" s="79">
        <f t="shared" si="22"/>
        <v>0</v>
      </c>
    </row>
    <row r="38" spans="1:26">
      <c r="A38" s="229"/>
      <c r="B38" s="93" t="s">
        <v>366</v>
      </c>
      <c r="C38" s="103" t="s">
        <v>78</v>
      </c>
      <c r="D38" s="65">
        <f>'Spokane Reg - Price out'!M57</f>
        <v>0.25</v>
      </c>
      <c r="E38" s="127">
        <f>References!$B$12</f>
        <v>1</v>
      </c>
      <c r="F38" s="65">
        <f>D38*E38*References!$B$50</f>
        <v>3</v>
      </c>
      <c r="G38" s="65">
        <f>+References!$B$29</f>
        <v>175</v>
      </c>
      <c r="H38" s="65">
        <f t="shared" si="14"/>
        <v>525</v>
      </c>
      <c r="I38" s="65">
        <f t="shared" si="15"/>
        <v>452.66499372256754</v>
      </c>
      <c r="J38" s="79">
        <f>(I38*References!$C$57*'Spokane DF Calc'!$E$71)+('Spokane DF Calc'!I38*References!$C$61*'Spokane DF Calc'!$E$70)</f>
        <v>0.76380096170158074</v>
      </c>
      <c r="K38" s="79">
        <f>J38/References!$G$58</f>
        <v>0.77881257406671678</v>
      </c>
      <c r="L38" s="79">
        <f t="shared" si="17"/>
        <v>0.25960419135557228</v>
      </c>
      <c r="M38" s="79">
        <f>'Proposed Rates'!$B$44</f>
        <v>47.24</v>
      </c>
      <c r="N38" s="79">
        <f t="shared" si="16"/>
        <v>47.499604191355573</v>
      </c>
      <c r="O38" s="79">
        <f>'Proposed Rates'!$D$44</f>
        <v>47.499604191355573</v>
      </c>
      <c r="P38" s="79">
        <f t="shared" si="18"/>
        <v>141.72</v>
      </c>
      <c r="Q38" s="79">
        <f t="shared" si="19"/>
        <v>142.49881257406673</v>
      </c>
      <c r="R38" s="79">
        <f t="shared" si="20"/>
        <v>0.77881257406673399</v>
      </c>
      <c r="S38" s="79">
        <f t="shared" si="21"/>
        <v>142.49881257406673</v>
      </c>
      <c r="T38" s="79">
        <f t="shared" si="22"/>
        <v>0</v>
      </c>
    </row>
    <row r="39" spans="1:26">
      <c r="A39" s="229"/>
      <c r="B39" s="93" t="s">
        <v>366</v>
      </c>
      <c r="C39" s="103" t="s">
        <v>80</v>
      </c>
      <c r="D39" s="65">
        <f>'Spokane Reg - Price out'!M58</f>
        <v>0.41666666666666663</v>
      </c>
      <c r="E39" s="127">
        <f>References!$B$12</f>
        <v>1</v>
      </c>
      <c r="F39" s="65">
        <f>D39*E39*References!$B$50</f>
        <v>5</v>
      </c>
      <c r="G39" s="65">
        <f>+References!$B$30</f>
        <v>250</v>
      </c>
      <c r="H39" s="65">
        <f t="shared" si="14"/>
        <v>1250</v>
      </c>
      <c r="I39" s="65">
        <f t="shared" si="15"/>
        <v>1077.7737945775418</v>
      </c>
      <c r="J39" s="79">
        <f>(I39*References!$C$57*'Spokane DF Calc'!$E$71)+('Spokane DF Calc'!I39*References!$C$61*'Spokane DF Calc'!$E$70)</f>
        <v>1.8185737183370974</v>
      </c>
      <c r="K39" s="79">
        <f>J39/References!$G$58</f>
        <v>1.8543156525398021</v>
      </c>
      <c r="L39" s="79">
        <f t="shared" si="17"/>
        <v>0.37086313050796044</v>
      </c>
      <c r="M39" s="79">
        <f>'Proposed Rates'!$B$45</f>
        <v>67.13</v>
      </c>
      <c r="N39" s="79">
        <f t="shared" si="16"/>
        <v>67.500863130507952</v>
      </c>
      <c r="O39" s="79">
        <f>'Proposed Rates'!$D$45</f>
        <v>67.500863130507952</v>
      </c>
      <c r="P39" s="79">
        <f t="shared" si="18"/>
        <v>335.65</v>
      </c>
      <c r="Q39" s="79">
        <f t="shared" si="19"/>
        <v>337.50431565253973</v>
      </c>
      <c r="R39" s="79">
        <f t="shared" si="20"/>
        <v>1.8543156525397535</v>
      </c>
      <c r="S39" s="79">
        <f t="shared" si="21"/>
        <v>337.50431565253973</v>
      </c>
      <c r="T39" s="79">
        <f t="shared" si="22"/>
        <v>0</v>
      </c>
    </row>
    <row r="40" spans="1:26">
      <c r="A40" s="229"/>
      <c r="B40" s="93" t="s">
        <v>366</v>
      </c>
      <c r="C40" s="103" t="s">
        <v>84</v>
      </c>
      <c r="D40" s="65">
        <f>'Spokane Reg - Price out'!M59</f>
        <v>8.3333333333333329E-2</v>
      </c>
      <c r="E40" s="127">
        <f>References!$B$12</f>
        <v>1</v>
      </c>
      <c r="F40" s="65">
        <f>D40*E40*References!$B$50</f>
        <v>1</v>
      </c>
      <c r="G40" s="65">
        <f>+References!$B$29</f>
        <v>175</v>
      </c>
      <c r="H40" s="65">
        <f t="shared" si="14"/>
        <v>175</v>
      </c>
      <c r="I40" s="65">
        <f t="shared" si="15"/>
        <v>150.88833124085585</v>
      </c>
      <c r="J40" s="79">
        <f>(I40*References!$C$57*'Spokane DF Calc'!$E$71)+('Spokane DF Calc'!I40*References!$C$61*'Spokane DF Calc'!$E$70)</f>
        <v>0.25460032056719362</v>
      </c>
      <c r="K40" s="79">
        <f>J40/References!$G$58</f>
        <v>0.25960419135557228</v>
      </c>
      <c r="L40" s="79">
        <f t="shared" si="17"/>
        <v>0.25960419135557228</v>
      </c>
      <c r="M40" s="79">
        <f>'Proposed Rates'!$B$52</f>
        <v>21.53</v>
      </c>
      <c r="N40" s="79">
        <f t="shared" si="16"/>
        <v>21.789604191355572</v>
      </c>
      <c r="O40" s="79">
        <f>'Proposed Rates'!$D$52</f>
        <v>21.789604191355572</v>
      </c>
      <c r="P40" s="79">
        <f t="shared" si="18"/>
        <v>21.53</v>
      </c>
      <c r="Q40" s="79">
        <f t="shared" si="19"/>
        <v>21.789604191355572</v>
      </c>
      <c r="R40" s="79">
        <f t="shared" si="20"/>
        <v>0.25960419135557089</v>
      </c>
      <c r="S40" s="79">
        <f t="shared" si="21"/>
        <v>21.789604191355572</v>
      </c>
      <c r="T40" s="79">
        <f t="shared" si="22"/>
        <v>0</v>
      </c>
    </row>
    <row r="41" spans="1:26">
      <c r="A41" s="229"/>
      <c r="B41" s="93" t="s">
        <v>366</v>
      </c>
      <c r="C41" s="103" t="s">
        <v>82</v>
      </c>
      <c r="D41" s="65">
        <f>'Spokane Reg - Price out'!M60</f>
        <v>0.16666666666666666</v>
      </c>
      <c r="E41" s="127">
        <f>References!$B$12</f>
        <v>1</v>
      </c>
      <c r="F41" s="68">
        <f>D41*E41*References!$B$50</f>
        <v>2</v>
      </c>
      <c r="G41" s="65">
        <f>+References!$B$30</f>
        <v>250</v>
      </c>
      <c r="H41" s="65">
        <f t="shared" si="14"/>
        <v>500</v>
      </c>
      <c r="I41" s="65">
        <f t="shared" si="15"/>
        <v>431.10951783101672</v>
      </c>
      <c r="J41" s="79">
        <f>(I41*References!$C$57*'Spokane DF Calc'!$E$71)+('Spokane DF Calc'!I41*References!$C$61*'Spokane DF Calc'!$E$70)</f>
        <v>0.72742948733483892</v>
      </c>
      <c r="K41" s="79">
        <f>J41/References!$G$58</f>
        <v>0.74172626101592087</v>
      </c>
      <c r="L41" s="79">
        <f>K41/(F41)</f>
        <v>0.37086313050796044</v>
      </c>
      <c r="M41" s="79">
        <f>'Proposed Rates'!$B$53</f>
        <v>32.409999999999997</v>
      </c>
      <c r="N41" s="79">
        <f t="shared" si="16"/>
        <v>32.78086313050796</v>
      </c>
      <c r="O41" s="79">
        <f>'Proposed Rates'!$D$53</f>
        <v>32.78086313050796</v>
      </c>
      <c r="P41" s="79">
        <f>F41*2*M41</f>
        <v>129.63999999999999</v>
      </c>
      <c r="Q41" s="79">
        <f>F41*2*O41</f>
        <v>131.12345252203184</v>
      </c>
      <c r="R41" s="79">
        <f t="shared" si="20"/>
        <v>1.483452522031854</v>
      </c>
      <c r="S41" s="79">
        <f>F41*2*N41</f>
        <v>131.12345252203184</v>
      </c>
      <c r="T41" s="79">
        <f t="shared" si="22"/>
        <v>0</v>
      </c>
    </row>
    <row r="42" spans="1:26">
      <c r="A42" s="229"/>
      <c r="B42" s="93" t="s">
        <v>366</v>
      </c>
      <c r="C42" s="103" t="s">
        <v>86</v>
      </c>
      <c r="D42" s="65">
        <f>'Spokane Reg - Price out'!M61</f>
        <v>1.4166666666666667</v>
      </c>
      <c r="E42" s="127">
        <f>References!$B$12</f>
        <v>1</v>
      </c>
      <c r="F42" s="65">
        <f>D42*E42*References!$B$50</f>
        <v>17</v>
      </c>
      <c r="G42" s="65">
        <f>References!$B$32</f>
        <v>324</v>
      </c>
      <c r="H42" s="65">
        <f t="shared" si="14"/>
        <v>5508</v>
      </c>
      <c r="I42" s="65">
        <f t="shared" si="15"/>
        <v>4749.1024484264799</v>
      </c>
      <c r="J42" s="79">
        <f>(I42*References!$C$57*'Spokane DF Calc'!$E$71)+('Spokane DF Calc'!I42*References!$C$61*'Spokane DF Calc'!$E$70)</f>
        <v>8.0133632324805841</v>
      </c>
      <c r="K42" s="79">
        <f>J42/References!$G$58</f>
        <v>8.1708564913513833</v>
      </c>
      <c r="L42" s="79">
        <f t="shared" si="17"/>
        <v>0.48063861713831668</v>
      </c>
      <c r="M42" s="79">
        <f>'Proposed Rates'!$B$54</f>
        <v>41.53</v>
      </c>
      <c r="N42" s="79">
        <f t="shared" si="16"/>
        <v>42.010638617138319</v>
      </c>
      <c r="O42" s="79">
        <f>'Proposed Rates'!$D$54</f>
        <v>42.010638617138319</v>
      </c>
      <c r="P42" s="79">
        <f t="shared" si="18"/>
        <v>706.01</v>
      </c>
      <c r="Q42" s="79">
        <f t="shared" si="19"/>
        <v>714.18085649135139</v>
      </c>
      <c r="R42" s="79">
        <f t="shared" si="20"/>
        <v>8.170856491351401</v>
      </c>
      <c r="S42" s="79">
        <f t="shared" si="21"/>
        <v>714.18085649135139</v>
      </c>
      <c r="T42" s="79">
        <f t="shared" si="22"/>
        <v>0</v>
      </c>
    </row>
    <row r="43" spans="1:26">
      <c r="A43" s="229"/>
      <c r="B43" s="93" t="s">
        <v>366</v>
      </c>
      <c r="C43" s="103" t="s">
        <v>88</v>
      </c>
      <c r="D43" s="65">
        <f>'Spokane Reg - Price out'!M62</f>
        <v>0.16666666666666666</v>
      </c>
      <c r="E43" s="127">
        <f>References!$B$12</f>
        <v>1</v>
      </c>
      <c r="F43" s="65">
        <f>D43*E43*References!$B$50</f>
        <v>2</v>
      </c>
      <c r="G43" s="65">
        <f>References!$B$33</f>
        <v>473</v>
      </c>
      <c r="H43" s="65">
        <f t="shared" si="14"/>
        <v>946</v>
      </c>
      <c r="I43" s="65">
        <f t="shared" si="15"/>
        <v>815.65920773628363</v>
      </c>
      <c r="J43" s="79">
        <f>(I43*References!$C$57*'Spokane DF Calc'!$E$71)+('Spokane DF Calc'!I43*References!$C$61*'Spokane DF Calc'!$E$70)</f>
        <v>1.376296590037515</v>
      </c>
      <c r="K43" s="79">
        <f>J43/References!$G$58</f>
        <v>1.4033460858421221</v>
      </c>
      <c r="L43" s="79">
        <f t="shared" si="17"/>
        <v>0.70167304292106103</v>
      </c>
      <c r="M43" s="79">
        <f>'Proposed Rates'!$B$55</f>
        <v>58.44</v>
      </c>
      <c r="N43" s="79">
        <f t="shared" si="16"/>
        <v>59.141673042921056</v>
      </c>
      <c r="O43" s="79">
        <f>'Proposed Rates'!$D$55</f>
        <v>59.141673042921056</v>
      </c>
      <c r="P43" s="79">
        <f t="shared" si="18"/>
        <v>116.88</v>
      </c>
      <c r="Q43" s="79">
        <f t="shared" si="19"/>
        <v>118.28334608584211</v>
      </c>
      <c r="R43" s="79">
        <f t="shared" si="20"/>
        <v>1.4033460858421165</v>
      </c>
      <c r="S43" s="79">
        <f t="shared" si="21"/>
        <v>118.28334608584211</v>
      </c>
      <c r="T43" s="79">
        <f t="shared" si="22"/>
        <v>0</v>
      </c>
    </row>
    <row r="44" spans="1:26" s="59" customFormat="1">
      <c r="A44" s="229"/>
      <c r="B44" s="93" t="s">
        <v>366</v>
      </c>
      <c r="C44" s="103" t="s">
        <v>90</v>
      </c>
      <c r="D44" s="65">
        <f>'Spokane Reg - Price out'!M63</f>
        <v>1.2499999999999998</v>
      </c>
      <c r="E44" s="127">
        <f>References!$B$12</f>
        <v>1</v>
      </c>
      <c r="F44" s="65">
        <f>D44*E44*References!$B$50</f>
        <v>14.999999999999996</v>
      </c>
      <c r="G44" s="65">
        <f>References!$B$35</f>
        <v>613</v>
      </c>
      <c r="H44" s="65">
        <f t="shared" ref="H44" si="28">F44*G44</f>
        <v>9194.9999999999982</v>
      </c>
      <c r="I44" s="65">
        <f t="shared" si="15"/>
        <v>7928.1040329123953</v>
      </c>
      <c r="J44" s="79">
        <f>(I44*References!$C$57*'Spokane DF Calc'!$E$71)+('Spokane DF Calc'!I44*References!$C$61*'Spokane DF Calc'!$E$70)</f>
        <v>13.377428272087684</v>
      </c>
      <c r="K44" s="79">
        <f>J44/References!$G$58</f>
        <v>13.64034594008278</v>
      </c>
      <c r="L44" s="79">
        <f t="shared" si="17"/>
        <v>0.90935639600551887</v>
      </c>
      <c r="M44" s="79">
        <f>'Proposed Rates'!$B$56</f>
        <v>78</v>
      </c>
      <c r="N44" s="79">
        <f t="shared" si="16"/>
        <v>78.909356396005521</v>
      </c>
      <c r="O44" s="79">
        <f>'Proposed Rates'!$D$56</f>
        <v>78.909356396005521</v>
      </c>
      <c r="P44" s="79">
        <f t="shared" si="18"/>
        <v>1169.9999999999998</v>
      </c>
      <c r="Q44" s="79">
        <f t="shared" si="19"/>
        <v>1183.6403459400826</v>
      </c>
      <c r="R44" s="79">
        <f t="shared" si="20"/>
        <v>13.640345940082852</v>
      </c>
      <c r="S44" s="79">
        <f t="shared" si="21"/>
        <v>1183.6403459400826</v>
      </c>
      <c r="T44" s="79">
        <f t="shared" si="22"/>
        <v>0</v>
      </c>
      <c r="V44"/>
      <c r="W44"/>
      <c r="X44"/>
      <c r="Y44"/>
      <c r="Z44"/>
    </row>
    <row r="45" spans="1:26" ht="15" customHeight="1">
      <c r="A45" s="229"/>
      <c r="B45" s="93" t="s">
        <v>367</v>
      </c>
      <c r="C45" s="103" t="s">
        <v>76</v>
      </c>
      <c r="D45" s="65">
        <f>'Spokane Reg - Price out'!M64</f>
        <v>69.833974351021297</v>
      </c>
      <c r="E45" s="127">
        <f>References!$B$12</f>
        <v>1</v>
      </c>
      <c r="F45" s="65">
        <f>D45*E45*References!$B$50</f>
        <v>838.00769221225551</v>
      </c>
      <c r="G45" s="65">
        <f>References!$B$28</f>
        <v>29</v>
      </c>
      <c r="H45" s="65">
        <f t="shared" si="14"/>
        <v>24302.223074155409</v>
      </c>
      <c r="I45" s="65">
        <f t="shared" si="15"/>
        <v>20953.839343441894</v>
      </c>
      <c r="J45" s="79">
        <f>(I45*References!$C$57*'Spokane DF Calc'!$E$71)+('Spokane DF Calc'!I45*References!$C$61*'Spokane DF Calc'!$E$70)</f>
        <v>35.35630734385952</v>
      </c>
      <c r="K45" s="79">
        <f>J45/References!$G$58</f>
        <v>36.051194110336255</v>
      </c>
      <c r="L45" s="79">
        <f t="shared" si="17"/>
        <v>4.3020123138923401E-2</v>
      </c>
      <c r="M45" s="79">
        <f>'Proposed Rates'!B61</f>
        <v>4.24</v>
      </c>
      <c r="N45" s="79">
        <f t="shared" si="16"/>
        <v>4.2830201231389236</v>
      </c>
      <c r="O45" s="79">
        <f>'Proposed Rates'!D61</f>
        <v>4.2830201231389236</v>
      </c>
      <c r="P45" s="79">
        <f t="shared" si="18"/>
        <v>3553.1526149799633</v>
      </c>
      <c r="Q45" s="79">
        <f t="shared" si="19"/>
        <v>3589.2038090902997</v>
      </c>
      <c r="R45" s="79">
        <f t="shared" si="20"/>
        <v>36.051194110336382</v>
      </c>
      <c r="S45" s="79">
        <f t="shared" si="21"/>
        <v>3589.2038090902997</v>
      </c>
      <c r="T45" s="79">
        <f t="shared" si="22"/>
        <v>0</v>
      </c>
    </row>
    <row r="46" spans="1:26">
      <c r="A46" s="229"/>
      <c r="B46" s="93" t="s">
        <v>363</v>
      </c>
      <c r="C46" s="103" t="s">
        <v>92</v>
      </c>
      <c r="D46" s="65">
        <f>'Spokane Reg - Price out'!M65</f>
        <v>0.79164745939617487</v>
      </c>
      <c r="E46" s="127">
        <f>References!$B$12</f>
        <v>1</v>
      </c>
      <c r="F46" s="65">
        <f>D46*E46*References!$B$50</f>
        <v>9.4997695127540993</v>
      </c>
      <c r="G46" s="65">
        <f>References!B48</f>
        <v>125</v>
      </c>
      <c r="H46" s="65">
        <f t="shared" si="14"/>
        <v>1187.4711890942624</v>
      </c>
      <c r="I46" s="65">
        <f t="shared" si="15"/>
        <v>1023.860263537303</v>
      </c>
      <c r="J46" s="79">
        <f>(I46*References!$C$57*'Spokane DF Calc'!$E$71)+('Spokane DF Calc'!I46*References!$C$61*'Spokane DF Calc'!$E$70)</f>
        <v>1.7276031166154615</v>
      </c>
      <c r="K46" s="79">
        <f>J46/References!$G$58</f>
        <v>1.7615571303020332</v>
      </c>
      <c r="L46" s="79">
        <f t="shared" si="17"/>
        <v>0.18543156525398016</v>
      </c>
      <c r="M46" s="79">
        <f>'Proposed Rates'!B27</f>
        <v>22.61</v>
      </c>
      <c r="N46" s="79">
        <f t="shared" si="16"/>
        <v>22.795431565253981</v>
      </c>
      <c r="O46" s="79">
        <f>'Proposed Rates'!D27</f>
        <v>22.795431565253981</v>
      </c>
      <c r="P46" s="79">
        <f t="shared" si="18"/>
        <v>214.78978868337018</v>
      </c>
      <c r="Q46" s="79">
        <f t="shared" si="19"/>
        <v>216.55134581367224</v>
      </c>
      <c r="R46" s="79">
        <f t="shared" si="20"/>
        <v>1.7615571303020658</v>
      </c>
      <c r="S46" s="79">
        <f t="shared" si="21"/>
        <v>216.55134581367224</v>
      </c>
      <c r="T46" s="79">
        <f t="shared" si="22"/>
        <v>0</v>
      </c>
    </row>
    <row r="47" spans="1:26">
      <c r="A47" s="52"/>
      <c r="B47" s="50"/>
      <c r="C47" s="49" t="s">
        <v>0</v>
      </c>
      <c r="D47" s="66">
        <f>SUM(D22:D46)</f>
        <v>154.59491329325294</v>
      </c>
      <c r="E47" s="73"/>
      <c r="F47" s="66">
        <f>SUM(F22:F46)</f>
        <v>5047.2439521657861</v>
      </c>
      <c r="G47" s="67"/>
      <c r="H47" s="66">
        <f>SUM(H22:H46)</f>
        <v>1121395.6220784993</v>
      </c>
      <c r="I47" s="66">
        <f>SUM(I22:I46)</f>
        <v>966888.65186414972</v>
      </c>
      <c r="J47" s="81"/>
      <c r="K47" s="81"/>
      <c r="L47" s="82"/>
      <c r="M47" s="82"/>
      <c r="N47" s="82"/>
      <c r="O47" s="82"/>
      <c r="P47" s="66">
        <f>SUM(P22:P46)</f>
        <v>122450.90234566679</v>
      </c>
      <c r="Q47" s="66">
        <f>SUM(Q22:Q46)</f>
        <v>124115.39633631137</v>
      </c>
      <c r="R47" s="66">
        <f>SUM(R22:R46)</f>
        <v>1664.4939906445281</v>
      </c>
      <c r="S47" s="66">
        <f>SUM(S22:S46)</f>
        <v>124115.39633631137</v>
      </c>
      <c r="T47" s="66">
        <f>SUM(T22:T46)</f>
        <v>0</v>
      </c>
    </row>
    <row r="48" spans="1:26">
      <c r="C48" s="51" t="s">
        <v>298</v>
      </c>
      <c r="D48" s="69">
        <f>+D21+D47</f>
        <v>1413.4097742149047</v>
      </c>
      <c r="F48" s="69">
        <f>+F21+F47</f>
        <v>65353.668063440644</v>
      </c>
      <c r="H48" s="69">
        <f>+H21+H47</f>
        <v>4021437.5426514149</v>
      </c>
      <c r="I48" s="69">
        <f>+I21+I47</f>
        <v>3467359.9999999991</v>
      </c>
      <c r="P48" s="83">
        <f>+P21+P47</f>
        <v>486158.44272420544</v>
      </c>
      <c r="Q48" s="83">
        <f>+Q21+Q47</f>
        <v>492125.01121592202</v>
      </c>
      <c r="R48" s="83">
        <f>+R21+R47</f>
        <v>5966.5684917164917</v>
      </c>
      <c r="S48" s="83">
        <f>+S21+S47</f>
        <v>492125.01121592202</v>
      </c>
      <c r="T48" s="83">
        <f>+T21+T47</f>
        <v>0</v>
      </c>
    </row>
    <row r="50" spans="1:26">
      <c r="U50"/>
      <c r="Z50" s="1"/>
    </row>
    <row r="51" spans="1:26" ht="15" customHeight="1">
      <c r="A51" s="37"/>
      <c r="B51" s="38"/>
      <c r="C51" s="39" t="s">
        <v>258</v>
      </c>
      <c r="D51" s="70"/>
      <c r="E51" s="74"/>
      <c r="F51" s="40"/>
      <c r="G51" s="40"/>
      <c r="H51" s="40"/>
      <c r="I51" s="40"/>
      <c r="J51" s="84"/>
      <c r="K51" s="85"/>
      <c r="L51" s="85"/>
      <c r="M51" s="85"/>
      <c r="N51" s="85"/>
      <c r="O51" s="85"/>
      <c r="Q51" s="153" t="s">
        <v>187</v>
      </c>
      <c r="R51" s="79">
        <f>R21</f>
        <v>4302.0745010719638</v>
      </c>
      <c r="S51" s="157">
        <f>+R21/P21</f>
        <v>1.1828389635789407E-2</v>
      </c>
      <c r="U51"/>
      <c r="Z51" s="1"/>
    </row>
    <row r="52" spans="1:26">
      <c r="A52" s="146"/>
      <c r="B52" s="93" t="s">
        <v>361</v>
      </c>
      <c r="C52" s="1" t="s">
        <v>348</v>
      </c>
      <c r="D52" s="65">
        <f>SUMIF('Spokane Reg - Price out'!$B$15:$B$34,C52,'Spokane Reg - Price out'!M:M)</f>
        <v>0</v>
      </c>
      <c r="E52" s="72">
        <f>+References!B10</f>
        <v>4.333333333333333</v>
      </c>
      <c r="F52" s="65">
        <v>52</v>
      </c>
      <c r="G52" s="65">
        <f>+References!B20</f>
        <v>97</v>
      </c>
      <c r="H52" s="65">
        <f>F52*G52</f>
        <v>5044</v>
      </c>
      <c r="I52" s="65">
        <f>H52*$D$65</f>
        <v>4349.0328158792963</v>
      </c>
      <c r="J52" s="79">
        <f>(I52*References!$C$57*'Spokane DF Calc'!$E$71)+('Spokane DF Calc'!I52*References!$C$61*'Spokane DF Calc'!$E$70)</f>
        <v>7.3383086682338536</v>
      </c>
      <c r="K52" s="79">
        <f>J52/References!$G$58</f>
        <v>7.4825345211286081</v>
      </c>
      <c r="L52" s="79">
        <f>K52/F52*E52</f>
        <v>0.62354454342738397</v>
      </c>
      <c r="M52" s="79">
        <f>+'Proposed Rates'!B14</f>
        <v>54.44</v>
      </c>
      <c r="N52" s="79">
        <f>L52+M52</f>
        <v>55.063544543427383</v>
      </c>
      <c r="O52" s="79">
        <f>+'Proposed Rates'!D14</f>
        <v>55.063544543427383</v>
      </c>
      <c r="Q52" s="153" t="s">
        <v>188</v>
      </c>
      <c r="R52" s="79">
        <f>R47</f>
        <v>1664.4939906445281</v>
      </c>
      <c r="S52" s="157">
        <f>+R47/P47</f>
        <v>1.3593154143901906E-2</v>
      </c>
    </row>
    <row r="53" spans="1:26">
      <c r="A53" s="229" t="s">
        <v>306</v>
      </c>
      <c r="B53" s="147" t="s">
        <v>361</v>
      </c>
      <c r="C53" s="42" t="s">
        <v>259</v>
      </c>
      <c r="D53" s="105">
        <v>0</v>
      </c>
      <c r="E53" s="75">
        <f>+References!B10</f>
        <v>4.333333333333333</v>
      </c>
      <c r="F53" s="106">
        <f>E53*References!$B$50</f>
        <v>52</v>
      </c>
      <c r="G53" s="106">
        <f>+References!B21</f>
        <v>117</v>
      </c>
      <c r="H53" s="65">
        <f t="shared" ref="H53:H56" si="29">F53*G53</f>
        <v>6084</v>
      </c>
      <c r="I53" s="106">
        <f>H53*$D$65</f>
        <v>5245.7406129678111</v>
      </c>
      <c r="J53" s="79">
        <f>(I53*References!$C$57*'Spokane DF Calc'!$E$71)+('Spokane DF Calc'!I53*References!$C$61*'Spokane DF Calc'!$E$70)</f>
        <v>8.851362001890319</v>
      </c>
      <c r="K53" s="88">
        <f>J53/References!$G$58</f>
        <v>9.025325144041723</v>
      </c>
      <c r="L53" s="79">
        <f t="shared" ref="L53:L54" si="30">K53/F53*E53</f>
        <v>0.75211042867014355</v>
      </c>
      <c r="M53" s="86">
        <f>'Proposed Rates'!B15</f>
        <v>66.67</v>
      </c>
      <c r="N53" s="86">
        <f t="shared" ref="N53:N54" si="31">K53+M53</f>
        <v>75.695325144041732</v>
      </c>
      <c r="O53" s="86">
        <f>'Proposed Rates'!D15</f>
        <v>67.422110428670152</v>
      </c>
      <c r="Q53" s="153" t="s">
        <v>0</v>
      </c>
      <c r="R53" s="156">
        <f>SUM(R51:R52)</f>
        <v>5966.5684917164917</v>
      </c>
      <c r="U53"/>
      <c r="Z53" s="1"/>
    </row>
    <row r="54" spans="1:26">
      <c r="A54" s="229"/>
      <c r="B54" s="147" t="s">
        <v>361</v>
      </c>
      <c r="C54" s="42" t="s">
        <v>260</v>
      </c>
      <c r="D54" s="105">
        <v>0</v>
      </c>
      <c r="E54" s="75">
        <f>+References!B10</f>
        <v>4.333333333333333</v>
      </c>
      <c r="F54" s="106">
        <f>E54*References!$B$50</f>
        <v>52</v>
      </c>
      <c r="G54" s="106">
        <f>+References!B22</f>
        <v>157</v>
      </c>
      <c r="H54" s="65">
        <f t="shared" si="29"/>
        <v>8164</v>
      </c>
      <c r="I54" s="106">
        <f>H54*$D$65</f>
        <v>7039.1562071448407</v>
      </c>
      <c r="J54" s="79">
        <f>(I54*References!$C$57*'Spokane DF Calc'!$E$71)+('Spokane DF Calc'!I54*References!$C$61*'Spokane DF Calc'!$E$70)</f>
        <v>11.877468669203248</v>
      </c>
      <c r="K54" s="88">
        <f>J54/References!$G$58</f>
        <v>12.110906389867953</v>
      </c>
      <c r="L54" s="79">
        <f t="shared" si="30"/>
        <v>1.0092421991556628</v>
      </c>
      <c r="M54" s="86">
        <f>'Proposed Rates'!B16</f>
        <v>77.13</v>
      </c>
      <c r="N54" s="86">
        <f t="shared" si="31"/>
        <v>89.240906389867945</v>
      </c>
      <c r="O54" s="86">
        <f>'Proposed Rates'!D16</f>
        <v>78.13924219915566</v>
      </c>
      <c r="U54"/>
      <c r="Z54" s="1"/>
    </row>
    <row r="55" spans="1:26">
      <c r="A55" s="148"/>
      <c r="B55" s="149" t="s">
        <v>363</v>
      </c>
      <c r="C55" s="150" t="s">
        <v>35</v>
      </c>
      <c r="D55" s="43">
        <v>0</v>
      </c>
      <c r="E55" s="76">
        <f>+References!$B$12</f>
        <v>1</v>
      </c>
      <c r="F55" s="43">
        <v>1</v>
      </c>
      <c r="G55" s="43">
        <f>+References!B48</f>
        <v>125</v>
      </c>
      <c r="H55" s="43">
        <f t="shared" si="29"/>
        <v>125</v>
      </c>
      <c r="I55" s="43">
        <f>H55*$D$65</f>
        <v>107.77737945775418</v>
      </c>
      <c r="J55" s="87">
        <f>(I55*References!$C$57*'Spokane DF Calc'!$E$71)+('Spokane DF Calc'!I55*References!$C$61*'Spokane DF Calc'!$E$70)</f>
        <v>0.18185737183370973</v>
      </c>
      <c r="K55" s="87">
        <f>J55/References!$G$58</f>
        <v>0.18543156525398022</v>
      </c>
      <c r="L55" s="87">
        <f>K55/F55*E55</f>
        <v>0.18543156525398022</v>
      </c>
      <c r="M55" s="151">
        <f>+'Proposed Rates'!B27</f>
        <v>22.61</v>
      </c>
      <c r="N55" s="87">
        <f>L55+M55</f>
        <v>22.795431565253981</v>
      </c>
      <c r="O55" s="151">
        <f>+'Proposed Rates'!D27</f>
        <v>22.795431565253981</v>
      </c>
    </row>
    <row r="56" spans="1:26" ht="17.25">
      <c r="A56" s="122"/>
      <c r="B56" s="107" t="s">
        <v>366</v>
      </c>
      <c r="C56" s="45" t="s">
        <v>228</v>
      </c>
      <c r="D56" s="105">
        <v>0</v>
      </c>
      <c r="E56" s="109">
        <v>1</v>
      </c>
      <c r="F56" s="106">
        <v>1</v>
      </c>
      <c r="G56" s="108">
        <f>References!B39</f>
        <v>980</v>
      </c>
      <c r="H56" s="65">
        <f t="shared" si="29"/>
        <v>980</v>
      </c>
      <c r="I56" s="106">
        <f>H56*$D$65</f>
        <v>844.9746549487927</v>
      </c>
      <c r="J56" s="79">
        <f>(I56*References!$C$57*'Spokane DF Calc'!$E$71)+('Spokane DF Calc'!I56*References!$C$61*'Spokane DF Calc'!$E$70)</f>
        <v>1.425761795176284</v>
      </c>
      <c r="K56" s="86">
        <f>J56/[23]References!$G$56</f>
        <v>1.4537834715912046</v>
      </c>
      <c r="L56" s="88">
        <f t="shared" ref="L56" si="32">K56</f>
        <v>1.4537834715912046</v>
      </c>
      <c r="M56" s="86">
        <f>'Proposed Rates'!B71</f>
        <v>44.06</v>
      </c>
      <c r="N56" s="86">
        <f t="shared" ref="N56" si="33">K56+M56</f>
        <v>45.513783471591204</v>
      </c>
      <c r="O56" s="86">
        <f>'Proposed Rates'!D71</f>
        <v>44.497124009825384</v>
      </c>
      <c r="Q56" s="154" t="s">
        <v>357</v>
      </c>
      <c r="U56"/>
      <c r="Z56" s="1"/>
    </row>
    <row r="57" spans="1:26">
      <c r="A57" s="47"/>
      <c r="B57" s="41"/>
      <c r="C57" s="45"/>
      <c r="D57" s="33"/>
      <c r="E57" s="77"/>
      <c r="F57" s="32"/>
      <c r="G57" s="44"/>
      <c r="H57" s="32"/>
      <c r="I57" s="32"/>
      <c r="J57" s="89"/>
      <c r="K57" s="86"/>
      <c r="L57" s="86"/>
      <c r="M57" s="86"/>
      <c r="N57" s="86"/>
      <c r="O57" s="86"/>
      <c r="P57" s="89"/>
      <c r="Q57" s="153" t="s">
        <v>358</v>
      </c>
      <c r="R57" s="79">
        <f>'Disposal Schedule'!B25*References!B61</f>
        <v>389.13</v>
      </c>
    </row>
    <row r="58" spans="1:26" customFormat="1">
      <c r="D58" s="65"/>
      <c r="E58" s="72"/>
      <c r="F58" s="65"/>
      <c r="G58" s="65"/>
      <c r="H58" s="65"/>
      <c r="I58" s="65"/>
      <c r="J58" s="90"/>
      <c r="K58" s="90"/>
      <c r="L58" s="90"/>
      <c r="M58" s="90"/>
      <c r="N58" s="90"/>
      <c r="O58" s="90"/>
      <c r="P58" s="90"/>
      <c r="Q58" s="153" t="s">
        <v>359</v>
      </c>
      <c r="R58" s="155">
        <f>'Disposal Schedule'!I25*References!B57</f>
        <v>272.88349999999974</v>
      </c>
      <c r="S58" s="90"/>
      <c r="T58" s="90"/>
    </row>
    <row r="59" spans="1:26">
      <c r="R59" s="83">
        <f>SUM(R57:R58)</f>
        <v>662.01349999999979</v>
      </c>
    </row>
    <row r="60" spans="1:26">
      <c r="C60" s="228" t="s">
        <v>200</v>
      </c>
      <c r="D60" s="228"/>
      <c r="E60" s="78"/>
      <c r="F60" s="71"/>
    </row>
    <row r="61" spans="1:26">
      <c r="C61" s="14"/>
      <c r="D61" s="31" t="s">
        <v>0</v>
      </c>
    </row>
    <row r="62" spans="1:26">
      <c r="C62" s="14" t="s">
        <v>201</v>
      </c>
      <c r="D62" s="112">
        <f>D72</f>
        <v>1733.68</v>
      </c>
    </row>
    <row r="63" spans="1:26">
      <c r="C63" s="14" t="s">
        <v>202</v>
      </c>
      <c r="D63" s="33">
        <f>D62*References!G19</f>
        <v>3467360</v>
      </c>
    </row>
    <row r="64" spans="1:26" ht="15" customHeight="1">
      <c r="C64" s="14" t="s">
        <v>203</v>
      </c>
      <c r="D64" s="33">
        <f>+F48</f>
        <v>65353.668063440644</v>
      </c>
    </row>
    <row r="65" spans="3:5">
      <c r="C65" s="20" t="s">
        <v>204</v>
      </c>
      <c r="D65" s="104">
        <f>D63/H48</f>
        <v>0.8622190356620334</v>
      </c>
    </row>
    <row r="68" spans="3:5">
      <c r="C68" s="228" t="s">
        <v>334</v>
      </c>
      <c r="D68" s="228"/>
      <c r="E68" s="228"/>
    </row>
    <row r="69" spans="3:5">
      <c r="C69" s="14"/>
      <c r="D69" s="141"/>
      <c r="E69" s="14"/>
    </row>
    <row r="70" spans="3:5">
      <c r="C70" s="14" t="s">
        <v>335</v>
      </c>
      <c r="D70" s="143">
        <f>References!C66</f>
        <v>1250.8900000000001</v>
      </c>
      <c r="E70" s="128">
        <f>D70/D72</f>
        <v>0.72152300309168937</v>
      </c>
    </row>
    <row r="71" spans="3:5">
      <c r="C71" s="142" t="s">
        <v>320</v>
      </c>
      <c r="D71" s="144">
        <f>References!B66</f>
        <v>482.78999999999996</v>
      </c>
      <c r="E71" s="128">
        <f>D71/D72</f>
        <v>0.27847699690831063</v>
      </c>
    </row>
    <row r="72" spans="3:5">
      <c r="C72" s="142" t="s">
        <v>320</v>
      </c>
      <c r="D72" s="145">
        <f>SUM(D70:D71)</f>
        <v>1733.68</v>
      </c>
      <c r="E72" s="128"/>
    </row>
  </sheetData>
  <mergeCells count="5">
    <mergeCell ref="A6:A20"/>
    <mergeCell ref="C68:E68"/>
    <mergeCell ref="C60:D60"/>
    <mergeCell ref="A53:A54"/>
    <mergeCell ref="A22:A46"/>
  </mergeCells>
  <printOptions horizontalCentered="1" verticalCentered="1"/>
  <pageMargins left="0.5" right="0.5" top="0.5" bottom="0.5" header="0.3" footer="0.3"/>
  <pageSetup scale="50" orientation="landscape" r:id="rId1"/>
  <headerFooter>
    <oddFooter>&amp;L&amp;F - &amp;A&amp;R&amp;P of &amp;N</oddFooter>
  </headerFooter>
  <rowBreaks count="1" manualBreakCount="1">
    <brk id="4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5" zoomScaleNormal="85" workbookViewId="0">
      <selection activeCell="J29" sqref="J29"/>
    </sheetView>
  </sheetViews>
  <sheetFormatPr defaultRowHeight="15"/>
  <cols>
    <col min="1" max="1" width="26.28515625" style="1" customWidth="1"/>
    <col min="2" max="2" width="14" style="102" customWidth="1"/>
    <col min="3" max="3" width="12.28515625" style="102" customWidth="1"/>
    <col min="4" max="4" width="12" style="102" customWidth="1"/>
    <col min="5" max="5" width="9.140625" style="1"/>
    <col min="6" max="6" width="9.5703125" style="102" bestFit="1" customWidth="1"/>
    <col min="7" max="10" width="9.7109375" style="102" bestFit="1" customWidth="1"/>
    <col min="11" max="11" width="9.5703125" style="1" bestFit="1" customWidth="1"/>
    <col min="12" max="16384" width="9.140625" style="1"/>
  </cols>
  <sheetData>
    <row r="1" spans="1:10">
      <c r="A1" s="100" t="s">
        <v>283</v>
      </c>
      <c r="C1" s="64"/>
    </row>
    <row r="2" spans="1:10">
      <c r="A2" s="35" t="s">
        <v>349</v>
      </c>
    </row>
    <row r="3" spans="1:10">
      <c r="A3" s="7"/>
    </row>
    <row r="4" spans="1:10" customFormat="1">
      <c r="A4" s="101" t="s">
        <v>258</v>
      </c>
      <c r="B4" s="102"/>
      <c r="C4" s="102"/>
      <c r="D4" s="102"/>
      <c r="F4" s="102"/>
      <c r="G4" s="102"/>
      <c r="H4" s="102"/>
      <c r="I4" s="102"/>
      <c r="J4" s="102"/>
    </row>
    <row r="5" spans="1:10" customFormat="1" ht="45">
      <c r="B5" s="117" t="s">
        <v>299</v>
      </c>
      <c r="C5" s="117" t="s">
        <v>300</v>
      </c>
      <c r="D5" s="117" t="s">
        <v>322</v>
      </c>
      <c r="F5" s="102"/>
      <c r="G5" s="102"/>
      <c r="H5" s="102"/>
      <c r="I5" s="102"/>
      <c r="J5" s="102"/>
    </row>
    <row r="6" spans="1:10">
      <c r="A6" s="7" t="s">
        <v>350</v>
      </c>
      <c r="F6" s="158" t="s">
        <v>309</v>
      </c>
    </row>
    <row r="7" spans="1:10">
      <c r="A7" s="1" t="s">
        <v>205</v>
      </c>
      <c r="B7" s="102">
        <v>4.4400000000000004</v>
      </c>
      <c r="C7" s="102">
        <f>'Spokane DF Calc'!L19</f>
        <v>5.043738574908261E-2</v>
      </c>
      <c r="D7" s="102">
        <f>SUM(B7:C7)</f>
        <v>4.4904373857490834</v>
      </c>
      <c r="F7" s="102">
        <f>ROUND(D7*References!$B$10,2)</f>
        <v>19.46</v>
      </c>
    </row>
    <row r="9" spans="1:10">
      <c r="A9" s="7" t="s">
        <v>351</v>
      </c>
    </row>
    <row r="10" spans="1:10">
      <c r="A10" s="1" t="s">
        <v>206</v>
      </c>
      <c r="B10" s="102">
        <v>15.21</v>
      </c>
      <c r="C10" s="102">
        <f>'Spokane DF Calc'!L6</f>
        <v>0.12856588524275961</v>
      </c>
      <c r="D10" s="102">
        <f t="shared" ref="D10:D67" si="0">SUM(B10:C10)</f>
        <v>15.33856588524276</v>
      </c>
    </row>
    <row r="11" spans="1:10">
      <c r="A11" s="1" t="s">
        <v>207</v>
      </c>
      <c r="B11" s="102">
        <v>18.670000000000002</v>
      </c>
      <c r="C11" s="102">
        <f>'Spokane DF Calc'!L8</f>
        <v>0.21856200491269126</v>
      </c>
      <c r="D11" s="102">
        <f t="shared" si="0"/>
        <v>18.888562004912693</v>
      </c>
    </row>
    <row r="12" spans="1:10">
      <c r="A12" s="1" t="s">
        <v>208</v>
      </c>
      <c r="B12" s="102">
        <v>26.36</v>
      </c>
      <c r="C12" s="102">
        <f>'Spokane DF Calc'!L9</f>
        <v>0.32784300736903704</v>
      </c>
      <c r="D12" s="102">
        <f t="shared" si="0"/>
        <v>26.687843007369036</v>
      </c>
    </row>
    <row r="13" spans="1:10">
      <c r="A13" s="1" t="s">
        <v>209</v>
      </c>
      <c r="B13" s="102">
        <v>37.61</v>
      </c>
      <c r="C13" s="102">
        <f>'Spokane DF Calc'!L10</f>
        <v>0.49497865818462439</v>
      </c>
      <c r="D13" s="102">
        <f t="shared" si="0"/>
        <v>38.104978658184621</v>
      </c>
    </row>
    <row r="14" spans="1:10">
      <c r="A14" s="1" t="s">
        <v>210</v>
      </c>
      <c r="B14" s="102">
        <v>54.44</v>
      </c>
      <c r="C14" s="102">
        <f>'Spokane DF Calc'!L52</f>
        <v>0.62354454342738397</v>
      </c>
      <c r="D14" s="102">
        <f t="shared" si="0"/>
        <v>55.063544543427383</v>
      </c>
    </row>
    <row r="15" spans="1:10">
      <c r="A15" s="46" t="s">
        <v>211</v>
      </c>
      <c r="B15" s="63">
        <v>66.67</v>
      </c>
      <c r="C15" s="63">
        <f>'Spokane DF Calc'!L53</f>
        <v>0.75211042867014355</v>
      </c>
      <c r="D15" s="63">
        <f t="shared" si="0"/>
        <v>67.422110428670152</v>
      </c>
      <c r="F15" s="152"/>
    </row>
    <row r="16" spans="1:10">
      <c r="A16" s="46" t="s">
        <v>212</v>
      </c>
      <c r="B16" s="63">
        <v>77.13</v>
      </c>
      <c r="C16" s="63">
        <f>'Spokane DF Calc'!L54</f>
        <v>1.0092421991556628</v>
      </c>
      <c r="D16" s="63">
        <f t="shared" si="0"/>
        <v>78.13924219915566</v>
      </c>
      <c r="F16" s="152"/>
    </row>
    <row r="17" spans="1:6">
      <c r="A17" s="1" t="s">
        <v>213</v>
      </c>
      <c r="B17" s="102">
        <v>28.13</v>
      </c>
      <c r="C17" s="102">
        <f>'Spokane DF Calc'!L11</f>
        <v>0.30212983032048507</v>
      </c>
      <c r="D17" s="102">
        <f t="shared" si="0"/>
        <v>28.432129830320484</v>
      </c>
      <c r="F17" s="152"/>
    </row>
    <row r="18" spans="1:6">
      <c r="A18" s="1" t="s">
        <v>214</v>
      </c>
      <c r="B18" s="102">
        <v>35.130000000000003</v>
      </c>
      <c r="C18" s="102">
        <f>'Spokane DF Calc'!L13</f>
        <v>0.43712400982538269</v>
      </c>
      <c r="D18" s="102">
        <f t="shared" si="0"/>
        <v>35.567124009825385</v>
      </c>
    </row>
    <row r="19" spans="1:6">
      <c r="A19" s="1" t="s">
        <v>215</v>
      </c>
      <c r="B19" s="102">
        <v>11.86</v>
      </c>
      <c r="C19" s="102">
        <f>'Spokane DF Calc'!L7</f>
        <v>5.0437385749082603E-2</v>
      </c>
      <c r="D19" s="102">
        <f t="shared" si="0"/>
        <v>11.910437385749082</v>
      </c>
    </row>
    <row r="21" spans="1:6">
      <c r="A21" s="7" t="s">
        <v>352</v>
      </c>
    </row>
    <row r="22" spans="1:6">
      <c r="A22" s="1" t="s">
        <v>216</v>
      </c>
      <c r="B22" s="102">
        <v>4.4400000000000004</v>
      </c>
      <c r="C22" s="102">
        <f>'Spokane DF Calc'!L17</f>
        <v>5.043738574908261E-2</v>
      </c>
      <c r="D22" s="102">
        <f t="shared" si="0"/>
        <v>4.4904373857490834</v>
      </c>
    </row>
    <row r="23" spans="1:6">
      <c r="A23" s="1" t="s">
        <v>217</v>
      </c>
      <c r="B23" s="102">
        <v>4.4400000000000004</v>
      </c>
      <c r="C23" s="102">
        <f>'Spokane DF Calc'!L17</f>
        <v>5.043738574908261E-2</v>
      </c>
      <c r="D23" s="102">
        <f t="shared" si="0"/>
        <v>4.4904373857490834</v>
      </c>
    </row>
    <row r="24" spans="1:6">
      <c r="A24" s="1" t="s">
        <v>218</v>
      </c>
      <c r="B24" s="102">
        <v>13.01</v>
      </c>
      <c r="C24" s="102">
        <f>'Spokane DF Calc'!L16</f>
        <v>5.0437385749082603E-2</v>
      </c>
      <c r="D24" s="102">
        <f t="shared" si="0"/>
        <v>13.060437385749083</v>
      </c>
    </row>
    <row r="26" spans="1:6">
      <c r="A26" s="7" t="s">
        <v>353</v>
      </c>
    </row>
    <row r="27" spans="1:6">
      <c r="A27" s="1" t="s">
        <v>219</v>
      </c>
      <c r="B27" s="102">
        <v>22.61</v>
      </c>
      <c r="C27" s="102">
        <f>'Spokane DF Calc'!L55</f>
        <v>0.18543156525398022</v>
      </c>
      <c r="D27" s="102">
        <f t="shared" si="0"/>
        <v>22.795431565253981</v>
      </c>
    </row>
    <row r="28" spans="1:6">
      <c r="A28" s="1" t="s">
        <v>220</v>
      </c>
      <c r="B28" s="102">
        <f>B27</f>
        <v>22.61</v>
      </c>
      <c r="C28" s="102">
        <f>'Spokane DF Calc'!L55</f>
        <v>0.18543156525398022</v>
      </c>
      <c r="D28" s="102">
        <f t="shared" si="0"/>
        <v>22.795431565253981</v>
      </c>
    </row>
    <row r="29" spans="1:6">
      <c r="A29" s="1" t="s">
        <v>221</v>
      </c>
      <c r="B29" s="102">
        <f>B27</f>
        <v>22.61</v>
      </c>
      <c r="C29" s="102">
        <f>'Spokane DF Calc'!L55</f>
        <v>0.18543156525398022</v>
      </c>
      <c r="D29" s="102">
        <f t="shared" si="0"/>
        <v>22.795431565253981</v>
      </c>
    </row>
    <row r="31" spans="1:6">
      <c r="A31" s="7" t="s">
        <v>302</v>
      </c>
    </row>
    <row r="32" spans="1:6">
      <c r="A32" s="1" t="s">
        <v>364</v>
      </c>
      <c r="B32" s="102">
        <v>105.36</v>
      </c>
      <c r="C32" s="102">
        <f>D32-B32</f>
        <v>3.0499999999999972</v>
      </c>
      <c r="D32" s="102">
        <v>108.41</v>
      </c>
    </row>
    <row r="33" spans="1:10" s="103" customFormat="1">
      <c r="A33" s="103" t="s">
        <v>365</v>
      </c>
      <c r="B33" s="102">
        <v>101</v>
      </c>
      <c r="C33" s="102">
        <f>D33-B33</f>
        <v>3.5</v>
      </c>
      <c r="D33" s="102">
        <v>104.5</v>
      </c>
      <c r="F33" s="102"/>
      <c r="G33" s="102"/>
      <c r="H33" s="102"/>
      <c r="I33" s="102"/>
      <c r="J33" s="102"/>
    </row>
    <row r="35" spans="1:10">
      <c r="A35" s="7" t="s">
        <v>354</v>
      </c>
      <c r="F35" s="158" t="s">
        <v>309</v>
      </c>
      <c r="G35" s="158" t="s">
        <v>310</v>
      </c>
      <c r="H35" s="158" t="s">
        <v>311</v>
      </c>
      <c r="I35" s="158" t="s">
        <v>312</v>
      </c>
      <c r="J35" s="158" t="s">
        <v>313</v>
      </c>
    </row>
    <row r="36" spans="1:10">
      <c r="A36" s="1" t="s">
        <v>222</v>
      </c>
      <c r="B36" s="102">
        <v>17.57</v>
      </c>
      <c r="C36" s="102">
        <f>'Spokane DF Calc'!$L$22</f>
        <v>0.25960419135557228</v>
      </c>
      <c r="D36" s="102">
        <f t="shared" si="0"/>
        <v>17.829604191355571</v>
      </c>
      <c r="F36" s="102">
        <f>ROUND(D36*References!$B$10,2)</f>
        <v>77.260000000000005</v>
      </c>
      <c r="G36" s="102">
        <f>ROUND($D36*References!$B$9,2)</f>
        <v>154.52000000000001</v>
      </c>
      <c r="H36" s="102">
        <f>ROUND($D36*References!$B$8,2)</f>
        <v>231.78</v>
      </c>
      <c r="I36" s="102">
        <f>ROUND($D36*References!$B$7,2)</f>
        <v>309.05</v>
      </c>
      <c r="J36" s="102">
        <f>ROUND($D36*References!$B$6,2)</f>
        <v>386.31</v>
      </c>
    </row>
    <row r="37" spans="1:10">
      <c r="A37" s="1" t="s">
        <v>223</v>
      </c>
      <c r="B37" s="102">
        <v>26.33</v>
      </c>
      <c r="C37" s="102">
        <f>'Spokane DF Calc'!$L$23</f>
        <v>0.37086313050796044</v>
      </c>
      <c r="D37" s="102">
        <f t="shared" si="0"/>
        <v>26.700863130507958</v>
      </c>
      <c r="F37" s="102">
        <f>ROUND(D37*References!$B$10,2)</f>
        <v>115.7</v>
      </c>
      <c r="G37" s="102">
        <f>ROUND($D37*References!$B$9,2)</f>
        <v>231.41</v>
      </c>
      <c r="H37" s="102">
        <f>ROUND($D37*References!$B$8,2)</f>
        <v>347.11</v>
      </c>
      <c r="I37" s="102">
        <f>ROUND($D37*References!$B$7,2)</f>
        <v>462.81</v>
      </c>
      <c r="J37" s="102">
        <f>ROUND($D37*References!$B$6,2)</f>
        <v>578.52</v>
      </c>
    </row>
    <row r="38" spans="1:10">
      <c r="A38" s="1" t="s">
        <v>224</v>
      </c>
      <c r="B38" s="102">
        <v>35.01</v>
      </c>
      <c r="C38" s="102">
        <f>'Spokane DF Calc'!$L$26</f>
        <v>0.48063861713831657</v>
      </c>
      <c r="D38" s="102">
        <f t="shared" si="0"/>
        <v>35.490638617138316</v>
      </c>
      <c r="F38" s="102">
        <f>ROUND(D38*References!$B$10,2)</f>
        <v>153.79</v>
      </c>
      <c r="G38" s="102">
        <f>ROUND($D38*References!$B$9,2)</f>
        <v>307.58999999999997</v>
      </c>
      <c r="H38" s="102">
        <f>ROUND($D38*References!$B$8,2)</f>
        <v>461.38</v>
      </c>
      <c r="I38" s="102">
        <f>ROUND($D38*References!$B$7,2)</f>
        <v>615.16999999999996</v>
      </c>
      <c r="J38" s="102">
        <f>ROUND($D38*References!$B$6,2)</f>
        <v>768.96</v>
      </c>
    </row>
    <row r="39" spans="1:10">
      <c r="A39" s="1" t="s">
        <v>225</v>
      </c>
      <c r="B39" s="102">
        <v>49.16</v>
      </c>
      <c r="C39" s="102">
        <f>'Spokane DF Calc'!L27</f>
        <v>0.70167304292106103</v>
      </c>
      <c r="D39" s="102">
        <f t="shared" si="0"/>
        <v>49.861673042921055</v>
      </c>
      <c r="F39" s="102">
        <f>ROUND(D39*References!$B$10,2)</f>
        <v>216.07</v>
      </c>
      <c r="G39" s="102">
        <f>ROUND($D39*References!$B$9,2)</f>
        <v>432.13</v>
      </c>
      <c r="H39" s="102">
        <f>ROUND($D39*References!$B$8,2)</f>
        <v>648.20000000000005</v>
      </c>
      <c r="I39" s="102">
        <f>ROUND($D39*References!$B$7,2)</f>
        <v>864.27</v>
      </c>
      <c r="J39" s="102">
        <f>ROUND($D39*References!$B$6,2)</f>
        <v>1080.3399999999999</v>
      </c>
    </row>
    <row r="40" spans="1:10">
      <c r="A40" s="1" t="s">
        <v>226</v>
      </c>
      <c r="B40" s="102">
        <v>65.11</v>
      </c>
      <c r="C40" s="102">
        <f>'Spokane DF Calc'!L29</f>
        <v>0.90935639600551865</v>
      </c>
      <c r="D40" s="102">
        <f t="shared" si="0"/>
        <v>66.01935639600552</v>
      </c>
      <c r="F40" s="102">
        <f>ROUND(D40*References!$B$10,2)</f>
        <v>286.08</v>
      </c>
      <c r="G40" s="102">
        <f>ROUND($D40*References!$B$9,2)</f>
        <v>572.16999999999996</v>
      </c>
      <c r="H40" s="102">
        <f>ROUND($D40*References!$B$8,2)</f>
        <v>858.25</v>
      </c>
      <c r="I40" s="102">
        <f>ROUND($D40*References!$B$7,2)</f>
        <v>1144.3399999999999</v>
      </c>
      <c r="J40" s="102">
        <f>ROUND($D40*References!$B$6,2)</f>
        <v>1430.42</v>
      </c>
    </row>
    <row r="41" spans="1:10">
      <c r="A41" s="1" t="s">
        <v>227</v>
      </c>
      <c r="B41" s="102">
        <v>94.48</v>
      </c>
      <c r="C41" s="102">
        <f>'Spokane DF Calc'!L31</f>
        <v>1.2461001185067468</v>
      </c>
      <c r="D41" s="102">
        <f t="shared" si="0"/>
        <v>95.72610011850675</v>
      </c>
      <c r="F41" s="102">
        <f>ROUND(D41*References!$B$10,2)</f>
        <v>414.81</v>
      </c>
      <c r="G41" s="102">
        <f>ROUND($D41*References!$B$9,2)</f>
        <v>829.63</v>
      </c>
      <c r="H41" s="102">
        <f>ROUND($D41*References!$B$8,2)</f>
        <v>1244.44</v>
      </c>
      <c r="I41" s="102">
        <f>ROUND($D41*References!$B$7,2)</f>
        <v>1659.25</v>
      </c>
      <c r="J41" s="102">
        <f>ROUND($D41*References!$B$6,2)</f>
        <v>2074.0700000000002</v>
      </c>
    </row>
    <row r="42" spans="1:10">
      <c r="A42" s="46" t="s">
        <v>228</v>
      </c>
      <c r="B42" s="63">
        <v>123.97</v>
      </c>
      <c r="C42" s="63">
        <f>'Spokane DF Calc'!L56</f>
        <v>1.4537834715912046</v>
      </c>
      <c r="D42" s="63">
        <f t="shared" si="0"/>
        <v>125.42378347159121</v>
      </c>
      <c r="F42" s="102">
        <f>ROUND(D42*References!$B$10,2)</f>
        <v>543.5</v>
      </c>
      <c r="G42" s="102">
        <f>ROUND($D42*References!$B$9,2)</f>
        <v>1087.01</v>
      </c>
      <c r="H42" s="102">
        <f>ROUND($D42*References!$B$8,2)</f>
        <v>1630.51</v>
      </c>
      <c r="I42" s="102">
        <f>ROUND($D42*References!$B$7,2)</f>
        <v>2174.0100000000002</v>
      </c>
      <c r="J42" s="102">
        <f>ROUND($D42*References!$B$6,2)</f>
        <v>2717.52</v>
      </c>
    </row>
    <row r="44" spans="1:10">
      <c r="A44" s="1" t="s">
        <v>229</v>
      </c>
      <c r="B44" s="102">
        <v>47.24</v>
      </c>
      <c r="C44" s="102">
        <f>C36</f>
        <v>0.25960419135557228</v>
      </c>
      <c r="D44" s="102">
        <f t="shared" si="0"/>
        <v>47.499604191355573</v>
      </c>
    </row>
    <row r="45" spans="1:10">
      <c r="A45" s="1" t="s">
        <v>230</v>
      </c>
      <c r="B45" s="102">
        <v>67.13</v>
      </c>
      <c r="C45" s="102">
        <f t="shared" ref="C45:C50" si="1">C37</f>
        <v>0.37086313050796044</v>
      </c>
      <c r="D45" s="102">
        <f t="shared" si="0"/>
        <v>67.500863130507952</v>
      </c>
    </row>
    <row r="46" spans="1:10">
      <c r="A46" s="1" t="s">
        <v>231</v>
      </c>
      <c r="B46" s="102">
        <v>78.3</v>
      </c>
      <c r="C46" s="102">
        <f t="shared" si="1"/>
        <v>0.48063861713831657</v>
      </c>
      <c r="D46" s="102">
        <f t="shared" si="0"/>
        <v>78.780638617138308</v>
      </c>
    </row>
    <row r="47" spans="1:10">
      <c r="A47" s="1" t="s">
        <v>232</v>
      </c>
      <c r="B47" s="102">
        <v>103.13</v>
      </c>
      <c r="C47" s="102">
        <f t="shared" si="1"/>
        <v>0.70167304292106103</v>
      </c>
      <c r="D47" s="102">
        <f t="shared" si="0"/>
        <v>103.83167304292105</v>
      </c>
    </row>
    <row r="48" spans="1:10">
      <c r="A48" s="1" t="s">
        <v>233</v>
      </c>
      <c r="B48" s="102">
        <v>121.15</v>
      </c>
      <c r="C48" s="102">
        <f t="shared" si="1"/>
        <v>0.90935639600551865</v>
      </c>
      <c r="D48" s="102">
        <f t="shared" si="0"/>
        <v>122.05935639600553</v>
      </c>
    </row>
    <row r="49" spans="1:13">
      <c r="A49" s="116" t="s">
        <v>234</v>
      </c>
      <c r="B49" s="152">
        <v>162.76</v>
      </c>
      <c r="C49" s="152">
        <f t="shared" si="1"/>
        <v>1.2461001185067468</v>
      </c>
      <c r="D49" s="152">
        <f t="shared" si="0"/>
        <v>164.00610011850674</v>
      </c>
    </row>
    <row r="50" spans="1:13">
      <c r="A50" s="46" t="s">
        <v>235</v>
      </c>
      <c r="B50" s="63">
        <v>202.1</v>
      </c>
      <c r="C50" s="63">
        <f t="shared" si="1"/>
        <v>1.4537834715912046</v>
      </c>
      <c r="D50" s="63">
        <f t="shared" si="0"/>
        <v>203.5537834715912</v>
      </c>
    </row>
    <row r="51" spans="1:13">
      <c r="F51" s="158" t="s">
        <v>309</v>
      </c>
    </row>
    <row r="52" spans="1:13">
      <c r="A52" s="1" t="s">
        <v>236</v>
      </c>
      <c r="B52" s="102">
        <v>21.53</v>
      </c>
      <c r="C52" s="102">
        <f>C36</f>
        <v>0.25960419135557228</v>
      </c>
      <c r="D52" s="102">
        <f t="shared" si="0"/>
        <v>21.789604191355572</v>
      </c>
      <c r="F52" s="102">
        <f>ROUND(D52*References!$B$10,2)</f>
        <v>94.42</v>
      </c>
    </row>
    <row r="53" spans="1:13">
      <c r="A53" s="1" t="s">
        <v>237</v>
      </c>
      <c r="B53" s="102">
        <v>32.409999999999997</v>
      </c>
      <c r="C53" s="102">
        <f t="shared" ref="C53:C58" si="2">C37</f>
        <v>0.37086313050796044</v>
      </c>
      <c r="D53" s="102">
        <f t="shared" si="0"/>
        <v>32.78086313050796</v>
      </c>
      <c r="F53" s="102">
        <f>ROUND(D53*References!$B$10,2)</f>
        <v>142.05000000000001</v>
      </c>
    </row>
    <row r="54" spans="1:13">
      <c r="A54" s="1" t="s">
        <v>238</v>
      </c>
      <c r="B54" s="102">
        <v>41.53</v>
      </c>
      <c r="C54" s="102">
        <f t="shared" si="2"/>
        <v>0.48063861713831657</v>
      </c>
      <c r="D54" s="102">
        <f t="shared" si="0"/>
        <v>42.010638617138319</v>
      </c>
      <c r="F54" s="102">
        <f>ROUND(D54*References!$B$10,2)</f>
        <v>182.05</v>
      </c>
    </row>
    <row r="55" spans="1:13">
      <c r="A55" s="1" t="s">
        <v>239</v>
      </c>
      <c r="B55" s="102">
        <v>58.44</v>
      </c>
      <c r="C55" s="102">
        <f t="shared" si="2"/>
        <v>0.70167304292106103</v>
      </c>
      <c r="D55" s="102">
        <f t="shared" si="0"/>
        <v>59.141673042921056</v>
      </c>
      <c r="F55" s="102">
        <f>ROUND(D55*References!$B$10,2)</f>
        <v>256.27999999999997</v>
      </c>
    </row>
    <row r="56" spans="1:13">
      <c r="A56" s="1" t="s">
        <v>240</v>
      </c>
      <c r="B56" s="102">
        <v>78</v>
      </c>
      <c r="C56" s="102">
        <f t="shared" si="2"/>
        <v>0.90935639600551865</v>
      </c>
      <c r="D56" s="102">
        <f t="shared" si="0"/>
        <v>78.909356396005521</v>
      </c>
      <c r="F56" s="102">
        <f>ROUND(D56*References!$B$10,2)</f>
        <v>341.94</v>
      </c>
    </row>
    <row r="57" spans="1:13">
      <c r="A57" s="116" t="s">
        <v>241</v>
      </c>
      <c r="B57" s="152">
        <v>110.67</v>
      </c>
      <c r="C57" s="152">
        <f t="shared" si="2"/>
        <v>1.2461001185067468</v>
      </c>
      <c r="D57" s="152">
        <f t="shared" si="0"/>
        <v>111.91610011850675</v>
      </c>
      <c r="F57" s="102">
        <f>ROUND(D57*References!$B$10,2)</f>
        <v>484.97</v>
      </c>
    </row>
    <row r="58" spans="1:13">
      <c r="A58" s="46" t="s">
        <v>242</v>
      </c>
      <c r="B58" s="63">
        <v>149.22</v>
      </c>
      <c r="C58" s="63">
        <f t="shared" si="2"/>
        <v>1.4537834715912046</v>
      </c>
      <c r="D58" s="63">
        <f t="shared" si="0"/>
        <v>150.67378347159121</v>
      </c>
      <c r="F58" s="102">
        <f>ROUND(D58*References!$B$10,2)</f>
        <v>652.91999999999996</v>
      </c>
    </row>
    <row r="60" spans="1:13">
      <c r="A60" s="7" t="s">
        <v>355</v>
      </c>
      <c r="F60" s="158" t="s">
        <v>309</v>
      </c>
      <c r="G60" s="158" t="s">
        <v>310</v>
      </c>
      <c r="H60" s="158" t="s">
        <v>311</v>
      </c>
      <c r="I60" s="158" t="s">
        <v>312</v>
      </c>
      <c r="J60" s="158" t="s">
        <v>313</v>
      </c>
    </row>
    <row r="61" spans="1:13">
      <c r="A61" s="1" t="s">
        <v>243</v>
      </c>
      <c r="B61" s="102">
        <v>4.24</v>
      </c>
      <c r="C61" s="102">
        <f>'Spokane DF Calc'!L32</f>
        <v>4.3020123138923408E-2</v>
      </c>
      <c r="D61" s="102">
        <f t="shared" si="0"/>
        <v>4.2830201231389236</v>
      </c>
      <c r="F61" s="102">
        <f>ROUND(D61*References!$B$10,2)</f>
        <v>18.559999999999999</v>
      </c>
      <c r="G61" s="102">
        <f>ROUND($D61*References!$B$9,2)</f>
        <v>37.119999999999997</v>
      </c>
      <c r="H61" s="102">
        <f>ROUND($D61*References!$B$8,2)</f>
        <v>55.68</v>
      </c>
      <c r="I61" s="102">
        <f>ROUND($D61*References!$B$7,2)</f>
        <v>74.239999999999995</v>
      </c>
      <c r="J61" s="102">
        <f>ROUND($D61*References!$B$6,2)</f>
        <v>92.8</v>
      </c>
    </row>
    <row r="62" spans="1:13">
      <c r="A62" s="1" t="s">
        <v>305</v>
      </c>
      <c r="B62" s="102">
        <v>12.17</v>
      </c>
      <c r="C62" s="102">
        <f>C61</f>
        <v>4.3020123138923408E-2</v>
      </c>
      <c r="D62" s="102">
        <f t="shared" si="0"/>
        <v>12.213020123138923</v>
      </c>
    </row>
    <row r="63" spans="1:13">
      <c r="A63" s="1" t="s">
        <v>244</v>
      </c>
      <c r="B63" s="102">
        <v>19.12</v>
      </c>
      <c r="C63" s="102">
        <f>C62*References!B10</f>
        <v>0.18642053360200142</v>
      </c>
      <c r="D63" s="102">
        <f t="shared" si="0"/>
        <v>19.306420533602001</v>
      </c>
      <c r="M63" s="6"/>
    </row>
    <row r="65" spans="1:11">
      <c r="A65" s="116" t="s">
        <v>245</v>
      </c>
      <c r="B65" s="152">
        <v>8.2899999999999991</v>
      </c>
      <c r="C65" s="152">
        <f>'Spokane DF Calc'!L34</f>
        <v>6.972226853549654E-2</v>
      </c>
      <c r="D65" s="152">
        <f t="shared" si="0"/>
        <v>8.3597222685354957</v>
      </c>
      <c r="F65" s="102">
        <f>ROUND(D65*References!$B$10,2)</f>
        <v>36.229999999999997</v>
      </c>
      <c r="G65" s="102">
        <f>ROUND($D65*References!$B$9,2)</f>
        <v>72.45</v>
      </c>
      <c r="H65" s="102">
        <f>ROUND($D65*References!$B$8,2)</f>
        <v>108.68</v>
      </c>
      <c r="I65" s="102">
        <f>ROUND($D65*References!$B$7,2)</f>
        <v>144.9</v>
      </c>
      <c r="J65" s="102">
        <f>ROUND($D65*References!$B$6,2)</f>
        <v>181.13</v>
      </c>
    </row>
    <row r="66" spans="1:11">
      <c r="A66" s="116" t="s">
        <v>304</v>
      </c>
      <c r="B66" s="152">
        <v>16.559999999999999</v>
      </c>
      <c r="C66" s="152">
        <f>C65</f>
        <v>6.972226853549654E-2</v>
      </c>
      <c r="D66" s="152">
        <f t="shared" si="0"/>
        <v>16.629722268535495</v>
      </c>
    </row>
    <row r="67" spans="1:11">
      <c r="A67" s="116" t="s">
        <v>244</v>
      </c>
      <c r="B67" s="152">
        <v>35.869999999999997</v>
      </c>
      <c r="C67" s="152">
        <f>C66*References!B10</f>
        <v>0.30212983032048496</v>
      </c>
      <c r="D67" s="152">
        <f t="shared" si="0"/>
        <v>36.172129830320479</v>
      </c>
    </row>
    <row r="68" spans="1:11">
      <c r="A68" s="116"/>
      <c r="B68" s="152"/>
      <c r="C68" s="152"/>
      <c r="D68" s="152"/>
    </row>
    <row r="69" spans="1:11">
      <c r="A69" s="116" t="s">
        <v>246</v>
      </c>
      <c r="B69" s="152">
        <v>10.17</v>
      </c>
      <c r="C69" s="152">
        <f>'Spokane DF Calc'!L35</f>
        <v>0.10087477149816521</v>
      </c>
      <c r="D69" s="152">
        <f t="shared" ref="D69:D88" si="3">SUM(B69:C69)</f>
        <v>10.270874771498166</v>
      </c>
      <c r="F69" s="102">
        <f>ROUND(D69*References!$B$10,2)</f>
        <v>44.51</v>
      </c>
      <c r="G69" s="102">
        <f>ROUND($D69*References!$B$9,2)</f>
        <v>89.01</v>
      </c>
      <c r="H69" s="102">
        <f>ROUND($D69*References!$B$8,2)</f>
        <v>133.52000000000001</v>
      </c>
      <c r="I69" s="102">
        <f>ROUND($D69*References!$B$7,2)</f>
        <v>178.03</v>
      </c>
      <c r="J69" s="102">
        <f>ROUND($D69*References!$B$6,2)</f>
        <v>222.54</v>
      </c>
    </row>
    <row r="70" spans="1:11">
      <c r="A70" s="116" t="s">
        <v>303</v>
      </c>
      <c r="B70" s="152">
        <v>20.32</v>
      </c>
      <c r="C70" s="152">
        <f>C69</f>
        <v>0.10087477149816521</v>
      </c>
      <c r="D70" s="152">
        <f t="shared" si="3"/>
        <v>20.420874771498166</v>
      </c>
    </row>
    <row r="71" spans="1:11">
      <c r="A71" s="1" t="s">
        <v>244</v>
      </c>
      <c r="B71" s="102">
        <v>44.06</v>
      </c>
      <c r="C71" s="102">
        <f>C70*References!B10</f>
        <v>0.43712400982538252</v>
      </c>
      <c r="D71" s="102">
        <f t="shared" si="3"/>
        <v>44.497124009825384</v>
      </c>
    </row>
    <row r="73" spans="1:11">
      <c r="A73" s="7" t="s">
        <v>356</v>
      </c>
      <c r="F73" s="158" t="s">
        <v>309</v>
      </c>
      <c r="G73" s="158" t="s">
        <v>310</v>
      </c>
      <c r="H73" s="158" t="s">
        <v>311</v>
      </c>
      <c r="I73" s="158" t="s">
        <v>312</v>
      </c>
      <c r="J73" s="158" t="s">
        <v>313</v>
      </c>
    </row>
    <row r="74" spans="1:11">
      <c r="A74" s="46" t="s">
        <v>247</v>
      </c>
      <c r="B74" s="63">
        <v>61.4</v>
      </c>
      <c r="C74" s="63">
        <f>C36</f>
        <v>0.25960419135557228</v>
      </c>
      <c r="D74" s="63">
        <f t="shared" si="3"/>
        <v>61.659604191355569</v>
      </c>
      <c r="F74" s="102">
        <f>ROUND(D74*References!$B$10,2)</f>
        <v>267.19</v>
      </c>
      <c r="G74" s="102">
        <f>ROUND($D74*References!$B$9,2)</f>
        <v>534.38</v>
      </c>
      <c r="H74" s="102">
        <f>ROUND($D74*References!$B$8,2)</f>
        <v>801.57</v>
      </c>
      <c r="I74" s="102">
        <f>ROUND($D74*References!$B$7,2)</f>
        <v>1068.77</v>
      </c>
      <c r="J74" s="102">
        <f>ROUND($D74*References!$B$6,2)</f>
        <v>1335.96</v>
      </c>
      <c r="K74" s="6"/>
    </row>
    <row r="75" spans="1:11">
      <c r="A75" s="46" t="s">
        <v>248</v>
      </c>
      <c r="B75" s="63">
        <v>78.680000000000007</v>
      </c>
      <c r="C75" s="63">
        <f t="shared" ref="C75:C80" si="4">C37</f>
        <v>0.37086313050796044</v>
      </c>
      <c r="D75" s="63">
        <f t="shared" si="3"/>
        <v>79.050863130507963</v>
      </c>
      <c r="F75" s="102">
        <f>ROUND(D75*References!$B$10,2)</f>
        <v>342.55</v>
      </c>
      <c r="G75" s="102">
        <f>ROUND($D75*References!$B$9,2)</f>
        <v>685.11</v>
      </c>
      <c r="H75" s="102">
        <f>ROUND($D75*References!$B$8,2)</f>
        <v>1027.6600000000001</v>
      </c>
      <c r="I75" s="102">
        <f>ROUND($D75*References!$B$7,2)</f>
        <v>1370.21</v>
      </c>
      <c r="J75" s="102">
        <f>ROUND($D75*References!$B$6,2)</f>
        <v>1712.77</v>
      </c>
      <c r="K75" s="6"/>
    </row>
    <row r="76" spans="1:11">
      <c r="A76" s="46" t="s">
        <v>224</v>
      </c>
      <c r="B76" s="63">
        <v>104.66</v>
      </c>
      <c r="C76" s="63">
        <f t="shared" si="4"/>
        <v>0.48063861713831657</v>
      </c>
      <c r="D76" s="63">
        <f t="shared" si="3"/>
        <v>105.14063861713831</v>
      </c>
      <c r="F76" s="102">
        <f>ROUND(D76*References!$B$10,2)</f>
        <v>455.61</v>
      </c>
      <c r="G76" s="102">
        <f>ROUND($D76*References!$B$9,2)</f>
        <v>911.22</v>
      </c>
      <c r="H76" s="102">
        <f>ROUND($D76*References!$B$8,2)</f>
        <v>1366.83</v>
      </c>
      <c r="I76" s="102">
        <f>ROUND($D76*References!$B$7,2)</f>
        <v>1822.44</v>
      </c>
      <c r="J76" s="102">
        <f>ROUND($D76*References!$B$6,2)</f>
        <v>2278.0500000000002</v>
      </c>
    </row>
    <row r="77" spans="1:11">
      <c r="A77" s="46" t="s">
        <v>225</v>
      </c>
      <c r="B77" s="63">
        <v>146.97</v>
      </c>
      <c r="C77" s="63">
        <f t="shared" si="4"/>
        <v>0.70167304292106103</v>
      </c>
      <c r="D77" s="63">
        <f t="shared" si="3"/>
        <v>147.67167304292107</v>
      </c>
      <c r="F77" s="102">
        <f>ROUND(D77*References!$B$10,2)</f>
        <v>639.91</v>
      </c>
      <c r="G77" s="102">
        <f>ROUND($D77*References!$B$9,2)</f>
        <v>1279.82</v>
      </c>
      <c r="H77" s="102">
        <f>ROUND($D77*References!$B$8,2)</f>
        <v>1919.73</v>
      </c>
      <c r="I77" s="102">
        <f>ROUND($D77*References!$B$7,2)</f>
        <v>2559.64</v>
      </c>
      <c r="J77" s="102">
        <f>ROUND($D77*References!$B$6,2)</f>
        <v>3199.55</v>
      </c>
    </row>
    <row r="78" spans="1:11">
      <c r="A78" s="46" t="s">
        <v>226</v>
      </c>
      <c r="B78" s="63">
        <v>194.71</v>
      </c>
      <c r="C78" s="63">
        <f t="shared" si="4"/>
        <v>0.90935639600551865</v>
      </c>
      <c r="D78" s="63">
        <f t="shared" si="3"/>
        <v>195.61935639600551</v>
      </c>
      <c r="F78" s="102">
        <f>ROUND(D78*References!$B$10,2)</f>
        <v>847.68</v>
      </c>
      <c r="G78" s="102">
        <f>ROUND($D78*References!$B$9,2)</f>
        <v>1695.37</v>
      </c>
      <c r="H78" s="102">
        <f>ROUND($D78*References!$B$8,2)</f>
        <v>2543.0500000000002</v>
      </c>
      <c r="I78" s="102">
        <f>ROUND($D78*References!$B$7,2)</f>
        <v>3390.74</v>
      </c>
      <c r="J78" s="102">
        <f>ROUND($D78*References!$B$6,2)</f>
        <v>4238.42</v>
      </c>
    </row>
    <row r="79" spans="1:11">
      <c r="A79" s="46" t="s">
        <v>249</v>
      </c>
      <c r="B79" s="63">
        <v>282.52999999999997</v>
      </c>
      <c r="C79" s="63">
        <f t="shared" si="4"/>
        <v>1.2461001185067468</v>
      </c>
      <c r="D79" s="63">
        <f t="shared" si="3"/>
        <v>283.77610011850675</v>
      </c>
      <c r="F79" s="102">
        <f>ROUND(D79*References!$B$10,2)</f>
        <v>1229.7</v>
      </c>
      <c r="G79" s="102">
        <f>ROUND($D79*References!$B$9,2)</f>
        <v>2459.39</v>
      </c>
      <c r="H79" s="102">
        <f>ROUND($D79*References!$B$8,2)</f>
        <v>3689.09</v>
      </c>
      <c r="I79" s="102">
        <f>ROUND($D79*References!$B$7,2)</f>
        <v>4918.79</v>
      </c>
      <c r="J79" s="102">
        <f>ROUND($D79*References!$B$6,2)</f>
        <v>6148.48</v>
      </c>
    </row>
    <row r="80" spans="1:11">
      <c r="A80" s="46" t="s">
        <v>250</v>
      </c>
      <c r="B80" s="63">
        <v>309.05</v>
      </c>
      <c r="C80" s="63">
        <f t="shared" si="4"/>
        <v>1.4537834715912046</v>
      </c>
      <c r="D80" s="63">
        <f t="shared" si="3"/>
        <v>310.50378347159119</v>
      </c>
      <c r="F80" s="102">
        <f>ROUND(D80*References!$B$10,2)</f>
        <v>1345.52</v>
      </c>
      <c r="G80" s="102">
        <f>ROUND($D80*References!$B$9,2)</f>
        <v>2691.03</v>
      </c>
      <c r="H80" s="102">
        <f>ROUND($D80*References!$B$8,2)</f>
        <v>4036.55</v>
      </c>
      <c r="I80" s="102">
        <f>ROUND($D80*References!$B$7,2)</f>
        <v>5382.07</v>
      </c>
      <c r="J80" s="102">
        <f>ROUND($D80*References!$B$6,2)</f>
        <v>6727.58</v>
      </c>
    </row>
    <row r="82" spans="1:4">
      <c r="A82" s="46" t="s">
        <v>251</v>
      </c>
      <c r="B82" s="63">
        <v>109.78</v>
      </c>
      <c r="C82" s="63">
        <f>C36</f>
        <v>0.25960419135557228</v>
      </c>
      <c r="D82" s="63">
        <f t="shared" si="3"/>
        <v>110.03960419135558</v>
      </c>
    </row>
    <row r="83" spans="1:4">
      <c r="A83" s="46" t="s">
        <v>252</v>
      </c>
      <c r="B83" s="63">
        <v>151.08000000000001</v>
      </c>
      <c r="C83" s="63">
        <f t="shared" ref="C83:C88" si="5">C37</f>
        <v>0.37086313050796044</v>
      </c>
      <c r="D83" s="63">
        <f t="shared" si="3"/>
        <v>151.45086313050797</v>
      </c>
    </row>
    <row r="84" spans="1:4">
      <c r="A84" s="46" t="s">
        <v>231</v>
      </c>
      <c r="B84" s="63">
        <v>200.31</v>
      </c>
      <c r="C84" s="63">
        <f t="shared" si="5"/>
        <v>0.48063861713831657</v>
      </c>
      <c r="D84" s="63">
        <f t="shared" si="3"/>
        <v>200.79063861713831</v>
      </c>
    </row>
    <row r="85" spans="1:4">
      <c r="A85" s="46" t="s">
        <v>232</v>
      </c>
      <c r="B85" s="63">
        <v>299.57</v>
      </c>
      <c r="C85" s="63">
        <f t="shared" si="5"/>
        <v>0.70167304292106103</v>
      </c>
      <c r="D85" s="63">
        <f t="shared" si="3"/>
        <v>300.27167304292107</v>
      </c>
    </row>
    <row r="86" spans="1:4">
      <c r="A86" s="46" t="s">
        <v>233</v>
      </c>
      <c r="B86" s="63">
        <v>396.38</v>
      </c>
      <c r="C86" s="63">
        <f t="shared" si="5"/>
        <v>0.90935639600551865</v>
      </c>
      <c r="D86" s="63">
        <f t="shared" si="3"/>
        <v>397.28935639600553</v>
      </c>
    </row>
    <row r="87" spans="1:4">
      <c r="A87" s="46" t="s">
        <v>253</v>
      </c>
      <c r="B87" s="63">
        <v>504.19</v>
      </c>
      <c r="C87" s="63">
        <f t="shared" si="5"/>
        <v>1.2461001185067468</v>
      </c>
      <c r="D87" s="63">
        <f t="shared" si="3"/>
        <v>505.43610011850677</v>
      </c>
    </row>
    <row r="88" spans="1:4">
      <c r="A88" s="46" t="s">
        <v>254</v>
      </c>
      <c r="B88" s="63">
        <v>588.29999999999995</v>
      </c>
      <c r="C88" s="63">
        <f t="shared" si="5"/>
        <v>1.4537834715912046</v>
      </c>
      <c r="D88" s="63">
        <f t="shared" si="3"/>
        <v>589.75378347159119</v>
      </c>
    </row>
  </sheetData>
  <pageMargins left="0.7" right="0.7" top="0.75" bottom="0.75" header="0.3" footer="0.3"/>
  <pageSetup scale="74" fitToHeight="0" orientation="portrait" r:id="rId1"/>
  <headerFooter>
    <oddFooter>&amp;L&amp;F - &amp;A&amp;R&amp;P of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8"/>
  <sheetViews>
    <sheetView zoomScale="85" zoomScaleNormal="85" workbookViewId="0">
      <selection activeCell="J29" sqref="J29"/>
    </sheetView>
  </sheetViews>
  <sheetFormatPr defaultRowHeight="15"/>
  <cols>
    <col min="1" max="1" width="16.42578125" style="121" customWidth="1"/>
    <col min="2" max="2" width="15.42578125" style="121" customWidth="1"/>
    <col min="3" max="3" width="11.5703125" style="121" bestFit="1" customWidth="1"/>
    <col min="4" max="4" width="10.5703125" style="121" bestFit="1" customWidth="1"/>
    <col min="5" max="5" width="11.5703125" style="121" bestFit="1" customWidth="1"/>
    <col min="6" max="6" width="12.5703125" style="121" bestFit="1" customWidth="1"/>
    <col min="7" max="7" width="10.5703125" style="121" bestFit="1" customWidth="1"/>
    <col min="8" max="8" width="1.5703125" style="121" customWidth="1"/>
    <col min="9" max="9" width="11.5703125" style="103" bestFit="1" customWidth="1"/>
    <col min="10" max="10" width="10.85546875" style="103" bestFit="1" customWidth="1"/>
    <col min="11" max="11" width="10.5703125" style="103" bestFit="1" customWidth="1"/>
    <col min="12" max="12" width="9.140625" style="103"/>
    <col min="13" max="13" width="15.28515625" style="103" bestFit="1" customWidth="1"/>
    <col min="14" max="14" width="12.5703125" style="103" bestFit="1" customWidth="1"/>
    <col min="15" max="15" width="2.7109375" style="103" customWidth="1"/>
    <col min="16" max="16" width="9.5703125" style="103" bestFit="1" customWidth="1"/>
    <col min="17" max="17" width="12.5703125" style="103" bestFit="1" customWidth="1"/>
    <col min="18" max="16384" width="9.140625" style="103"/>
  </cols>
  <sheetData>
    <row r="1" spans="1:18">
      <c r="A1" s="119" t="s">
        <v>283</v>
      </c>
      <c r="B1" s="96"/>
      <c r="C1" s="94"/>
      <c r="D1" s="96"/>
      <c r="E1" s="94"/>
      <c r="F1" s="95"/>
      <c r="G1" s="94"/>
      <c r="H1" s="96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>
      <c r="A2" s="92" t="s">
        <v>333</v>
      </c>
      <c r="B2" s="96"/>
      <c r="C2" s="94"/>
      <c r="D2" s="96"/>
      <c r="E2" s="94"/>
      <c r="F2" s="95"/>
      <c r="G2" s="94"/>
      <c r="H2" s="96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>
      <c r="A3" s="92" t="s">
        <v>301</v>
      </c>
      <c r="B3" s="96"/>
      <c r="C3" s="94"/>
      <c r="D3" s="96"/>
      <c r="E3" s="94"/>
      <c r="F3" s="95"/>
      <c r="G3" s="94"/>
      <c r="H3" s="96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31.5" customHeight="1">
      <c r="A4" s="231" t="s">
        <v>307</v>
      </c>
      <c r="B4" s="231"/>
      <c r="C4" s="231"/>
      <c r="D4" s="231"/>
      <c r="E4" s="231"/>
      <c r="F4" s="231"/>
      <c r="G4" s="231"/>
      <c r="H4" s="23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>
      <c r="A5" s="95"/>
      <c r="B5" s="96"/>
      <c r="C5" s="94"/>
      <c r="D5" s="96"/>
      <c r="E5" s="94"/>
      <c r="F5" s="95"/>
      <c r="G5" s="94"/>
      <c r="H5" s="96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8">
      <c r="A6" s="168" t="s">
        <v>323</v>
      </c>
      <c r="B6" s="96"/>
      <c r="C6" s="94"/>
      <c r="D6" s="94"/>
      <c r="E6" s="169"/>
      <c r="F6" s="170"/>
      <c r="G6" s="94"/>
      <c r="H6" s="171"/>
      <c r="I6" s="96"/>
      <c r="J6" s="169"/>
      <c r="K6" s="170"/>
      <c r="L6" s="96"/>
      <c r="M6" s="94"/>
      <c r="N6" s="94"/>
      <c r="O6" s="171"/>
      <c r="P6" s="94"/>
      <c r="Q6" s="94"/>
      <c r="R6" s="121"/>
    </row>
    <row r="7" spans="1:18">
      <c r="A7" s="168" t="s">
        <v>324</v>
      </c>
      <c r="B7" s="96"/>
      <c r="C7" s="94"/>
      <c r="D7" s="94"/>
      <c r="E7" s="172"/>
      <c r="F7" s="170"/>
      <c r="G7" s="94"/>
      <c r="H7" s="171"/>
      <c r="I7" s="96"/>
      <c r="J7" s="172"/>
      <c r="K7" s="170"/>
      <c r="L7" s="96"/>
      <c r="M7" s="94" t="s">
        <v>325</v>
      </c>
      <c r="N7" s="94" t="s">
        <v>326</v>
      </c>
      <c r="O7" s="171"/>
      <c r="P7" s="94"/>
      <c r="Q7" s="94"/>
      <c r="R7" s="121"/>
    </row>
    <row r="8" spans="1:18">
      <c r="A8" s="171"/>
      <c r="B8" s="96"/>
      <c r="C8" s="94"/>
      <c r="D8" s="94"/>
      <c r="E8" s="96"/>
      <c r="F8" s="94" t="s">
        <v>327</v>
      </c>
      <c r="G8" s="94" t="s">
        <v>328</v>
      </c>
      <c r="H8" s="171"/>
      <c r="I8" s="96"/>
      <c r="J8" s="94"/>
      <c r="K8" s="94"/>
      <c r="L8" s="96"/>
      <c r="M8" s="94" t="s">
        <v>329</v>
      </c>
      <c r="N8" s="94" t="s">
        <v>330</v>
      </c>
      <c r="O8" s="171"/>
      <c r="P8" s="94"/>
      <c r="Q8" s="94"/>
      <c r="R8" s="121"/>
    </row>
    <row r="9" spans="1:18">
      <c r="A9" s="171"/>
      <c r="B9" s="232" t="s">
        <v>274</v>
      </c>
      <c r="C9" s="233"/>
      <c r="D9" s="233"/>
      <c r="E9" s="233"/>
      <c r="F9" s="234"/>
      <c r="G9" s="173"/>
      <c r="H9" s="171"/>
      <c r="I9" s="232" t="s">
        <v>331</v>
      </c>
      <c r="J9" s="233"/>
      <c r="K9" s="233"/>
      <c r="L9" s="233"/>
      <c r="M9" s="234"/>
      <c r="N9" s="173"/>
      <c r="O9" s="171"/>
      <c r="P9" s="235" t="s">
        <v>0</v>
      </c>
      <c r="Q9" s="236"/>
      <c r="R9" s="121"/>
    </row>
    <row r="10" spans="1:18">
      <c r="A10" s="171"/>
      <c r="B10" s="237" t="s">
        <v>275</v>
      </c>
      <c r="C10" s="237"/>
      <c r="D10" s="137" t="s">
        <v>3</v>
      </c>
      <c r="E10" s="237" t="s">
        <v>276</v>
      </c>
      <c r="F10" s="237"/>
      <c r="G10" s="137" t="s">
        <v>3</v>
      </c>
      <c r="H10" s="96"/>
      <c r="I10" s="237" t="s">
        <v>275</v>
      </c>
      <c r="J10" s="237"/>
      <c r="K10" s="137" t="s">
        <v>3</v>
      </c>
      <c r="L10" s="237" t="s">
        <v>276</v>
      </c>
      <c r="M10" s="237"/>
      <c r="N10" s="137" t="s">
        <v>3</v>
      </c>
      <c r="O10" s="96"/>
      <c r="P10" s="171"/>
      <c r="Q10" s="171"/>
      <c r="R10" s="121"/>
    </row>
    <row r="11" spans="1:18">
      <c r="A11" s="171"/>
      <c r="B11" s="174" t="s">
        <v>199</v>
      </c>
      <c r="C11" s="175" t="s">
        <v>277</v>
      </c>
      <c r="D11" s="175"/>
      <c r="E11" s="174" t="s">
        <v>199</v>
      </c>
      <c r="F11" s="175" t="s">
        <v>277</v>
      </c>
      <c r="G11" s="176"/>
      <c r="H11" s="96"/>
      <c r="I11" s="174" t="s">
        <v>199</v>
      </c>
      <c r="J11" s="175" t="s">
        <v>277</v>
      </c>
      <c r="K11" s="175"/>
      <c r="L11" s="174" t="s">
        <v>199</v>
      </c>
      <c r="M11" s="175" t="s">
        <v>277</v>
      </c>
      <c r="N11" s="175"/>
      <c r="O11" s="96"/>
      <c r="P11" s="174" t="s">
        <v>199</v>
      </c>
      <c r="Q11" s="175" t="s">
        <v>277</v>
      </c>
      <c r="R11" s="121"/>
    </row>
    <row r="12" spans="1:18">
      <c r="A12" s="177">
        <v>42186</v>
      </c>
      <c r="B12" s="178">
        <v>17.18</v>
      </c>
      <c r="C12" s="94">
        <v>1735.18</v>
      </c>
      <c r="D12" s="94">
        <f t="shared" ref="D12:D23" si="0">IFERROR((C12/B12),0)</f>
        <v>101</v>
      </c>
      <c r="E12" s="178">
        <v>94.34</v>
      </c>
      <c r="F12" s="94">
        <v>9528.34</v>
      </c>
      <c r="G12" s="94">
        <f t="shared" ref="G12:G23" si="1">F12/E12</f>
        <v>101</v>
      </c>
      <c r="H12" s="96"/>
      <c r="I12" s="178">
        <v>2.46</v>
      </c>
      <c r="J12" s="94">
        <v>251.88</v>
      </c>
      <c r="K12" s="94">
        <f t="shared" ref="K12:K23" si="2">IFERROR((J12/I12),0)</f>
        <v>102.39024390243902</v>
      </c>
      <c r="L12" s="178">
        <v>37.57</v>
      </c>
      <c r="M12" s="94">
        <v>3846.78</v>
      </c>
      <c r="N12" s="94">
        <f t="shared" ref="N12:N23" si="3">IFERROR((M12/L12),0)</f>
        <v>102.3896726111259</v>
      </c>
      <c r="O12" s="96"/>
      <c r="P12" s="179">
        <f t="shared" ref="P12:Q23" si="4">B12+E12+I12+L12</f>
        <v>151.55000000000001</v>
      </c>
      <c r="Q12" s="180">
        <f t="shared" si="4"/>
        <v>15362.18</v>
      </c>
      <c r="R12" s="121"/>
    </row>
    <row r="13" spans="1:18">
      <c r="A13" s="177">
        <v>42217</v>
      </c>
      <c r="B13" s="178">
        <v>6.75</v>
      </c>
      <c r="C13" s="94">
        <v>681.75</v>
      </c>
      <c r="D13" s="94">
        <f t="shared" si="0"/>
        <v>101</v>
      </c>
      <c r="E13" s="178">
        <v>102.55</v>
      </c>
      <c r="F13" s="94">
        <v>10357.549999999999</v>
      </c>
      <c r="G13" s="94">
        <f t="shared" si="1"/>
        <v>101</v>
      </c>
      <c r="H13" s="96"/>
      <c r="I13" s="178">
        <v>13.27</v>
      </c>
      <c r="J13" s="94">
        <v>1358.71</v>
      </c>
      <c r="K13" s="94">
        <f t="shared" si="2"/>
        <v>102.38960060286361</v>
      </c>
      <c r="L13" s="178">
        <v>51.46</v>
      </c>
      <c r="M13" s="94">
        <v>5269</v>
      </c>
      <c r="N13" s="94">
        <f t="shared" si="3"/>
        <v>102.39020598523125</v>
      </c>
      <c r="O13" s="96"/>
      <c r="P13" s="179">
        <f t="shared" si="4"/>
        <v>174.03</v>
      </c>
      <c r="Q13" s="180">
        <f t="shared" si="4"/>
        <v>17667.009999999998</v>
      </c>
      <c r="R13" s="121"/>
    </row>
    <row r="14" spans="1:18">
      <c r="A14" s="177">
        <v>42248</v>
      </c>
      <c r="B14" s="178">
        <v>9.49</v>
      </c>
      <c r="C14" s="94">
        <v>958.49</v>
      </c>
      <c r="D14" s="94">
        <f t="shared" si="0"/>
        <v>101</v>
      </c>
      <c r="E14" s="178">
        <v>108.38</v>
      </c>
      <c r="F14" s="94">
        <v>10946.38</v>
      </c>
      <c r="G14" s="94">
        <f t="shared" si="1"/>
        <v>101</v>
      </c>
      <c r="H14" s="96"/>
      <c r="I14" s="178">
        <v>7.47</v>
      </c>
      <c r="J14" s="94">
        <v>764.85</v>
      </c>
      <c r="K14" s="94">
        <f t="shared" si="2"/>
        <v>102.38955823293173</v>
      </c>
      <c r="L14" s="178">
        <v>38.33</v>
      </c>
      <c r="M14" s="94">
        <v>3924.61</v>
      </c>
      <c r="N14" s="94">
        <f t="shared" si="3"/>
        <v>102.3900339159927</v>
      </c>
      <c r="O14" s="96"/>
      <c r="P14" s="179">
        <f t="shared" si="4"/>
        <v>163.66999999999999</v>
      </c>
      <c r="Q14" s="180">
        <f t="shared" si="4"/>
        <v>16594.329999999998</v>
      </c>
      <c r="R14" s="121"/>
    </row>
    <row r="15" spans="1:18">
      <c r="A15" s="177">
        <v>42278</v>
      </c>
      <c r="B15" s="178">
        <v>3.95</v>
      </c>
      <c r="C15" s="94">
        <v>398.95</v>
      </c>
      <c r="D15" s="94">
        <f t="shared" si="0"/>
        <v>100.99999999999999</v>
      </c>
      <c r="E15" s="178">
        <v>88.57</v>
      </c>
      <c r="F15" s="94">
        <v>8945.57</v>
      </c>
      <c r="G15" s="94">
        <f t="shared" si="1"/>
        <v>101</v>
      </c>
      <c r="H15" s="96"/>
      <c r="I15" s="178">
        <v>2.38</v>
      </c>
      <c r="J15" s="94">
        <v>243.69</v>
      </c>
      <c r="K15" s="94">
        <f t="shared" si="2"/>
        <v>102.39075630252101</v>
      </c>
      <c r="L15" s="178">
        <v>39.549999999999997</v>
      </c>
      <c r="M15" s="94">
        <v>4049.52</v>
      </c>
      <c r="N15" s="94">
        <f t="shared" si="3"/>
        <v>102.38988621997473</v>
      </c>
      <c r="O15" s="96"/>
      <c r="P15" s="179">
        <f t="shared" si="4"/>
        <v>134.44999999999999</v>
      </c>
      <c r="Q15" s="180">
        <f t="shared" si="4"/>
        <v>13637.730000000001</v>
      </c>
      <c r="R15" s="121"/>
    </row>
    <row r="16" spans="1:18">
      <c r="A16" s="177">
        <v>42309</v>
      </c>
      <c r="B16" s="178">
        <v>9.76</v>
      </c>
      <c r="C16" s="94">
        <v>985.76</v>
      </c>
      <c r="D16" s="94">
        <f t="shared" si="0"/>
        <v>101</v>
      </c>
      <c r="E16" s="178">
        <v>104.85</v>
      </c>
      <c r="F16" s="94">
        <v>10589.85</v>
      </c>
      <c r="G16" s="94">
        <f t="shared" si="1"/>
        <v>101.00000000000001</v>
      </c>
      <c r="H16" s="96"/>
      <c r="I16" s="178">
        <v>10.46</v>
      </c>
      <c r="J16" s="94">
        <v>1071</v>
      </c>
      <c r="K16" s="94">
        <f t="shared" si="2"/>
        <v>102.39005736137666</v>
      </c>
      <c r="L16" s="178">
        <v>50.24</v>
      </c>
      <c r="M16" s="94">
        <v>5144.0600000000004</v>
      </c>
      <c r="N16" s="94">
        <f t="shared" si="3"/>
        <v>102.38972929936305</v>
      </c>
      <c r="O16" s="96"/>
      <c r="P16" s="179">
        <f t="shared" si="4"/>
        <v>175.31</v>
      </c>
      <c r="Q16" s="180">
        <f t="shared" si="4"/>
        <v>17790.670000000002</v>
      </c>
      <c r="R16" s="121"/>
    </row>
    <row r="17" spans="1:18">
      <c r="A17" s="177">
        <v>42339</v>
      </c>
      <c r="B17" s="178">
        <v>2.67</v>
      </c>
      <c r="C17" s="94">
        <v>269.67</v>
      </c>
      <c r="D17" s="94">
        <f t="shared" si="0"/>
        <v>101.00000000000001</v>
      </c>
      <c r="E17" s="178">
        <v>127.46</v>
      </c>
      <c r="F17" s="94">
        <v>12873.46</v>
      </c>
      <c r="G17" s="94">
        <f t="shared" si="1"/>
        <v>101</v>
      </c>
      <c r="H17" s="96"/>
      <c r="I17" s="178">
        <v>0</v>
      </c>
      <c r="J17" s="94">
        <v>0</v>
      </c>
      <c r="K17" s="94">
        <f t="shared" si="2"/>
        <v>0</v>
      </c>
      <c r="L17" s="178">
        <v>31.98</v>
      </c>
      <c r="M17" s="94">
        <v>3274.43</v>
      </c>
      <c r="N17" s="94">
        <f t="shared" si="3"/>
        <v>102.38993120700437</v>
      </c>
      <c r="O17" s="96"/>
      <c r="P17" s="179">
        <f t="shared" si="4"/>
        <v>162.10999999999999</v>
      </c>
      <c r="Q17" s="180">
        <f t="shared" si="4"/>
        <v>16417.559999999998</v>
      </c>
      <c r="R17" s="121"/>
    </row>
    <row r="18" spans="1:18">
      <c r="A18" s="177">
        <v>42370</v>
      </c>
      <c r="B18" s="178">
        <v>4.3600000000000003</v>
      </c>
      <c r="C18" s="94">
        <v>440.36</v>
      </c>
      <c r="D18" s="94">
        <f t="shared" si="0"/>
        <v>101</v>
      </c>
      <c r="E18" s="178">
        <v>79.680000000000007</v>
      </c>
      <c r="F18" s="94">
        <v>8047.68</v>
      </c>
      <c r="G18" s="94">
        <f t="shared" si="1"/>
        <v>101</v>
      </c>
      <c r="H18" s="96"/>
      <c r="I18" s="178">
        <v>11.49</v>
      </c>
      <c r="J18" s="94">
        <v>1210.5899999999999</v>
      </c>
      <c r="K18" s="94">
        <f t="shared" si="2"/>
        <v>105.36031331592689</v>
      </c>
      <c r="L18" s="178">
        <v>33.130000000000003</v>
      </c>
      <c r="M18" s="94">
        <v>3490.57</v>
      </c>
      <c r="N18" s="94">
        <f t="shared" si="3"/>
        <v>105.35979474796257</v>
      </c>
      <c r="O18" s="96"/>
      <c r="P18" s="179">
        <f t="shared" si="4"/>
        <v>128.66</v>
      </c>
      <c r="Q18" s="180">
        <f t="shared" si="4"/>
        <v>13189.2</v>
      </c>
      <c r="R18" s="121"/>
    </row>
    <row r="19" spans="1:18">
      <c r="A19" s="177">
        <v>42401</v>
      </c>
      <c r="B19" s="178">
        <v>2.88</v>
      </c>
      <c r="C19" s="94">
        <v>290.88</v>
      </c>
      <c r="D19" s="94">
        <f t="shared" si="0"/>
        <v>101</v>
      </c>
      <c r="E19" s="178">
        <v>91.58</v>
      </c>
      <c r="F19" s="94">
        <v>9249.58</v>
      </c>
      <c r="G19" s="94">
        <f t="shared" si="1"/>
        <v>101</v>
      </c>
      <c r="H19" s="96"/>
      <c r="I19" s="178">
        <v>3.09</v>
      </c>
      <c r="J19" s="94">
        <v>325.56</v>
      </c>
      <c r="K19" s="94">
        <f t="shared" si="2"/>
        <v>105.35922330097088</v>
      </c>
      <c r="L19" s="178">
        <v>43.77</v>
      </c>
      <c r="M19" s="94">
        <v>4611.6099999999997</v>
      </c>
      <c r="N19" s="94">
        <f t="shared" si="3"/>
        <v>105.36006397075622</v>
      </c>
      <c r="O19" s="96"/>
      <c r="P19" s="179">
        <f t="shared" si="4"/>
        <v>141.32</v>
      </c>
      <c r="Q19" s="180">
        <f t="shared" si="4"/>
        <v>14477.629999999997</v>
      </c>
      <c r="R19" s="121"/>
    </row>
    <row r="20" spans="1:18">
      <c r="A20" s="177">
        <v>42430</v>
      </c>
      <c r="B20" s="178">
        <v>9.5399999999999991</v>
      </c>
      <c r="C20" s="94">
        <v>963.54</v>
      </c>
      <c r="D20" s="94">
        <f t="shared" si="0"/>
        <v>101</v>
      </c>
      <c r="E20" s="178">
        <v>116.78</v>
      </c>
      <c r="F20" s="94">
        <v>11794.78</v>
      </c>
      <c r="G20" s="94">
        <f t="shared" si="1"/>
        <v>101</v>
      </c>
      <c r="H20" s="96"/>
      <c r="I20" s="178">
        <v>15.21</v>
      </c>
      <c r="J20" s="94">
        <v>1602.52</v>
      </c>
      <c r="K20" s="94">
        <f t="shared" si="2"/>
        <v>105.35963182117028</v>
      </c>
      <c r="L20" s="178">
        <v>34.14</v>
      </c>
      <c r="M20" s="94">
        <v>3596.99</v>
      </c>
      <c r="N20" s="94">
        <f t="shared" si="3"/>
        <v>105.35998828353836</v>
      </c>
      <c r="O20" s="96"/>
      <c r="P20" s="179">
        <f t="shared" si="4"/>
        <v>175.67000000000002</v>
      </c>
      <c r="Q20" s="180">
        <f t="shared" si="4"/>
        <v>17957.830000000002</v>
      </c>
      <c r="R20" s="121"/>
    </row>
    <row r="21" spans="1:18">
      <c r="A21" s="177">
        <v>42461</v>
      </c>
      <c r="B21" s="178">
        <v>26.95</v>
      </c>
      <c r="C21" s="94">
        <v>2721.95</v>
      </c>
      <c r="D21" s="94">
        <f t="shared" si="0"/>
        <v>101</v>
      </c>
      <c r="E21" s="178">
        <v>87.47</v>
      </c>
      <c r="F21" s="94">
        <v>8834.4699999999993</v>
      </c>
      <c r="G21" s="94">
        <f t="shared" si="1"/>
        <v>101</v>
      </c>
      <c r="H21" s="96"/>
      <c r="I21" s="178">
        <v>8.74</v>
      </c>
      <c r="J21" s="94">
        <v>920.85</v>
      </c>
      <c r="K21" s="94">
        <f t="shared" si="2"/>
        <v>105.3604118993135</v>
      </c>
      <c r="L21" s="178">
        <v>37.94</v>
      </c>
      <c r="M21" s="94">
        <v>3997.36</v>
      </c>
      <c r="N21" s="94">
        <f t="shared" si="3"/>
        <v>105.3600421718503</v>
      </c>
      <c r="O21" s="96"/>
      <c r="P21" s="179">
        <f t="shared" si="4"/>
        <v>161.1</v>
      </c>
      <c r="Q21" s="180">
        <f t="shared" si="4"/>
        <v>16474.629999999997</v>
      </c>
      <c r="R21" s="121"/>
    </row>
    <row r="22" spans="1:18">
      <c r="A22" s="177">
        <v>42491</v>
      </c>
      <c r="B22" s="178">
        <v>9.85</v>
      </c>
      <c r="C22" s="94">
        <v>994.85</v>
      </c>
      <c r="D22" s="94">
        <f t="shared" si="0"/>
        <v>101</v>
      </c>
      <c r="E22" s="178">
        <v>117.79</v>
      </c>
      <c r="F22" s="94">
        <v>11896.79</v>
      </c>
      <c r="G22" s="94">
        <f t="shared" si="1"/>
        <v>101</v>
      </c>
      <c r="H22" s="96"/>
      <c r="I22" s="178">
        <v>2.66</v>
      </c>
      <c r="J22" s="94">
        <v>280.26</v>
      </c>
      <c r="K22" s="94">
        <f t="shared" si="2"/>
        <v>105.36090225563909</v>
      </c>
      <c r="L22" s="178">
        <v>47.5</v>
      </c>
      <c r="M22" s="94">
        <v>5004.6099999999997</v>
      </c>
      <c r="N22" s="94">
        <f t="shared" si="3"/>
        <v>105.36021052631578</v>
      </c>
      <c r="O22" s="96"/>
      <c r="P22" s="179">
        <f t="shared" si="4"/>
        <v>177.8</v>
      </c>
      <c r="Q22" s="180">
        <f t="shared" si="4"/>
        <v>18176.510000000002</v>
      </c>
      <c r="R22" s="121"/>
    </row>
    <row r="23" spans="1:18">
      <c r="A23" s="177">
        <v>42522</v>
      </c>
      <c r="B23" s="178">
        <v>7.8</v>
      </c>
      <c r="C23" s="94">
        <v>787.8</v>
      </c>
      <c r="D23" s="94">
        <f t="shared" si="0"/>
        <v>101</v>
      </c>
      <c r="E23" s="178">
        <v>131.44</v>
      </c>
      <c r="F23" s="94">
        <v>13275.44</v>
      </c>
      <c r="G23" s="94">
        <f t="shared" si="1"/>
        <v>101</v>
      </c>
      <c r="H23" s="96"/>
      <c r="I23" s="178">
        <v>12.24</v>
      </c>
      <c r="J23" s="94">
        <v>1289.6099999999999</v>
      </c>
      <c r="K23" s="94">
        <f t="shared" si="2"/>
        <v>105.36029411764704</v>
      </c>
      <c r="L23" s="178">
        <v>37.18</v>
      </c>
      <c r="M23" s="94">
        <v>3917.28</v>
      </c>
      <c r="N23" s="94">
        <f t="shared" si="3"/>
        <v>105.35987089833245</v>
      </c>
      <c r="O23" s="96"/>
      <c r="P23" s="179">
        <f t="shared" si="4"/>
        <v>188.66000000000003</v>
      </c>
      <c r="Q23" s="180">
        <f t="shared" si="4"/>
        <v>19270.13</v>
      </c>
      <c r="R23" s="121"/>
    </row>
    <row r="24" spans="1:18" ht="17.25">
      <c r="A24" s="177"/>
      <c r="B24" s="181"/>
      <c r="C24" s="182"/>
      <c r="D24" s="182"/>
      <c r="E24" s="183"/>
      <c r="F24" s="182"/>
      <c r="G24" s="182"/>
      <c r="H24" s="184"/>
      <c r="I24" s="181"/>
      <c r="J24" s="182"/>
      <c r="K24" s="182"/>
      <c r="L24" s="183"/>
      <c r="M24" s="182"/>
      <c r="N24" s="182"/>
      <c r="O24" s="184"/>
      <c r="P24" s="179"/>
      <c r="Q24" s="180"/>
      <c r="R24" s="121"/>
    </row>
    <row r="25" spans="1:18" ht="15.75" thickBot="1">
      <c r="A25" s="171"/>
      <c r="B25" s="185">
        <f>SUM(B12:B23)</f>
        <v>111.18</v>
      </c>
      <c r="C25" s="186">
        <f t="shared" ref="C25:Q25" si="5">SUM(C12:C23)</f>
        <v>11229.179999999998</v>
      </c>
      <c r="D25" s="186">
        <f t="shared" si="5"/>
        <v>1212</v>
      </c>
      <c r="E25" s="185">
        <f t="shared" si="5"/>
        <v>1250.8900000000001</v>
      </c>
      <c r="F25" s="186">
        <f t="shared" si="5"/>
        <v>126339.88999999998</v>
      </c>
      <c r="G25" s="186">
        <f t="shared" si="5"/>
        <v>1212</v>
      </c>
      <c r="H25" s="185"/>
      <c r="I25" s="185">
        <f t="shared" si="5"/>
        <v>89.47</v>
      </c>
      <c r="J25" s="186">
        <f t="shared" si="5"/>
        <v>9319.5200000000023</v>
      </c>
      <c r="K25" s="186">
        <f t="shared" si="5"/>
        <v>1144.1109931127996</v>
      </c>
      <c r="L25" s="185">
        <f t="shared" si="5"/>
        <v>482.78999999999996</v>
      </c>
      <c r="M25" s="186">
        <f t="shared" si="5"/>
        <v>50126.82</v>
      </c>
      <c r="N25" s="186">
        <f t="shared" si="5"/>
        <v>1246.4994298374477</v>
      </c>
      <c r="O25" s="185"/>
      <c r="P25" s="185">
        <f t="shared" si="5"/>
        <v>1934.33</v>
      </c>
      <c r="Q25" s="186">
        <f t="shared" si="5"/>
        <v>197015.41000000003</v>
      </c>
      <c r="R25" s="121"/>
    </row>
    <row r="26" spans="1:18" ht="15.75" thickTop="1">
      <c r="A26" s="171"/>
      <c r="B26" s="96"/>
      <c r="C26" s="94"/>
      <c r="D26" s="94"/>
      <c r="E26" s="96"/>
      <c r="F26" s="94"/>
      <c r="G26" s="94"/>
      <c r="H26" s="96"/>
      <c r="I26" s="96"/>
      <c r="J26" s="94"/>
      <c r="K26" s="94"/>
      <c r="L26" s="96"/>
      <c r="M26" s="94"/>
      <c r="N26" s="94"/>
      <c r="O26" s="96"/>
      <c r="P26" s="171"/>
      <c r="Q26" s="94"/>
      <c r="R26" s="121"/>
    </row>
    <row r="27" spans="1:18" ht="15.75" thickBot="1">
      <c r="A27" s="120"/>
      <c r="B27" s="91"/>
      <c r="C27" s="98"/>
      <c r="D27" s="120"/>
      <c r="E27" s="120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8">
      <c r="A28" s="159"/>
      <c r="B28" s="160"/>
      <c r="C28" s="160"/>
      <c r="D28" s="160"/>
      <c r="E28" s="16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>
      <c r="A29" s="138" t="s">
        <v>323</v>
      </c>
      <c r="B29" s="120"/>
      <c r="C29" s="120"/>
      <c r="D29" s="120"/>
      <c r="E29" s="162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18">
      <c r="A30" s="138" t="s">
        <v>332</v>
      </c>
      <c r="B30" s="120"/>
      <c r="C30" s="120"/>
      <c r="D30" s="120"/>
      <c r="E30" s="162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>
      <c r="A31" s="163"/>
      <c r="B31" s="120"/>
      <c r="C31" s="120"/>
      <c r="D31" s="120"/>
      <c r="E31" s="162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>
      <c r="A32" s="139" t="s">
        <v>316</v>
      </c>
      <c r="B32" s="120"/>
      <c r="C32" s="120"/>
      <c r="D32" s="120"/>
      <c r="E32" s="162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1:18">
      <c r="A33" s="163"/>
      <c r="B33" s="118" t="s">
        <v>278</v>
      </c>
      <c r="C33" s="118" t="s">
        <v>279</v>
      </c>
      <c r="D33" s="120"/>
      <c r="E33" s="162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1:18">
      <c r="A34" s="163" t="s">
        <v>280</v>
      </c>
      <c r="B34" s="91">
        <v>4021694.1944029341</v>
      </c>
      <c r="C34" s="98">
        <f>B34/B36</f>
        <v>0.75554039234932102</v>
      </c>
      <c r="D34" s="120"/>
      <c r="E34" s="162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>
      <c r="A35" s="163" t="s">
        <v>281</v>
      </c>
      <c r="B35" s="164">
        <v>1301243.1827737452</v>
      </c>
      <c r="C35" s="98">
        <f>B35/B36</f>
        <v>0.24445960765067895</v>
      </c>
      <c r="D35" s="120"/>
      <c r="E35" s="162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1:18">
      <c r="A36" s="163"/>
      <c r="B36" s="91">
        <f>SUM(B34:B35)</f>
        <v>5322937.3771766797</v>
      </c>
      <c r="C36" s="120"/>
      <c r="D36" s="120"/>
      <c r="E36" s="162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>
      <c r="A37" s="163"/>
      <c r="B37" s="120"/>
      <c r="C37" s="120"/>
      <c r="D37" s="120"/>
      <c r="E37" s="162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116" customFormat="1">
      <c r="A38" s="140" t="s">
        <v>282</v>
      </c>
      <c r="B38" s="120"/>
      <c r="C38" s="120"/>
      <c r="D38" s="120"/>
      <c r="E38" s="162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</row>
    <row r="39" spans="1:18" s="116" customFormat="1">
      <c r="A39" s="163"/>
      <c r="B39" s="120"/>
      <c r="C39" s="120"/>
      <c r="D39" s="120"/>
      <c r="E39" s="162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18" s="116" customFormat="1" ht="15.75" thickBot="1">
      <c r="A40" s="165"/>
      <c r="B40" s="166"/>
      <c r="C40" s="166"/>
      <c r="D40" s="166"/>
      <c r="E40" s="167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s="116" customForma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s="116" customForma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spans="1:18" s="116" customFormat="1"/>
    <row r="44" spans="1:18" s="116" customFormat="1"/>
    <row r="45" spans="1:18" s="116" customFormat="1"/>
    <row r="46" spans="1:18" s="116" customFormat="1"/>
    <row r="47" spans="1:18" s="116" customFormat="1"/>
    <row r="48" spans="1:18" s="116" customFormat="1"/>
    <row r="49" s="116" customFormat="1"/>
    <row r="50" s="116" customFormat="1"/>
    <row r="51" s="116" customFormat="1"/>
    <row r="52" s="116" customFormat="1"/>
    <row r="53" s="116" customFormat="1"/>
    <row r="54" s="116" customFormat="1"/>
    <row r="55" s="116" customFormat="1"/>
    <row r="56" s="116" customFormat="1"/>
    <row r="57" s="116" customFormat="1"/>
    <row r="58" s="116" customFormat="1"/>
    <row r="59" s="116" customFormat="1"/>
    <row r="60" s="116" customFormat="1"/>
    <row r="61" s="116" customFormat="1"/>
    <row r="62" s="116" customFormat="1"/>
    <row r="63" s="116" customFormat="1"/>
    <row r="64" s="116" customFormat="1"/>
    <row r="65" s="116" customFormat="1"/>
    <row r="66" s="116" customFormat="1"/>
    <row r="67" s="116" customFormat="1"/>
    <row r="68" s="116" customFormat="1"/>
    <row r="69" s="116" customFormat="1"/>
    <row r="70" s="116" customFormat="1"/>
    <row r="71" s="116" customFormat="1"/>
    <row r="72" s="116" customFormat="1"/>
    <row r="73" s="116" customFormat="1"/>
    <row r="74" s="116" customFormat="1"/>
    <row r="75" s="116" customFormat="1"/>
    <row r="76" s="116" customFormat="1"/>
    <row r="77" s="116" customFormat="1"/>
    <row r="78" s="116" customFormat="1"/>
    <row r="79" s="116" customFormat="1"/>
    <row r="80" s="116" customFormat="1"/>
    <row r="81" s="116" customFormat="1"/>
    <row r="82" s="116" customFormat="1"/>
    <row r="83" s="116" customFormat="1"/>
    <row r="84" s="116" customFormat="1"/>
    <row r="85" s="116" customFormat="1"/>
    <row r="86" s="116" customFormat="1"/>
    <row r="87" s="116" customFormat="1"/>
    <row r="88" s="116" customFormat="1"/>
    <row r="89" s="116" customFormat="1"/>
    <row r="90" s="116" customFormat="1"/>
    <row r="91" s="116" customFormat="1"/>
    <row r="92" s="116" customFormat="1"/>
    <row r="93" s="116" customFormat="1"/>
    <row r="94" s="116" customFormat="1"/>
    <row r="95" s="116" customFormat="1"/>
    <row r="96" s="116" customFormat="1"/>
    <row r="97" s="116" customFormat="1"/>
    <row r="98" s="116" customFormat="1"/>
    <row r="99" s="116" customFormat="1"/>
    <row r="100" s="116" customFormat="1"/>
    <row r="101" s="116" customFormat="1"/>
    <row r="102" s="116" customFormat="1"/>
    <row r="103" s="116" customFormat="1"/>
    <row r="104" s="116" customFormat="1"/>
    <row r="105" s="116" customFormat="1"/>
    <row r="106" s="116" customFormat="1"/>
    <row r="107" s="116" customFormat="1"/>
    <row r="108" s="116" customFormat="1"/>
    <row r="109" s="116" customFormat="1"/>
    <row r="110" s="116" customFormat="1"/>
    <row r="111" s="116" customFormat="1"/>
    <row r="112" s="116" customFormat="1"/>
    <row r="113" s="116" customFormat="1"/>
    <row r="114" s="116" customFormat="1"/>
    <row r="115" s="116" customFormat="1"/>
    <row r="116" s="116" customFormat="1"/>
    <row r="117" s="116" customFormat="1"/>
    <row r="118" s="116" customFormat="1"/>
    <row r="119" s="116" customFormat="1"/>
    <row r="120" s="116" customFormat="1"/>
    <row r="121" s="116" customFormat="1"/>
    <row r="122" s="116" customFormat="1"/>
    <row r="123" s="116" customFormat="1"/>
    <row r="124" s="116" customFormat="1"/>
    <row r="125" s="116" customFormat="1"/>
    <row r="126" s="116" customFormat="1"/>
    <row r="127" s="116" customFormat="1"/>
    <row r="128" s="116" customFormat="1"/>
    <row r="129" s="116" customFormat="1"/>
    <row r="130" s="116" customFormat="1"/>
    <row r="131" s="116" customFormat="1"/>
    <row r="132" s="116" customFormat="1"/>
    <row r="133" s="116" customFormat="1"/>
    <row r="134" s="116" customFormat="1"/>
    <row r="135" s="116" customFormat="1"/>
    <row r="136" s="116" customFormat="1"/>
    <row r="137" s="116" customFormat="1"/>
    <row r="138" s="116" customFormat="1"/>
    <row r="139" s="116" customFormat="1"/>
    <row r="140" s="116" customFormat="1"/>
    <row r="141" s="116" customFormat="1"/>
    <row r="142" s="116" customFormat="1"/>
    <row r="143" s="116" customFormat="1"/>
    <row r="144" s="116" customFormat="1"/>
    <row r="145" s="116" customFormat="1"/>
    <row r="146" s="116" customFormat="1"/>
    <row r="147" s="116" customFormat="1"/>
    <row r="148" s="116" customFormat="1"/>
    <row r="149" s="116" customFormat="1"/>
    <row r="150" s="116" customFormat="1"/>
    <row r="151" s="116" customFormat="1"/>
    <row r="152" s="116" customFormat="1"/>
    <row r="153" s="116" customFormat="1"/>
    <row r="154" s="116" customFormat="1"/>
    <row r="155" s="116" customFormat="1"/>
    <row r="156" s="116" customFormat="1"/>
    <row r="157" s="116" customFormat="1"/>
    <row r="158" s="116" customFormat="1"/>
    <row r="159" s="116" customFormat="1"/>
    <row r="160" s="116" customFormat="1"/>
    <row r="161" s="116" customFormat="1"/>
    <row r="162" s="116" customFormat="1"/>
    <row r="163" s="116" customFormat="1"/>
    <row r="164" s="116" customFormat="1"/>
    <row r="165" s="116" customFormat="1"/>
    <row r="166" s="116" customFormat="1"/>
    <row r="167" s="116" customFormat="1"/>
    <row r="168" s="116" customFormat="1"/>
    <row r="169" s="116" customFormat="1"/>
    <row r="170" s="116" customFormat="1"/>
    <row r="171" s="116" customFormat="1"/>
    <row r="172" s="116" customFormat="1"/>
    <row r="173" s="116" customFormat="1"/>
    <row r="174" s="116" customFormat="1"/>
    <row r="175" s="116" customFormat="1"/>
    <row r="176" s="116" customFormat="1"/>
    <row r="177" s="116" customFormat="1"/>
    <row r="178" s="116" customFormat="1"/>
    <row r="179" s="116" customFormat="1"/>
    <row r="180" s="116" customFormat="1"/>
    <row r="181" s="116" customFormat="1"/>
    <row r="182" s="116" customFormat="1"/>
    <row r="183" s="116" customFormat="1"/>
    <row r="184" s="116" customFormat="1"/>
    <row r="185" s="116" customFormat="1"/>
    <row r="186" s="116" customFormat="1"/>
    <row r="187" s="116" customFormat="1"/>
    <row r="188" s="116" customFormat="1"/>
    <row r="189" s="116" customFormat="1"/>
    <row r="190" s="116" customFormat="1"/>
    <row r="191" s="116" customFormat="1"/>
    <row r="192" s="116" customFormat="1"/>
    <row r="193" s="116" customFormat="1"/>
    <row r="194" s="116" customFormat="1"/>
    <row r="195" s="116" customFormat="1"/>
    <row r="196" s="116" customFormat="1"/>
    <row r="197" s="116" customFormat="1"/>
    <row r="198" s="116" customFormat="1"/>
    <row r="199" s="116" customFormat="1"/>
    <row r="200" s="116" customFormat="1"/>
    <row r="201" s="116" customFormat="1"/>
    <row r="202" s="116" customFormat="1"/>
    <row r="203" s="116" customFormat="1"/>
    <row r="204" s="116" customFormat="1"/>
    <row r="205" s="116" customFormat="1"/>
    <row r="206" s="116" customFormat="1"/>
    <row r="207" s="116" customFormat="1"/>
    <row r="208" s="116" customFormat="1"/>
    <row r="209" s="116" customFormat="1"/>
    <row r="210" s="116" customFormat="1"/>
    <row r="211" s="116" customFormat="1"/>
    <row r="212" s="116" customFormat="1"/>
    <row r="213" s="116" customFormat="1"/>
    <row r="214" s="116" customFormat="1"/>
    <row r="215" s="116" customFormat="1"/>
    <row r="216" s="116" customFormat="1"/>
    <row r="217" s="116" customFormat="1"/>
    <row r="218" s="116" customFormat="1"/>
    <row r="219" s="116" customFormat="1"/>
    <row r="220" s="116" customFormat="1"/>
    <row r="221" s="116" customFormat="1"/>
    <row r="222" s="116" customFormat="1"/>
    <row r="223" s="116" customFormat="1"/>
    <row r="224" s="116" customFormat="1"/>
    <row r="225" s="116" customFormat="1"/>
    <row r="226" s="116" customFormat="1"/>
    <row r="227" s="116" customFormat="1"/>
    <row r="228" s="116" customFormat="1"/>
    <row r="229" s="116" customFormat="1"/>
    <row r="230" s="116" customFormat="1"/>
    <row r="231" s="116" customFormat="1"/>
    <row r="232" s="116" customFormat="1"/>
    <row r="233" s="116" customFormat="1"/>
    <row r="234" s="116" customFormat="1"/>
    <row r="235" s="116" customFormat="1"/>
    <row r="236" s="116" customFormat="1"/>
    <row r="237" s="116" customFormat="1"/>
    <row r="238" s="116" customFormat="1"/>
    <row r="239" s="116" customFormat="1"/>
    <row r="240" s="116" customFormat="1"/>
    <row r="241" s="116" customFormat="1"/>
    <row r="242" s="116" customFormat="1"/>
    <row r="243" s="116" customFormat="1"/>
    <row r="244" s="116" customFormat="1"/>
    <row r="245" s="116" customFormat="1"/>
    <row r="246" s="116" customFormat="1"/>
    <row r="247" s="116" customFormat="1"/>
    <row r="248" s="116" customFormat="1"/>
    <row r="249" s="116" customFormat="1"/>
    <row r="250" s="116" customFormat="1"/>
    <row r="251" s="116" customFormat="1"/>
    <row r="252" s="116" customFormat="1"/>
    <row r="253" s="116" customFormat="1"/>
    <row r="254" s="116" customFormat="1"/>
    <row r="255" s="116" customFormat="1"/>
    <row r="256" s="116" customFormat="1"/>
    <row r="257" s="116" customFormat="1"/>
    <row r="258" s="116" customFormat="1"/>
    <row r="259" s="116" customFormat="1"/>
    <row r="260" s="116" customFormat="1"/>
    <row r="261" s="116" customFormat="1"/>
    <row r="262" s="116" customFormat="1"/>
    <row r="263" s="116" customFormat="1"/>
    <row r="264" s="116" customFormat="1"/>
    <row r="265" s="116" customFormat="1"/>
    <row r="266" s="116" customFormat="1"/>
    <row r="267" s="116" customFormat="1"/>
    <row r="268" s="116" customFormat="1"/>
    <row r="269" s="116" customFormat="1"/>
    <row r="270" s="116" customFormat="1"/>
    <row r="271" s="116" customFormat="1"/>
    <row r="272" s="116" customFormat="1"/>
    <row r="273" s="116" customFormat="1"/>
    <row r="274" s="116" customFormat="1"/>
    <row r="275" s="116" customFormat="1"/>
    <row r="276" s="116" customFormat="1"/>
    <row r="277" s="116" customFormat="1"/>
    <row r="278" s="116" customFormat="1"/>
    <row r="279" s="116" customFormat="1"/>
    <row r="280" s="116" customFormat="1"/>
    <row r="281" s="116" customFormat="1"/>
    <row r="282" s="116" customFormat="1"/>
    <row r="283" s="116" customFormat="1"/>
    <row r="284" s="116" customFormat="1"/>
    <row r="285" s="116" customFormat="1"/>
    <row r="286" s="116" customFormat="1"/>
    <row r="287" s="116" customFormat="1"/>
    <row r="288" s="116" customFormat="1"/>
    <row r="289" s="116" customFormat="1"/>
    <row r="290" s="116" customFormat="1"/>
    <row r="291" s="116" customFormat="1"/>
    <row r="292" s="116" customFormat="1"/>
    <row r="293" s="116" customFormat="1"/>
    <row r="294" s="116" customFormat="1"/>
    <row r="295" s="116" customFormat="1"/>
    <row r="296" s="116" customFormat="1"/>
    <row r="297" s="116" customFormat="1"/>
    <row r="298" s="116" customFormat="1"/>
    <row r="299" s="116" customFormat="1"/>
    <row r="300" s="116" customFormat="1"/>
    <row r="301" s="116" customFormat="1"/>
    <row r="302" s="116" customFormat="1"/>
    <row r="303" s="116" customFormat="1"/>
    <row r="304" s="116" customFormat="1"/>
    <row r="305" s="116" customFormat="1"/>
    <row r="306" s="116" customFormat="1"/>
    <row r="307" s="116" customFormat="1"/>
    <row r="308" s="116" customFormat="1"/>
    <row r="309" s="116" customFormat="1"/>
    <row r="310" s="116" customFormat="1"/>
    <row r="311" s="116" customFormat="1"/>
    <row r="312" s="116" customFormat="1"/>
    <row r="313" s="116" customFormat="1"/>
    <row r="314" s="116" customFormat="1"/>
    <row r="315" s="116" customFormat="1"/>
    <row r="316" s="116" customFormat="1"/>
    <row r="317" s="116" customFormat="1"/>
    <row r="318" s="116" customFormat="1"/>
    <row r="319" s="116" customFormat="1"/>
    <row r="320" s="116" customFormat="1"/>
    <row r="321" s="116" customFormat="1"/>
    <row r="322" s="116" customFormat="1"/>
    <row r="323" s="116" customFormat="1"/>
    <row r="324" s="116" customFormat="1"/>
    <row r="325" s="116" customFormat="1"/>
    <row r="326" s="116" customFormat="1"/>
    <row r="327" s="116" customFormat="1"/>
    <row r="328" s="116" customFormat="1"/>
    <row r="329" s="116" customFormat="1"/>
    <row r="330" s="116" customFormat="1"/>
    <row r="331" s="116" customFormat="1"/>
    <row r="332" s="116" customFormat="1"/>
    <row r="333" s="116" customFormat="1"/>
    <row r="334" s="116" customFormat="1"/>
    <row r="335" s="116" customFormat="1"/>
    <row r="336" s="116" customFormat="1"/>
    <row r="337" s="116" customFormat="1"/>
    <row r="338" s="116" customFormat="1"/>
    <row r="339" s="116" customFormat="1"/>
    <row r="340" s="116" customFormat="1"/>
    <row r="341" s="116" customFormat="1"/>
    <row r="342" s="116" customFormat="1"/>
    <row r="343" s="116" customFormat="1"/>
    <row r="344" s="116" customFormat="1"/>
    <row r="345" s="116" customFormat="1"/>
    <row r="346" s="116" customFormat="1"/>
    <row r="347" s="116" customFormat="1"/>
    <row r="348" s="116" customFormat="1"/>
    <row r="349" s="116" customFormat="1"/>
    <row r="350" s="116" customFormat="1"/>
    <row r="351" s="116" customFormat="1"/>
    <row r="352" s="116" customFormat="1"/>
    <row r="353" s="116" customFormat="1"/>
    <row r="354" s="116" customFormat="1"/>
    <row r="355" s="116" customFormat="1"/>
    <row r="356" s="116" customFormat="1"/>
    <row r="357" s="116" customFormat="1"/>
    <row r="358" s="116" customFormat="1"/>
    <row r="359" s="116" customFormat="1"/>
    <row r="360" s="116" customFormat="1"/>
    <row r="361" s="116" customFormat="1"/>
    <row r="362" s="116" customFormat="1"/>
    <row r="363" s="116" customFormat="1"/>
    <row r="364" s="116" customFormat="1"/>
    <row r="365" s="116" customFormat="1"/>
    <row r="366" s="116" customFormat="1"/>
    <row r="367" s="116" customFormat="1"/>
    <row r="368" s="116" customFormat="1"/>
    <row r="369" s="116" customFormat="1"/>
    <row r="370" s="116" customFormat="1"/>
    <row r="371" s="116" customFormat="1"/>
    <row r="372" s="116" customFormat="1"/>
    <row r="373" s="116" customFormat="1"/>
    <row r="374" s="116" customFormat="1"/>
    <row r="375" s="116" customFormat="1"/>
    <row r="376" s="116" customFormat="1"/>
    <row r="377" s="116" customFormat="1"/>
    <row r="378" s="116" customFormat="1"/>
    <row r="379" s="116" customFormat="1"/>
    <row r="380" s="116" customFormat="1"/>
    <row r="381" s="116" customFormat="1"/>
    <row r="382" s="116" customFormat="1"/>
    <row r="383" s="116" customFormat="1"/>
    <row r="384" s="116" customFormat="1"/>
    <row r="385" s="116" customFormat="1"/>
    <row r="386" s="116" customFormat="1"/>
    <row r="387" s="116" customFormat="1"/>
    <row r="388" s="116" customFormat="1"/>
    <row r="389" s="116" customFormat="1"/>
    <row r="390" s="116" customFormat="1"/>
    <row r="391" s="116" customFormat="1"/>
    <row r="392" s="116" customFormat="1"/>
    <row r="393" s="116" customFormat="1"/>
    <row r="394" s="116" customFormat="1"/>
    <row r="395" s="116" customFormat="1"/>
    <row r="396" s="116" customFormat="1"/>
    <row r="397" s="116" customFormat="1"/>
    <row r="398" s="116" customFormat="1"/>
    <row r="399" s="116" customFormat="1"/>
    <row r="400" s="116" customFormat="1"/>
    <row r="401" s="116" customFormat="1"/>
    <row r="402" s="116" customFormat="1"/>
    <row r="403" s="116" customFormat="1"/>
    <row r="404" s="116" customFormat="1"/>
    <row r="405" s="116" customFormat="1"/>
    <row r="406" s="116" customFormat="1"/>
    <row r="407" s="116" customFormat="1"/>
    <row r="408" s="116" customFormat="1"/>
    <row r="409" s="116" customFormat="1"/>
    <row r="410" s="116" customFormat="1"/>
    <row r="411" s="116" customFormat="1"/>
    <row r="412" s="116" customFormat="1"/>
    <row r="413" s="116" customFormat="1"/>
    <row r="414" s="116" customFormat="1"/>
    <row r="415" s="116" customFormat="1"/>
    <row r="416" s="116" customFormat="1"/>
    <row r="417" s="116" customFormat="1"/>
    <row r="418" s="116" customFormat="1"/>
    <row r="419" s="116" customFormat="1"/>
    <row r="420" s="116" customFormat="1"/>
    <row r="421" s="116" customFormat="1"/>
    <row r="422" s="116" customFormat="1"/>
    <row r="423" s="116" customFormat="1"/>
    <row r="424" s="116" customFormat="1"/>
    <row r="425" s="116" customFormat="1"/>
    <row r="426" s="116" customFormat="1"/>
    <row r="427" s="116" customFormat="1"/>
    <row r="428" s="116" customFormat="1"/>
    <row r="429" s="116" customFormat="1"/>
    <row r="430" s="116" customFormat="1"/>
    <row r="431" s="116" customFormat="1"/>
    <row r="432" s="116" customFormat="1"/>
    <row r="433" s="116" customFormat="1"/>
    <row r="434" s="116" customFormat="1"/>
    <row r="435" s="116" customFormat="1"/>
    <row r="436" s="116" customFormat="1"/>
    <row r="437" s="116" customFormat="1"/>
    <row r="438" s="116" customFormat="1"/>
    <row r="439" s="116" customFormat="1"/>
    <row r="440" s="116" customFormat="1"/>
    <row r="441" s="116" customFormat="1"/>
    <row r="442" s="116" customFormat="1"/>
    <row r="443" s="116" customFormat="1"/>
    <row r="444" s="116" customFormat="1"/>
    <row r="445" s="116" customFormat="1"/>
    <row r="446" s="116" customFormat="1"/>
    <row r="447" s="116" customFormat="1"/>
    <row r="448" s="116" customFormat="1"/>
    <row r="449" s="116" customFormat="1"/>
    <row r="450" s="116" customFormat="1"/>
    <row r="451" s="116" customFormat="1"/>
    <row r="452" s="116" customFormat="1"/>
    <row r="453" s="116" customFormat="1"/>
    <row r="454" s="116" customFormat="1"/>
    <row r="455" s="116" customFormat="1"/>
    <row r="456" s="116" customFormat="1"/>
    <row r="457" s="116" customFormat="1"/>
    <row r="458" s="116" customFormat="1"/>
    <row r="459" s="116" customFormat="1"/>
    <row r="460" s="116" customFormat="1"/>
    <row r="461" s="116" customFormat="1"/>
    <row r="462" s="116" customFormat="1"/>
    <row r="463" s="116" customFormat="1"/>
    <row r="464" s="116" customFormat="1"/>
    <row r="465" s="116" customFormat="1"/>
    <row r="466" s="116" customFormat="1"/>
    <row r="467" s="116" customFormat="1"/>
    <row r="468" s="116" customFormat="1"/>
    <row r="469" s="116" customFormat="1"/>
    <row r="470" s="116" customFormat="1"/>
    <row r="471" s="116" customFormat="1"/>
    <row r="472" s="116" customFormat="1"/>
    <row r="473" s="116" customFormat="1"/>
    <row r="474" s="116" customFormat="1"/>
    <row r="475" s="116" customFormat="1"/>
    <row r="476" s="116" customFormat="1"/>
    <row r="477" s="116" customFormat="1"/>
    <row r="478" s="116" customFormat="1"/>
    <row r="479" s="116" customFormat="1"/>
    <row r="480" s="116" customFormat="1"/>
    <row r="481" s="116" customFormat="1"/>
    <row r="482" s="116" customFormat="1"/>
    <row r="483" s="116" customFormat="1"/>
    <row r="484" s="116" customFormat="1"/>
    <row r="485" s="116" customFormat="1"/>
    <row r="486" s="116" customFormat="1"/>
    <row r="487" s="116" customFormat="1"/>
    <row r="488" s="116" customFormat="1"/>
    <row r="489" s="116" customFormat="1"/>
    <row r="490" s="116" customFormat="1"/>
    <row r="491" s="116" customFormat="1"/>
    <row r="492" s="116" customFormat="1"/>
    <row r="493" s="116" customFormat="1"/>
    <row r="494" s="116" customFormat="1"/>
    <row r="495" s="116" customFormat="1"/>
    <row r="496" s="116" customFormat="1"/>
    <row r="497" s="116" customFormat="1"/>
    <row r="498" s="116" customFormat="1"/>
    <row r="499" s="116" customFormat="1"/>
    <row r="500" s="116" customFormat="1"/>
    <row r="501" s="116" customFormat="1"/>
    <row r="502" s="116" customFormat="1"/>
    <row r="503" s="116" customFormat="1"/>
    <row r="504" s="116" customFormat="1"/>
    <row r="505" s="116" customFormat="1"/>
    <row r="506" s="116" customFormat="1"/>
    <row r="507" s="116" customFormat="1"/>
    <row r="508" s="116" customFormat="1"/>
    <row r="509" s="116" customFormat="1"/>
    <row r="510" s="116" customFormat="1"/>
    <row r="511" s="116" customFormat="1"/>
    <row r="512" s="116" customFormat="1"/>
    <row r="513" s="116" customFormat="1"/>
    <row r="514" s="116" customFormat="1"/>
    <row r="515" s="116" customFormat="1"/>
    <row r="516" s="116" customFormat="1"/>
    <row r="517" s="116" customFormat="1"/>
    <row r="518" s="116" customFormat="1"/>
    <row r="519" s="116" customFormat="1"/>
    <row r="520" s="116" customFormat="1"/>
    <row r="521" s="116" customFormat="1"/>
    <row r="522" s="116" customFormat="1"/>
    <row r="523" s="116" customFormat="1"/>
    <row r="524" s="116" customFormat="1"/>
    <row r="525" s="116" customFormat="1"/>
    <row r="526" s="116" customFormat="1"/>
    <row r="527" s="116" customFormat="1"/>
    <row r="528" s="116" customFormat="1"/>
    <row r="529" s="116" customFormat="1"/>
    <row r="530" s="116" customFormat="1"/>
    <row r="531" s="116" customFormat="1"/>
    <row r="532" s="116" customFormat="1"/>
    <row r="533" s="116" customFormat="1"/>
    <row r="534" s="116" customFormat="1"/>
    <row r="535" s="116" customFormat="1"/>
    <row r="536" s="116" customFormat="1"/>
    <row r="537" s="116" customFormat="1"/>
    <row r="538" s="116" customFormat="1"/>
    <row r="539" s="116" customFormat="1"/>
    <row r="540" s="116" customFormat="1"/>
    <row r="541" s="116" customFormat="1"/>
    <row r="542" s="116" customFormat="1"/>
    <row r="543" s="116" customFormat="1"/>
    <row r="544" s="116" customFormat="1"/>
    <row r="545" s="116" customFormat="1"/>
    <row r="546" s="116" customFormat="1"/>
    <row r="547" s="116" customFormat="1"/>
    <row r="548" s="116" customFormat="1"/>
    <row r="549" s="116" customFormat="1"/>
    <row r="550" s="116" customFormat="1"/>
    <row r="551" s="116" customFormat="1"/>
    <row r="552" s="116" customFormat="1"/>
    <row r="553" s="116" customFormat="1"/>
    <row r="554" s="116" customFormat="1"/>
    <row r="555" s="116" customFormat="1"/>
    <row r="556" s="116" customFormat="1"/>
    <row r="557" s="116" customFormat="1"/>
    <row r="558" s="116" customFormat="1"/>
    <row r="559" s="116" customFormat="1"/>
    <row r="560" s="116" customFormat="1"/>
    <row r="561" s="116" customFormat="1"/>
    <row r="562" s="116" customFormat="1"/>
    <row r="563" s="116" customFormat="1"/>
    <row r="564" s="116" customFormat="1"/>
    <row r="565" s="116" customFormat="1"/>
    <row r="566" s="116" customFormat="1"/>
    <row r="567" s="116" customFormat="1"/>
    <row r="568" s="116" customFormat="1"/>
    <row r="569" s="116" customFormat="1"/>
    <row r="570" s="116" customFormat="1"/>
    <row r="571" s="116" customFormat="1"/>
    <row r="572" s="116" customFormat="1"/>
    <row r="573" s="116" customFormat="1"/>
    <row r="574" s="116" customFormat="1"/>
    <row r="575" s="116" customFormat="1"/>
    <row r="576" s="116" customFormat="1"/>
    <row r="577" s="116" customFormat="1"/>
    <row r="578" s="116" customFormat="1"/>
    <row r="579" s="116" customFormat="1"/>
    <row r="580" s="116" customFormat="1"/>
    <row r="581" s="116" customFormat="1"/>
    <row r="582" s="116" customFormat="1"/>
    <row r="583" s="116" customFormat="1"/>
    <row r="584" s="116" customFormat="1"/>
    <row r="585" s="116" customFormat="1"/>
    <row r="586" s="116" customFormat="1"/>
    <row r="587" s="116" customFormat="1"/>
    <row r="588" s="116" customFormat="1"/>
    <row r="589" s="116" customFormat="1"/>
    <row r="590" s="116" customFormat="1"/>
    <row r="591" s="116" customFormat="1"/>
    <row r="592" s="116" customFormat="1"/>
    <row r="593" s="116" customFormat="1"/>
    <row r="594" s="116" customFormat="1"/>
    <row r="595" s="116" customFormat="1"/>
    <row r="596" s="116" customFormat="1"/>
    <row r="597" s="116" customFormat="1"/>
    <row r="598" s="116" customFormat="1"/>
    <row r="599" s="116" customFormat="1"/>
    <row r="600" s="116" customFormat="1"/>
    <row r="601" s="116" customFormat="1"/>
    <row r="602" s="116" customFormat="1"/>
    <row r="603" s="116" customFormat="1"/>
    <row r="604" s="116" customFormat="1"/>
    <row r="605" s="116" customFormat="1"/>
    <row r="606" s="116" customFormat="1"/>
    <row r="607" s="116" customFormat="1"/>
    <row r="608" s="116" customFormat="1"/>
    <row r="609" s="116" customFormat="1"/>
    <row r="610" s="116" customFormat="1"/>
    <row r="611" s="116" customFormat="1"/>
    <row r="612" s="116" customFormat="1"/>
    <row r="613" s="116" customFormat="1"/>
    <row r="614" s="116" customFormat="1"/>
    <row r="615" s="116" customFormat="1"/>
    <row r="616" s="116" customFormat="1"/>
    <row r="617" s="116" customFormat="1"/>
    <row r="618" s="116" customFormat="1"/>
    <row r="619" s="116" customFormat="1"/>
    <row r="620" s="116" customFormat="1"/>
    <row r="621" s="116" customFormat="1"/>
    <row r="622" s="116" customFormat="1"/>
    <row r="623" s="116" customFormat="1"/>
    <row r="624" s="116" customFormat="1"/>
    <row r="625" s="116" customFormat="1"/>
    <row r="626" s="116" customFormat="1"/>
    <row r="627" s="116" customFormat="1"/>
    <row r="628" s="116" customFormat="1"/>
    <row r="629" s="116" customFormat="1"/>
    <row r="630" s="116" customFormat="1"/>
    <row r="631" s="116" customFormat="1"/>
    <row r="632" s="116" customFormat="1"/>
    <row r="633" s="116" customFormat="1"/>
    <row r="634" s="116" customFormat="1"/>
    <row r="635" s="116" customFormat="1"/>
    <row r="636" s="116" customFormat="1"/>
    <row r="637" s="116" customFormat="1"/>
    <row r="638" s="116" customFormat="1"/>
    <row r="639" s="116" customFormat="1"/>
    <row r="640" s="116" customFormat="1"/>
    <row r="641" s="116" customFormat="1"/>
    <row r="642" s="116" customFormat="1"/>
    <row r="643" s="116" customFormat="1"/>
    <row r="644" s="116" customFormat="1"/>
    <row r="645" s="116" customFormat="1"/>
    <row r="646" s="116" customFormat="1"/>
    <row r="647" s="116" customFormat="1"/>
    <row r="648" s="116" customFormat="1"/>
    <row r="649" s="116" customFormat="1"/>
    <row r="650" s="116" customFormat="1"/>
    <row r="651" s="116" customFormat="1"/>
    <row r="652" s="116" customFormat="1"/>
    <row r="653" s="116" customFormat="1"/>
    <row r="654" s="116" customFormat="1"/>
    <row r="655" s="116" customFormat="1"/>
    <row r="656" s="116" customFormat="1"/>
    <row r="657" s="116" customFormat="1"/>
    <row r="658" s="116" customFormat="1"/>
    <row r="659" s="116" customFormat="1"/>
    <row r="660" s="116" customFormat="1"/>
    <row r="661" s="116" customFormat="1"/>
    <row r="662" s="116" customFormat="1"/>
    <row r="663" s="116" customFormat="1"/>
    <row r="664" s="116" customFormat="1"/>
    <row r="665" s="116" customFormat="1"/>
    <row r="666" s="116" customFormat="1"/>
    <row r="667" s="116" customFormat="1"/>
    <row r="668" s="116" customFormat="1"/>
    <row r="669" s="116" customFormat="1"/>
    <row r="670" s="116" customFormat="1"/>
    <row r="671" s="116" customFormat="1"/>
    <row r="672" s="116" customFormat="1"/>
    <row r="673" s="116" customFormat="1"/>
    <row r="674" s="116" customFormat="1"/>
    <row r="675" s="116" customFormat="1"/>
    <row r="676" s="116" customFormat="1"/>
    <row r="677" s="116" customFormat="1"/>
    <row r="678" s="116" customFormat="1"/>
    <row r="679" s="116" customFormat="1"/>
    <row r="680" s="116" customFormat="1"/>
    <row r="681" s="116" customFormat="1"/>
    <row r="682" s="116" customFormat="1"/>
    <row r="683" s="116" customFormat="1"/>
    <row r="684" s="116" customFormat="1"/>
    <row r="685" s="116" customFormat="1"/>
    <row r="686" s="116" customFormat="1"/>
    <row r="687" s="116" customFormat="1"/>
    <row r="688" s="116" customFormat="1"/>
    <row r="689" s="116" customFormat="1"/>
    <row r="690" s="116" customFormat="1"/>
    <row r="691" s="116" customFormat="1"/>
    <row r="692" s="116" customFormat="1"/>
    <row r="693" s="116" customFormat="1"/>
    <row r="694" s="116" customFormat="1"/>
    <row r="695" s="116" customFormat="1"/>
    <row r="696" s="116" customFormat="1"/>
    <row r="697" s="116" customFormat="1"/>
    <row r="698" s="116" customFormat="1"/>
    <row r="699" s="116" customFormat="1"/>
    <row r="700" s="116" customFormat="1"/>
    <row r="701" s="116" customFormat="1"/>
    <row r="702" s="116" customFormat="1"/>
    <row r="703" s="116" customFormat="1"/>
    <row r="704" s="116" customFormat="1"/>
    <row r="705" s="116" customFormat="1"/>
    <row r="706" s="116" customFormat="1"/>
    <row r="707" s="116" customFormat="1"/>
    <row r="708" s="116" customFormat="1"/>
    <row r="709" s="116" customFormat="1"/>
    <row r="710" s="116" customFormat="1"/>
    <row r="711" s="116" customFormat="1"/>
    <row r="712" s="116" customFormat="1"/>
    <row r="713" s="116" customFormat="1"/>
    <row r="714" s="116" customFormat="1"/>
    <row r="715" s="116" customFormat="1"/>
    <row r="716" s="116" customFormat="1"/>
    <row r="717" s="116" customFormat="1"/>
    <row r="718" s="116" customFormat="1"/>
    <row r="719" s="116" customFormat="1"/>
    <row r="720" s="116" customFormat="1"/>
    <row r="721" s="116" customFormat="1"/>
    <row r="722" s="116" customFormat="1"/>
    <row r="723" s="116" customFormat="1"/>
    <row r="724" s="116" customFormat="1"/>
    <row r="725" s="116" customFormat="1"/>
    <row r="726" s="116" customFormat="1"/>
    <row r="727" s="116" customFormat="1"/>
    <row r="728" s="116" customFormat="1"/>
    <row r="729" s="116" customFormat="1"/>
    <row r="730" s="116" customFormat="1"/>
    <row r="731" s="116" customFormat="1"/>
    <row r="732" s="116" customFormat="1"/>
    <row r="733" s="116" customFormat="1"/>
    <row r="734" s="116" customFormat="1"/>
    <row r="735" s="116" customFormat="1"/>
    <row r="736" s="116" customFormat="1"/>
    <row r="737" s="116" customFormat="1"/>
    <row r="738" s="116" customFormat="1"/>
    <row r="739" s="116" customFormat="1"/>
    <row r="740" s="116" customFormat="1"/>
    <row r="741" s="116" customFormat="1"/>
    <row r="742" s="116" customFormat="1"/>
    <row r="743" s="116" customFormat="1"/>
    <row r="744" s="116" customFormat="1"/>
    <row r="745" s="116" customFormat="1"/>
    <row r="746" s="116" customFormat="1"/>
    <row r="747" s="116" customFormat="1"/>
    <row r="748" s="116" customFormat="1"/>
    <row r="749" s="116" customFormat="1"/>
    <row r="750" s="116" customFormat="1"/>
    <row r="751" s="116" customFormat="1"/>
    <row r="752" s="116" customFormat="1"/>
    <row r="753" s="116" customFormat="1"/>
    <row r="754" s="116" customFormat="1"/>
    <row r="755" s="116" customFormat="1"/>
    <row r="756" s="116" customFormat="1"/>
    <row r="757" s="116" customFormat="1"/>
    <row r="758" s="116" customFormat="1"/>
    <row r="759" s="116" customFormat="1"/>
    <row r="760" s="116" customFormat="1"/>
    <row r="761" s="116" customFormat="1"/>
    <row r="762" s="116" customFormat="1"/>
    <row r="763" s="116" customFormat="1"/>
    <row r="764" s="116" customFormat="1"/>
    <row r="765" s="116" customFormat="1"/>
    <row r="766" s="116" customFormat="1"/>
    <row r="767" s="116" customFormat="1"/>
    <row r="768" s="116" customFormat="1"/>
    <row r="769" s="116" customFormat="1"/>
    <row r="770" s="116" customFormat="1"/>
    <row r="771" s="116" customFormat="1"/>
    <row r="772" s="116" customFormat="1"/>
    <row r="773" s="116" customFormat="1"/>
    <row r="774" s="116" customFormat="1"/>
    <row r="775" s="116" customFormat="1"/>
    <row r="776" s="116" customFormat="1"/>
    <row r="777" s="116" customFormat="1"/>
    <row r="778" s="116" customFormat="1"/>
    <row r="779" s="116" customFormat="1"/>
    <row r="780" s="116" customFormat="1"/>
    <row r="781" s="116" customFormat="1"/>
    <row r="782" s="116" customFormat="1"/>
    <row r="783" s="116" customFormat="1"/>
    <row r="784" s="116" customFormat="1"/>
    <row r="785" s="116" customFormat="1"/>
    <row r="786" s="116" customFormat="1"/>
    <row r="787" s="116" customFormat="1"/>
    <row r="788" s="116" customFormat="1"/>
    <row r="789" s="116" customFormat="1"/>
    <row r="790" s="116" customFormat="1"/>
    <row r="791" s="116" customFormat="1"/>
    <row r="792" s="116" customFormat="1"/>
    <row r="793" s="116" customFormat="1"/>
    <row r="794" s="116" customFormat="1"/>
    <row r="795" s="116" customFormat="1"/>
    <row r="796" s="116" customFormat="1"/>
    <row r="797" s="116" customFormat="1"/>
    <row r="798" s="116" customFormat="1"/>
    <row r="799" s="116" customFormat="1"/>
    <row r="800" s="116" customFormat="1"/>
    <row r="801" s="116" customFormat="1"/>
    <row r="802" s="116" customFormat="1"/>
    <row r="803" s="116" customFormat="1"/>
    <row r="804" s="116" customFormat="1"/>
    <row r="805" s="116" customFormat="1"/>
    <row r="806" s="116" customFormat="1"/>
    <row r="807" s="116" customFormat="1"/>
    <row r="808" s="116" customFormat="1"/>
    <row r="809" s="116" customFormat="1"/>
    <row r="810" s="116" customFormat="1"/>
    <row r="811" s="116" customFormat="1"/>
    <row r="812" s="116" customFormat="1"/>
    <row r="813" s="116" customFormat="1"/>
    <row r="814" s="116" customFormat="1"/>
    <row r="815" s="116" customFormat="1"/>
    <row r="816" s="116" customFormat="1"/>
    <row r="817" s="116" customFormat="1"/>
    <row r="818" s="116" customFormat="1"/>
    <row r="819" s="116" customFormat="1"/>
    <row r="820" s="116" customFormat="1"/>
    <row r="821" s="116" customFormat="1"/>
    <row r="822" s="116" customFormat="1"/>
    <row r="823" s="116" customFormat="1"/>
    <row r="824" s="116" customFormat="1"/>
    <row r="825" s="116" customFormat="1"/>
    <row r="826" s="116" customFormat="1"/>
    <row r="827" s="116" customFormat="1"/>
    <row r="828" s="116" customFormat="1"/>
    <row r="829" s="116" customFormat="1"/>
    <row r="830" s="116" customFormat="1"/>
    <row r="831" s="116" customFormat="1"/>
    <row r="832" s="116" customFormat="1"/>
    <row r="833" s="116" customFormat="1"/>
    <row r="834" s="116" customFormat="1"/>
    <row r="835" s="116" customFormat="1"/>
    <row r="836" s="116" customFormat="1"/>
    <row r="837" s="116" customFormat="1"/>
    <row r="838" s="116" customFormat="1"/>
    <row r="839" s="116" customFormat="1"/>
    <row r="840" s="116" customFormat="1"/>
    <row r="841" s="116" customFormat="1"/>
    <row r="842" s="116" customFormat="1"/>
    <row r="843" s="116" customFormat="1"/>
    <row r="844" s="116" customFormat="1"/>
    <row r="845" s="116" customFormat="1"/>
    <row r="846" s="116" customFormat="1"/>
    <row r="847" s="116" customFormat="1"/>
    <row r="848" s="116" customFormat="1"/>
    <row r="849" s="116" customFormat="1"/>
    <row r="850" s="116" customFormat="1"/>
    <row r="851" s="116" customFormat="1"/>
    <row r="852" s="116" customFormat="1"/>
    <row r="853" s="116" customFormat="1"/>
    <row r="854" s="116" customFormat="1"/>
    <row r="855" s="116" customFormat="1"/>
    <row r="856" s="116" customFormat="1"/>
    <row r="857" s="116" customFormat="1"/>
    <row r="858" s="116" customFormat="1"/>
    <row r="859" s="116" customFormat="1"/>
    <row r="860" s="116" customFormat="1"/>
    <row r="861" s="116" customFormat="1"/>
    <row r="862" s="116" customFormat="1"/>
    <row r="863" s="116" customFormat="1"/>
    <row r="864" s="116" customFormat="1"/>
    <row r="865" s="116" customFormat="1"/>
    <row r="866" s="116" customFormat="1"/>
    <row r="867" s="116" customFormat="1"/>
    <row r="868" s="116" customFormat="1"/>
    <row r="869" s="116" customFormat="1"/>
    <row r="870" s="116" customFormat="1"/>
    <row r="871" s="116" customFormat="1"/>
    <row r="872" s="116" customFormat="1"/>
    <row r="873" s="116" customFormat="1"/>
    <row r="874" s="116" customFormat="1"/>
    <row r="875" s="116" customFormat="1"/>
    <row r="876" s="116" customFormat="1"/>
    <row r="877" s="116" customFormat="1"/>
    <row r="878" s="116" customFormat="1"/>
    <row r="879" s="116" customFormat="1"/>
    <row r="880" s="116" customFormat="1"/>
    <row r="881" s="116" customFormat="1"/>
    <row r="882" s="116" customFormat="1"/>
    <row r="883" s="116" customFormat="1"/>
    <row r="884" s="116" customFormat="1"/>
    <row r="885" s="116" customFormat="1"/>
    <row r="886" s="116" customFormat="1"/>
    <row r="887" s="116" customFormat="1"/>
    <row r="888" s="116" customFormat="1"/>
    <row r="889" s="116" customFormat="1"/>
    <row r="890" s="116" customFormat="1"/>
    <row r="891" s="116" customFormat="1"/>
    <row r="892" s="116" customFormat="1"/>
    <row r="893" s="116" customFormat="1"/>
    <row r="894" s="116" customFormat="1"/>
    <row r="895" s="116" customFormat="1"/>
    <row r="896" s="116" customFormat="1"/>
    <row r="897" s="116" customFormat="1"/>
    <row r="898" s="116" customFormat="1"/>
    <row r="899" s="116" customFormat="1"/>
    <row r="900" s="116" customFormat="1"/>
    <row r="901" s="116" customFormat="1"/>
    <row r="902" s="116" customFormat="1"/>
    <row r="903" s="116" customFormat="1"/>
    <row r="904" s="116" customFormat="1"/>
    <row r="905" s="116" customFormat="1"/>
    <row r="906" s="116" customFormat="1"/>
    <row r="907" s="116" customFormat="1"/>
    <row r="908" s="116" customFormat="1"/>
    <row r="909" s="116" customFormat="1"/>
    <row r="910" s="116" customFormat="1"/>
    <row r="911" s="116" customFormat="1"/>
    <row r="912" s="116" customFormat="1"/>
    <row r="913" s="116" customFormat="1"/>
    <row r="914" s="116" customFormat="1"/>
    <row r="915" s="116" customFormat="1"/>
    <row r="916" s="116" customFormat="1"/>
    <row r="917" s="116" customFormat="1"/>
    <row r="918" s="116" customFormat="1"/>
    <row r="919" s="116" customFormat="1"/>
    <row r="920" s="116" customFormat="1"/>
    <row r="921" s="116" customFormat="1"/>
    <row r="922" s="116" customFormat="1"/>
    <row r="923" s="116" customFormat="1"/>
    <row r="924" s="116" customFormat="1"/>
    <row r="925" s="116" customFormat="1"/>
    <row r="926" s="116" customFormat="1"/>
    <row r="927" s="116" customFormat="1"/>
    <row r="928" s="116" customFormat="1"/>
    <row r="929" s="116" customFormat="1"/>
    <row r="930" s="116" customFormat="1"/>
    <row r="931" s="116" customFormat="1"/>
    <row r="932" s="116" customFormat="1"/>
    <row r="933" s="116" customFormat="1"/>
    <row r="934" s="116" customFormat="1"/>
    <row r="935" s="116" customFormat="1"/>
    <row r="936" s="116" customFormat="1"/>
    <row r="937" s="116" customFormat="1"/>
    <row r="938" s="116" customFormat="1"/>
    <row r="939" s="116" customFormat="1"/>
    <row r="940" s="116" customFormat="1"/>
    <row r="941" s="116" customFormat="1"/>
    <row r="942" s="116" customFormat="1"/>
    <row r="943" s="116" customFormat="1"/>
    <row r="944" s="116" customFormat="1"/>
    <row r="945" s="116" customFormat="1"/>
    <row r="946" s="116" customFormat="1"/>
    <row r="947" s="116" customFormat="1"/>
    <row r="948" s="116" customFormat="1"/>
    <row r="949" s="116" customFormat="1"/>
    <row r="950" s="116" customFormat="1"/>
    <row r="951" s="116" customFormat="1"/>
    <row r="952" s="116" customFormat="1"/>
    <row r="953" s="116" customFormat="1"/>
    <row r="954" s="116" customFormat="1"/>
    <row r="955" s="116" customFormat="1"/>
    <row r="956" s="116" customFormat="1"/>
    <row r="957" s="116" customFormat="1"/>
    <row r="958" s="116" customFormat="1"/>
    <row r="959" s="116" customFormat="1"/>
    <row r="960" s="116" customFormat="1"/>
    <row r="961" s="116" customFormat="1"/>
    <row r="962" s="116" customFormat="1"/>
    <row r="963" s="116" customFormat="1"/>
    <row r="964" s="116" customFormat="1"/>
    <row r="965" s="116" customFormat="1"/>
    <row r="966" s="116" customFormat="1"/>
    <row r="967" s="116" customFormat="1"/>
    <row r="968" s="116" customFormat="1"/>
    <row r="969" s="116" customFormat="1"/>
    <row r="970" s="116" customFormat="1"/>
    <row r="971" s="116" customFormat="1"/>
    <row r="972" s="116" customFormat="1"/>
    <row r="973" s="116" customFormat="1"/>
    <row r="974" s="116" customFormat="1"/>
    <row r="975" s="116" customFormat="1"/>
    <row r="976" s="116" customFormat="1"/>
    <row r="977" s="116" customFormat="1"/>
    <row r="978" s="116" customFormat="1"/>
    <row r="979" s="116" customFormat="1"/>
    <row r="980" s="116" customFormat="1"/>
    <row r="981" s="116" customFormat="1"/>
    <row r="982" s="116" customFormat="1"/>
    <row r="983" s="116" customFormat="1"/>
    <row r="984" s="116" customFormat="1"/>
    <row r="985" s="116" customFormat="1"/>
    <row r="986" s="116" customFormat="1"/>
    <row r="987" s="116" customFormat="1"/>
    <row r="988" s="116" customFormat="1"/>
    <row r="989" s="116" customFormat="1"/>
    <row r="990" s="116" customFormat="1"/>
    <row r="991" s="116" customFormat="1"/>
    <row r="992" s="116" customFormat="1"/>
    <row r="993" s="116" customFormat="1"/>
    <row r="994" s="116" customFormat="1"/>
    <row r="995" s="116" customFormat="1"/>
    <row r="996" s="116" customFormat="1"/>
    <row r="997" s="116" customFormat="1"/>
    <row r="998" s="116" customFormat="1"/>
    <row r="999" s="116" customFormat="1"/>
    <row r="1000" s="116" customFormat="1"/>
    <row r="1001" s="116" customFormat="1"/>
    <row r="1002" s="116" customFormat="1"/>
    <row r="1003" s="116" customFormat="1"/>
    <row r="1004" s="116" customFormat="1"/>
    <row r="1005" s="116" customFormat="1"/>
    <row r="1006" s="116" customFormat="1"/>
    <row r="1007" s="116" customFormat="1"/>
    <row r="1008" s="116" customFormat="1"/>
    <row r="1009" s="116" customFormat="1"/>
    <row r="1010" s="116" customFormat="1"/>
    <row r="1011" s="116" customFormat="1"/>
    <row r="1012" s="116" customFormat="1"/>
    <row r="1013" s="116" customFormat="1"/>
    <row r="1014" s="116" customFormat="1"/>
    <row r="1015" s="116" customFormat="1"/>
    <row r="1016" s="116" customFormat="1"/>
    <row r="1017" s="116" customFormat="1"/>
    <row r="1018" s="116" customFormat="1"/>
    <row r="1019" s="116" customFormat="1"/>
    <row r="1020" s="116" customFormat="1"/>
    <row r="1021" s="116" customFormat="1"/>
    <row r="1022" s="116" customFormat="1"/>
    <row r="1023" s="116" customFormat="1"/>
    <row r="1024" s="116" customFormat="1"/>
    <row r="1025" s="116" customFormat="1"/>
    <row r="1026" s="116" customFormat="1"/>
    <row r="1027" s="116" customFormat="1"/>
    <row r="1028" s="116" customFormat="1"/>
    <row r="1029" s="116" customFormat="1"/>
    <row r="1030" s="116" customFormat="1"/>
    <row r="1031" s="116" customFormat="1"/>
    <row r="1032" s="116" customFormat="1"/>
    <row r="1033" s="116" customFormat="1"/>
    <row r="1034" s="116" customFormat="1"/>
    <row r="1035" s="116" customFormat="1"/>
    <row r="1036" s="116" customFormat="1"/>
    <row r="1037" s="116" customFormat="1"/>
    <row r="1038" s="116" customFormat="1"/>
    <row r="1039" s="116" customFormat="1"/>
    <row r="1040" s="116" customFormat="1"/>
    <row r="1041" s="116" customFormat="1"/>
    <row r="1042" s="116" customFormat="1"/>
    <row r="1043" s="116" customFormat="1"/>
    <row r="1044" s="116" customFormat="1"/>
    <row r="1045" s="116" customFormat="1"/>
    <row r="1046" s="116" customFormat="1"/>
    <row r="1047" s="116" customFormat="1"/>
    <row r="1048" s="116" customFormat="1"/>
    <row r="1049" s="116" customFormat="1"/>
    <row r="1050" s="116" customFormat="1"/>
    <row r="1051" s="116" customFormat="1"/>
    <row r="1052" s="116" customFormat="1"/>
    <row r="1053" s="116" customFormat="1"/>
    <row r="1054" s="116" customFormat="1"/>
    <row r="1055" s="116" customFormat="1"/>
    <row r="1056" s="116" customFormat="1"/>
    <row r="1057" s="116" customFormat="1"/>
    <row r="1058" s="116" customFormat="1"/>
    <row r="1059" s="116" customFormat="1"/>
    <row r="1060" s="116" customFormat="1"/>
    <row r="1061" s="116" customFormat="1"/>
    <row r="1062" s="116" customFormat="1"/>
    <row r="1063" s="116" customFormat="1"/>
    <row r="1064" s="116" customFormat="1"/>
    <row r="1065" s="116" customFormat="1"/>
    <row r="1066" s="116" customFormat="1"/>
    <row r="1067" s="116" customFormat="1"/>
    <row r="1068" s="116" customFormat="1"/>
    <row r="1069" s="116" customFormat="1"/>
    <row r="1070" s="116" customFormat="1"/>
    <row r="1071" s="116" customFormat="1"/>
    <row r="1072" s="116" customFormat="1"/>
    <row r="1073" s="116" customFormat="1"/>
    <row r="1074" s="116" customFormat="1"/>
    <row r="1075" s="116" customFormat="1"/>
    <row r="1076" s="116" customFormat="1"/>
    <row r="1077" s="116" customFormat="1"/>
    <row r="1078" s="116" customFormat="1"/>
    <row r="1079" s="116" customFormat="1"/>
    <row r="1080" s="116" customFormat="1"/>
    <row r="1081" s="116" customFormat="1"/>
    <row r="1082" s="116" customFormat="1"/>
    <row r="1083" s="116" customFormat="1"/>
    <row r="1084" s="116" customFormat="1"/>
    <row r="1085" s="116" customFormat="1"/>
    <row r="1086" s="116" customFormat="1"/>
    <row r="1087" s="116" customFormat="1"/>
    <row r="1088" s="116" customFormat="1"/>
    <row r="1089" s="116" customFormat="1"/>
    <row r="1090" s="116" customFormat="1"/>
    <row r="1091" s="116" customFormat="1"/>
    <row r="1092" s="116" customFormat="1"/>
    <row r="1093" s="116" customFormat="1"/>
    <row r="1094" s="116" customFormat="1"/>
    <row r="1095" s="116" customFormat="1"/>
    <row r="1096" s="116" customFormat="1"/>
    <row r="1097" s="116" customFormat="1"/>
    <row r="1098" s="116" customFormat="1"/>
    <row r="1099" s="116" customFormat="1"/>
    <row r="1100" s="116" customFormat="1"/>
    <row r="1101" s="116" customFormat="1"/>
    <row r="1102" s="116" customFormat="1"/>
    <row r="1103" s="116" customFormat="1"/>
    <row r="1104" s="116" customFormat="1"/>
    <row r="1105" s="116" customFormat="1"/>
    <row r="1106" s="116" customFormat="1"/>
    <row r="1107" s="116" customFormat="1"/>
    <row r="1108" s="116" customFormat="1"/>
    <row r="1109" s="116" customFormat="1"/>
    <row r="1110" s="116" customFormat="1"/>
    <row r="1111" s="116" customFormat="1"/>
    <row r="1112" s="116" customFormat="1"/>
    <row r="1113" s="116" customFormat="1"/>
    <row r="1114" s="116" customFormat="1"/>
    <row r="1115" s="116" customFormat="1"/>
    <row r="1116" s="116" customFormat="1"/>
    <row r="1117" s="116" customFormat="1"/>
    <row r="1118" s="116" customFormat="1"/>
    <row r="1119" s="116" customFormat="1"/>
    <row r="1120" s="116" customFormat="1"/>
    <row r="1121" s="116" customFormat="1"/>
    <row r="1122" s="116" customFormat="1"/>
    <row r="1123" s="116" customFormat="1"/>
    <row r="1124" s="116" customFormat="1"/>
    <row r="1125" s="116" customFormat="1"/>
    <row r="1126" s="116" customFormat="1"/>
    <row r="1127" s="116" customFormat="1"/>
    <row r="1128" s="116" customFormat="1"/>
    <row r="1129" s="116" customFormat="1"/>
    <row r="1130" s="116" customFormat="1"/>
    <row r="1131" s="116" customFormat="1"/>
    <row r="1132" s="116" customFormat="1"/>
    <row r="1133" s="116" customFormat="1"/>
    <row r="1134" s="116" customFormat="1"/>
    <row r="1135" s="116" customFormat="1"/>
    <row r="1136" s="116" customFormat="1"/>
    <row r="1137" s="116" customFormat="1"/>
    <row r="1138" s="116" customFormat="1"/>
    <row r="1139" s="116" customFormat="1"/>
    <row r="1140" s="116" customFormat="1"/>
    <row r="1141" s="116" customFormat="1"/>
    <row r="1142" s="116" customFormat="1"/>
    <row r="1143" s="116" customFormat="1"/>
    <row r="1144" s="116" customFormat="1"/>
    <row r="1145" s="116" customFormat="1"/>
    <row r="1146" s="116" customFormat="1"/>
    <row r="1147" s="116" customFormat="1"/>
    <row r="1148" s="116" customFormat="1"/>
    <row r="1149" s="116" customFormat="1"/>
    <row r="1150" s="116" customFormat="1"/>
    <row r="1151" s="116" customFormat="1"/>
    <row r="1152" s="116" customFormat="1"/>
    <row r="1153" s="116" customFormat="1"/>
    <row r="1154" s="116" customFormat="1"/>
    <row r="1155" s="116" customFormat="1"/>
    <row r="1156" s="116" customFormat="1"/>
    <row r="1157" s="116" customFormat="1"/>
    <row r="1158" s="116" customFormat="1"/>
    <row r="1159" s="116" customFormat="1"/>
    <row r="1160" s="116" customFormat="1"/>
    <row r="1161" s="116" customFormat="1"/>
    <row r="1162" s="116" customFormat="1"/>
    <row r="1163" s="116" customFormat="1"/>
    <row r="1164" s="116" customFormat="1"/>
    <row r="1165" s="116" customFormat="1"/>
    <row r="1166" s="116" customFormat="1"/>
    <row r="1167" s="116" customFormat="1"/>
    <row r="1168" s="116" customFormat="1"/>
    <row r="1169" s="116" customFormat="1"/>
    <row r="1170" s="116" customFormat="1"/>
    <row r="1171" s="116" customFormat="1"/>
    <row r="1172" s="116" customFormat="1"/>
    <row r="1173" s="116" customFormat="1"/>
    <row r="1174" s="116" customFormat="1"/>
    <row r="1175" s="116" customFormat="1"/>
    <row r="1176" s="116" customFormat="1"/>
    <row r="1177" s="116" customFormat="1"/>
    <row r="1178" s="116" customFormat="1"/>
    <row r="1179" s="116" customFormat="1"/>
    <row r="1180" s="116" customFormat="1"/>
    <row r="1181" s="116" customFormat="1"/>
    <row r="1182" s="116" customFormat="1"/>
    <row r="1183" s="116" customFormat="1"/>
    <row r="1184" s="116" customFormat="1"/>
    <row r="1185" s="116" customFormat="1"/>
    <row r="1186" s="116" customFormat="1"/>
    <row r="1187" s="116" customFormat="1"/>
    <row r="1188" s="116" customFormat="1"/>
    <row r="1189" s="116" customFormat="1"/>
    <row r="1190" s="116" customFormat="1"/>
    <row r="1191" s="116" customFormat="1"/>
    <row r="1192" s="116" customFormat="1"/>
    <row r="1193" s="116" customFormat="1"/>
    <row r="1194" s="116" customFormat="1"/>
    <row r="1195" s="116" customFormat="1"/>
    <row r="1196" s="116" customFormat="1"/>
    <row r="1197" s="116" customFormat="1"/>
    <row r="1198" s="116" customFormat="1"/>
    <row r="1199" s="116" customFormat="1"/>
    <row r="1200" s="116" customFormat="1"/>
    <row r="1201" s="116" customFormat="1"/>
    <row r="1202" s="116" customFormat="1"/>
    <row r="1203" s="116" customFormat="1"/>
    <row r="1204" s="116" customFormat="1"/>
    <row r="1205" s="116" customFormat="1"/>
    <row r="1206" s="116" customFormat="1"/>
    <row r="1207" s="116" customFormat="1"/>
    <row r="1208" s="116" customFormat="1"/>
    <row r="1209" s="116" customFormat="1"/>
    <row r="1210" s="116" customFormat="1"/>
    <row r="1211" s="116" customFormat="1"/>
    <row r="1212" s="116" customFormat="1"/>
    <row r="1213" s="116" customFormat="1"/>
    <row r="1214" s="116" customFormat="1"/>
    <row r="1215" s="116" customFormat="1"/>
    <row r="1216" s="116" customFormat="1"/>
    <row r="1217" s="116" customFormat="1"/>
    <row r="1218" s="116" customFormat="1"/>
    <row r="1219" s="116" customFormat="1"/>
    <row r="1220" s="116" customFormat="1"/>
    <row r="1221" s="116" customFormat="1"/>
    <row r="1222" s="116" customFormat="1"/>
    <row r="1223" s="116" customFormat="1"/>
    <row r="1224" s="116" customFormat="1"/>
    <row r="1225" s="116" customFormat="1"/>
    <row r="1226" s="116" customFormat="1"/>
    <row r="1227" s="116" customFormat="1"/>
    <row r="1228" s="116" customFormat="1"/>
    <row r="1229" s="116" customFormat="1"/>
    <row r="1230" s="116" customFormat="1"/>
    <row r="1231" s="116" customFormat="1"/>
    <row r="1232" s="116" customFormat="1"/>
    <row r="1233" s="116" customFormat="1"/>
    <row r="1234" s="116" customFormat="1"/>
    <row r="1235" s="116" customFormat="1"/>
    <row r="1236" s="116" customFormat="1"/>
    <row r="1237" s="116" customFormat="1"/>
    <row r="1238" s="116" customFormat="1"/>
    <row r="1239" s="116" customFormat="1"/>
    <row r="1240" s="116" customFormat="1"/>
    <row r="1241" s="116" customFormat="1"/>
    <row r="1242" s="116" customFormat="1"/>
    <row r="1243" s="116" customFormat="1"/>
    <row r="1244" s="116" customFormat="1"/>
    <row r="1245" s="116" customFormat="1"/>
    <row r="1246" s="116" customFormat="1"/>
    <row r="1247" s="116" customFormat="1"/>
    <row r="1248" s="116" customFormat="1"/>
    <row r="1249" s="116" customFormat="1"/>
    <row r="1250" s="116" customFormat="1"/>
    <row r="1251" s="116" customFormat="1"/>
    <row r="1252" s="116" customFormat="1"/>
    <row r="1253" s="116" customFormat="1"/>
    <row r="1254" s="116" customFormat="1"/>
    <row r="1255" s="116" customFormat="1"/>
    <row r="1256" s="116" customFormat="1"/>
    <row r="1257" s="116" customFormat="1"/>
    <row r="1258" s="116" customFormat="1"/>
    <row r="1259" s="116" customFormat="1"/>
    <row r="1260" s="116" customFormat="1"/>
    <row r="1261" s="116" customFormat="1"/>
    <row r="1262" s="116" customFormat="1"/>
    <row r="1263" s="116" customFormat="1"/>
    <row r="1264" s="116" customFormat="1"/>
    <row r="1265" s="116" customFormat="1"/>
    <row r="1266" s="116" customFormat="1"/>
    <row r="1267" s="116" customFormat="1"/>
    <row r="1268" s="116" customFormat="1"/>
    <row r="1269" s="116" customFormat="1"/>
    <row r="1270" s="116" customFormat="1"/>
    <row r="1271" s="116" customFormat="1"/>
    <row r="1272" s="116" customFormat="1"/>
    <row r="1273" s="116" customFormat="1"/>
    <row r="1274" s="116" customFormat="1"/>
    <row r="1275" s="116" customFormat="1"/>
    <row r="1276" s="116" customFormat="1"/>
    <row r="1277" s="116" customFormat="1"/>
    <row r="1278" s="116" customFormat="1"/>
    <row r="1279" s="116" customFormat="1"/>
    <row r="1280" s="116" customFormat="1"/>
    <row r="1281" s="116" customFormat="1"/>
    <row r="1282" s="116" customFormat="1"/>
    <row r="1283" s="116" customFormat="1"/>
    <row r="1284" s="116" customFormat="1"/>
    <row r="1285" s="116" customFormat="1"/>
    <row r="1286" s="116" customFormat="1"/>
    <row r="1287" s="116" customFormat="1"/>
    <row r="1288" s="116" customFormat="1"/>
    <row r="1289" s="116" customFormat="1"/>
    <row r="1290" s="116" customFormat="1"/>
    <row r="1291" s="116" customFormat="1"/>
    <row r="1292" s="116" customFormat="1"/>
    <row r="1293" s="116" customFormat="1"/>
    <row r="1294" s="116" customFormat="1"/>
    <row r="1295" s="116" customFormat="1"/>
    <row r="1296" s="116" customFormat="1"/>
    <row r="1297" s="116" customFormat="1"/>
    <row r="1298" s="116" customFormat="1"/>
    <row r="1299" s="116" customFormat="1"/>
    <row r="1300" s="116" customFormat="1"/>
    <row r="1301" s="116" customFormat="1"/>
    <row r="1302" s="116" customFormat="1"/>
    <row r="1303" s="116" customFormat="1"/>
    <row r="1304" s="116" customFormat="1"/>
    <row r="1305" s="116" customFormat="1"/>
    <row r="1306" s="116" customFormat="1"/>
    <row r="1307" s="116" customFormat="1"/>
    <row r="1308" s="116" customFormat="1"/>
    <row r="1309" s="116" customFormat="1"/>
    <row r="1310" s="116" customFormat="1"/>
    <row r="1311" s="116" customFormat="1"/>
    <row r="1312" s="116" customFormat="1"/>
    <row r="1313" s="116" customFormat="1"/>
    <row r="1314" s="116" customFormat="1"/>
    <row r="1315" s="116" customFormat="1"/>
    <row r="1316" s="116" customFormat="1"/>
    <row r="1317" s="116" customFormat="1"/>
    <row r="1318" s="116" customFormat="1"/>
    <row r="1319" s="116" customFormat="1"/>
    <row r="1320" s="116" customFormat="1"/>
    <row r="1321" s="116" customFormat="1"/>
    <row r="1322" s="116" customFormat="1"/>
    <row r="1323" s="116" customFormat="1"/>
    <row r="1324" s="116" customFormat="1"/>
    <row r="1325" s="116" customFormat="1"/>
    <row r="1326" s="116" customFormat="1"/>
    <row r="1327" s="116" customFormat="1"/>
    <row r="1328" s="116" customFormat="1"/>
    <row r="1329" s="116" customFormat="1"/>
    <row r="1330" s="116" customFormat="1"/>
    <row r="1331" s="116" customFormat="1"/>
    <row r="1332" s="116" customFormat="1"/>
    <row r="1333" s="116" customFormat="1"/>
    <row r="1334" s="116" customFormat="1"/>
    <row r="1335" s="116" customFormat="1"/>
    <row r="1336" s="116" customFormat="1"/>
    <row r="1337" s="116" customFormat="1"/>
    <row r="1338" s="116" customFormat="1"/>
    <row r="1339" s="116" customFormat="1"/>
    <row r="1340" s="116" customFormat="1"/>
    <row r="1341" s="116" customFormat="1"/>
    <row r="1342" s="116" customFormat="1"/>
    <row r="1343" s="116" customFormat="1"/>
    <row r="1344" s="116" customFormat="1"/>
    <row r="1345" s="116" customFormat="1"/>
    <row r="1346" s="116" customFormat="1"/>
    <row r="1347" s="116" customFormat="1"/>
    <row r="1348" s="116" customFormat="1"/>
    <row r="1349" s="116" customFormat="1"/>
    <row r="1350" s="116" customFormat="1"/>
    <row r="1351" s="116" customFormat="1"/>
    <row r="1352" s="116" customFormat="1"/>
    <row r="1353" s="116" customFormat="1"/>
    <row r="1354" s="116" customFormat="1"/>
    <row r="1355" s="116" customFormat="1"/>
    <row r="1356" s="116" customFormat="1"/>
    <row r="1357" s="116" customFormat="1"/>
    <row r="1358" s="116" customFormat="1"/>
    <row r="1359" s="116" customFormat="1"/>
    <row r="1360" s="116" customFormat="1"/>
    <row r="1361" s="116" customFormat="1"/>
    <row r="1362" s="116" customFormat="1"/>
    <row r="1363" s="116" customFormat="1"/>
    <row r="1364" s="116" customFormat="1"/>
    <row r="1365" s="116" customFormat="1"/>
    <row r="1366" s="116" customFormat="1"/>
    <row r="1367" s="116" customFormat="1"/>
    <row r="1368" s="116" customFormat="1"/>
    <row r="1369" s="116" customFormat="1"/>
    <row r="1370" s="116" customFormat="1"/>
    <row r="1371" s="116" customFormat="1"/>
    <row r="1372" s="116" customFormat="1"/>
    <row r="1373" s="116" customFormat="1"/>
    <row r="1374" s="116" customFormat="1"/>
    <row r="1375" s="116" customFormat="1"/>
    <row r="1376" s="116" customFormat="1"/>
    <row r="1377" s="116" customFormat="1"/>
    <row r="1378" s="116" customFormat="1"/>
    <row r="1379" s="116" customFormat="1"/>
    <row r="1380" s="116" customFormat="1"/>
    <row r="1381" s="116" customFormat="1"/>
    <row r="1382" s="116" customFormat="1"/>
    <row r="1383" s="116" customFormat="1"/>
    <row r="1384" s="116" customFormat="1"/>
    <row r="1385" s="116" customFormat="1"/>
    <row r="1386" s="116" customFormat="1"/>
    <row r="1387" s="116" customFormat="1"/>
    <row r="1388" s="116" customFormat="1"/>
    <row r="1389" s="116" customFormat="1"/>
    <row r="1390" s="116" customFormat="1"/>
    <row r="1391" s="116" customFormat="1"/>
    <row r="1392" s="116" customFormat="1"/>
    <row r="1393" s="116" customFormat="1"/>
    <row r="1394" s="116" customFormat="1"/>
    <row r="1395" s="116" customFormat="1"/>
    <row r="1396" s="116" customFormat="1"/>
    <row r="1397" s="116" customFormat="1"/>
    <row r="1398" s="116" customFormat="1"/>
    <row r="1399" s="116" customFormat="1"/>
    <row r="1400" s="116" customFormat="1"/>
    <row r="1401" s="116" customFormat="1"/>
    <row r="1402" s="116" customFormat="1"/>
    <row r="1403" s="116" customFormat="1"/>
    <row r="1404" s="116" customFormat="1"/>
    <row r="1405" s="116" customFormat="1"/>
    <row r="1406" s="116" customFormat="1"/>
    <row r="1407" s="116" customFormat="1"/>
    <row r="1408" s="116" customFormat="1"/>
    <row r="1409" s="116" customFormat="1"/>
    <row r="1410" s="116" customFormat="1"/>
    <row r="1411" s="116" customFormat="1"/>
    <row r="1412" s="116" customFormat="1"/>
    <row r="1413" s="116" customFormat="1"/>
    <row r="1414" s="116" customFormat="1"/>
    <row r="1415" s="116" customFormat="1"/>
    <row r="1416" s="116" customFormat="1"/>
    <row r="1417" s="116" customFormat="1"/>
    <row r="1418" s="116" customFormat="1"/>
    <row r="1419" s="116" customFormat="1"/>
    <row r="1420" s="116" customFormat="1"/>
    <row r="1421" s="116" customFormat="1"/>
    <row r="1422" s="116" customFormat="1"/>
    <row r="1423" s="116" customFormat="1"/>
    <row r="1424" s="116" customFormat="1"/>
    <row r="1425" s="116" customFormat="1"/>
    <row r="1426" s="116" customFormat="1"/>
    <row r="1427" s="116" customFormat="1"/>
    <row r="1428" s="116" customFormat="1"/>
    <row r="1429" s="116" customFormat="1"/>
    <row r="1430" s="116" customFormat="1"/>
    <row r="1431" s="116" customFormat="1"/>
    <row r="1432" s="116" customFormat="1"/>
    <row r="1433" s="116" customFormat="1"/>
    <row r="1434" s="116" customFormat="1"/>
    <row r="1435" s="116" customFormat="1"/>
    <row r="1436" s="116" customFormat="1"/>
    <row r="1437" s="116" customFormat="1"/>
    <row r="1438" s="116" customFormat="1"/>
    <row r="1439" s="116" customFormat="1"/>
    <row r="1440" s="116" customFormat="1"/>
    <row r="1441" s="116" customFormat="1"/>
    <row r="1442" s="116" customFormat="1"/>
    <row r="1443" s="116" customFormat="1"/>
    <row r="1444" s="116" customFormat="1"/>
    <row r="1445" s="116" customFormat="1"/>
    <row r="1446" s="116" customFormat="1"/>
    <row r="1447" s="116" customFormat="1"/>
    <row r="1448" s="116" customFormat="1"/>
    <row r="1449" s="116" customFormat="1"/>
    <row r="1450" s="116" customFormat="1"/>
    <row r="1451" s="116" customFormat="1"/>
    <row r="1452" s="116" customFormat="1"/>
    <row r="1453" s="116" customFormat="1"/>
    <row r="1454" s="116" customFormat="1"/>
    <row r="1455" s="116" customFormat="1"/>
    <row r="1456" s="116" customFormat="1"/>
    <row r="1457" s="116" customFormat="1"/>
    <row r="1458" s="116" customFormat="1"/>
    <row r="1459" s="116" customFormat="1"/>
    <row r="1460" s="116" customFormat="1"/>
    <row r="1461" s="116" customFormat="1"/>
    <row r="1462" s="116" customFormat="1"/>
    <row r="1463" s="116" customFormat="1"/>
    <row r="1464" s="116" customFormat="1"/>
    <row r="1465" s="116" customFormat="1"/>
    <row r="1466" s="116" customFormat="1"/>
    <row r="1467" s="116" customFormat="1"/>
    <row r="1468" s="116" customFormat="1"/>
    <row r="1469" s="116" customFormat="1"/>
    <row r="1470" s="116" customFormat="1"/>
    <row r="1471" s="116" customFormat="1"/>
    <row r="1472" s="116" customFormat="1"/>
    <row r="1473" s="116" customFormat="1"/>
    <row r="1474" s="116" customFormat="1"/>
    <row r="1475" s="116" customFormat="1"/>
    <row r="1476" s="116" customFormat="1"/>
    <row r="1477" s="116" customFormat="1"/>
    <row r="1478" s="116" customFormat="1"/>
    <row r="1479" s="116" customFormat="1"/>
    <row r="1480" s="116" customFormat="1"/>
    <row r="1481" s="116" customFormat="1"/>
    <row r="1482" s="116" customFormat="1"/>
    <row r="1483" s="116" customFormat="1"/>
    <row r="1484" s="116" customFormat="1"/>
    <row r="1485" s="116" customFormat="1"/>
    <row r="1486" s="116" customFormat="1"/>
    <row r="1487" s="116" customFormat="1"/>
    <row r="1488" s="116" customFormat="1"/>
    <row r="1489" s="116" customFormat="1"/>
    <row r="1490" s="116" customFormat="1"/>
    <row r="1491" s="116" customFormat="1"/>
    <row r="1492" s="116" customFormat="1"/>
    <row r="1493" s="116" customFormat="1"/>
    <row r="1494" s="116" customFormat="1"/>
    <row r="1495" s="116" customFormat="1"/>
    <row r="1496" s="116" customFormat="1"/>
    <row r="1497" s="116" customFormat="1"/>
    <row r="1498" s="116" customFormat="1"/>
    <row r="1499" s="116" customFormat="1"/>
    <row r="1500" s="116" customFormat="1"/>
    <row r="1501" s="116" customFormat="1"/>
    <row r="1502" s="116" customFormat="1"/>
    <row r="1503" s="116" customFormat="1"/>
    <row r="1504" s="116" customFormat="1"/>
    <row r="1505" s="116" customFormat="1"/>
    <row r="1506" s="116" customFormat="1"/>
    <row r="1507" s="116" customFormat="1"/>
    <row r="1508" s="116" customFormat="1"/>
    <row r="1509" s="116" customFormat="1"/>
    <row r="1510" s="116" customFormat="1"/>
    <row r="1511" s="116" customFormat="1"/>
    <row r="1512" s="116" customFormat="1"/>
    <row r="1513" s="116" customFormat="1"/>
    <row r="1514" s="116" customFormat="1"/>
    <row r="1515" s="116" customFormat="1"/>
    <row r="1516" s="116" customFormat="1"/>
    <row r="1517" s="116" customFormat="1"/>
    <row r="1518" s="116" customFormat="1"/>
    <row r="1519" s="116" customFormat="1"/>
    <row r="1520" s="116" customFormat="1"/>
    <row r="1521" s="116" customFormat="1"/>
    <row r="1522" s="116" customFormat="1"/>
    <row r="1523" s="116" customFormat="1"/>
    <row r="1524" s="116" customFormat="1"/>
    <row r="1525" s="116" customFormat="1"/>
    <row r="1526" s="116" customFormat="1"/>
    <row r="1527" s="116" customFormat="1"/>
    <row r="1528" s="116" customFormat="1"/>
    <row r="1529" s="116" customFormat="1"/>
    <row r="1530" s="116" customFormat="1"/>
    <row r="1531" s="116" customFormat="1"/>
    <row r="1532" s="116" customFormat="1"/>
    <row r="1533" s="116" customFormat="1"/>
    <row r="1534" s="116" customFormat="1"/>
    <row r="1535" s="116" customFormat="1"/>
    <row r="1536" s="116" customFormat="1"/>
    <row r="1537" s="116" customFormat="1"/>
    <row r="1538" s="116" customFormat="1"/>
    <row r="1539" s="116" customFormat="1"/>
    <row r="1540" s="116" customFormat="1"/>
    <row r="1541" s="116" customFormat="1"/>
    <row r="1542" s="116" customFormat="1"/>
    <row r="1543" s="116" customFormat="1"/>
    <row r="1544" s="116" customFormat="1"/>
    <row r="1545" s="116" customFormat="1"/>
    <row r="1546" s="116" customFormat="1"/>
    <row r="1547" s="116" customFormat="1"/>
    <row r="1548" s="116" customFormat="1"/>
    <row r="1549" s="116" customFormat="1"/>
    <row r="1550" s="116" customFormat="1"/>
    <row r="1551" s="116" customFormat="1"/>
    <row r="1552" s="116" customFormat="1"/>
    <row r="1553" s="116" customFormat="1"/>
    <row r="1554" s="116" customFormat="1"/>
    <row r="1555" s="116" customFormat="1"/>
    <row r="1556" s="116" customFormat="1"/>
    <row r="1557" s="116" customFormat="1"/>
    <row r="1558" s="116" customFormat="1"/>
    <row r="1559" s="116" customFormat="1"/>
    <row r="1560" s="116" customFormat="1"/>
    <row r="1561" s="116" customFormat="1"/>
    <row r="1562" s="116" customFormat="1"/>
    <row r="1563" s="116" customFormat="1"/>
    <row r="1564" s="116" customFormat="1"/>
    <row r="1565" s="116" customFormat="1"/>
    <row r="1566" s="116" customFormat="1"/>
    <row r="1567" s="116" customFormat="1"/>
    <row r="1568" s="116" customFormat="1"/>
    <row r="1569" s="116" customFormat="1"/>
    <row r="1570" s="116" customFormat="1"/>
    <row r="1571" s="116" customFormat="1"/>
    <row r="1572" s="116" customFormat="1"/>
    <row r="1573" s="116" customFormat="1"/>
    <row r="1574" s="116" customFormat="1"/>
    <row r="1575" s="116" customFormat="1"/>
    <row r="1576" s="116" customFormat="1"/>
    <row r="1577" s="116" customFormat="1"/>
    <row r="1578" s="116" customFormat="1"/>
    <row r="1579" s="116" customFormat="1"/>
    <row r="1580" s="116" customFormat="1"/>
    <row r="1581" s="116" customFormat="1"/>
    <row r="1582" s="116" customFormat="1"/>
    <row r="1583" s="116" customFormat="1"/>
    <row r="1584" s="116" customFormat="1"/>
    <row r="1585" s="116" customFormat="1"/>
    <row r="1586" s="116" customFormat="1"/>
    <row r="1587" s="116" customFormat="1"/>
    <row r="1588" s="116" customFormat="1"/>
    <row r="1589" s="116" customFormat="1"/>
    <row r="1590" s="116" customFormat="1"/>
    <row r="1591" s="116" customFormat="1"/>
    <row r="1592" s="116" customFormat="1"/>
    <row r="1593" s="116" customFormat="1"/>
    <row r="1594" s="116" customFormat="1"/>
    <row r="1595" s="116" customFormat="1"/>
    <row r="1596" s="116" customFormat="1"/>
    <row r="1597" s="116" customFormat="1"/>
    <row r="1598" s="116" customFormat="1"/>
    <row r="1599" s="116" customFormat="1"/>
    <row r="1600" s="116" customFormat="1"/>
    <row r="1601" s="116" customFormat="1"/>
    <row r="1602" s="116" customFormat="1"/>
    <row r="1603" s="116" customFormat="1"/>
    <row r="1604" s="116" customFormat="1"/>
    <row r="1605" s="116" customFormat="1"/>
    <row r="1606" s="116" customFormat="1"/>
    <row r="1607" s="116" customFormat="1"/>
    <row r="1608" s="116" customFormat="1"/>
    <row r="1609" s="116" customFormat="1"/>
    <row r="1610" s="116" customFormat="1"/>
    <row r="1611" s="116" customFormat="1"/>
    <row r="1612" s="116" customFormat="1"/>
    <row r="1613" s="116" customFormat="1"/>
    <row r="1614" s="116" customFormat="1"/>
    <row r="1615" s="116" customFormat="1"/>
    <row r="1616" s="116" customFormat="1"/>
    <row r="1617" s="116" customFormat="1"/>
    <row r="1618" s="116" customFormat="1"/>
    <row r="1619" s="116" customFormat="1"/>
    <row r="1620" s="116" customFormat="1"/>
    <row r="1621" s="116" customFormat="1"/>
    <row r="1622" s="116" customFormat="1"/>
    <row r="1623" s="116" customFormat="1"/>
    <row r="1624" s="116" customFormat="1"/>
    <row r="1625" s="116" customFormat="1"/>
    <row r="1626" s="116" customFormat="1"/>
    <row r="1627" s="116" customFormat="1"/>
    <row r="1628" s="116" customFormat="1"/>
    <row r="1629" s="116" customFormat="1"/>
    <row r="1630" s="116" customFormat="1"/>
    <row r="1631" s="116" customFormat="1"/>
    <row r="1632" s="116" customFormat="1"/>
    <row r="1633" s="116" customFormat="1"/>
    <row r="1634" s="116" customFormat="1"/>
    <row r="1635" s="116" customFormat="1"/>
    <row r="1636" s="116" customFormat="1"/>
    <row r="1637" s="116" customFormat="1"/>
    <row r="1638" s="116" customFormat="1"/>
    <row r="1639" s="116" customFormat="1"/>
    <row r="1640" s="116" customFormat="1"/>
    <row r="1641" s="116" customFormat="1"/>
    <row r="1642" s="116" customFormat="1"/>
    <row r="1643" s="116" customFormat="1"/>
    <row r="1644" s="116" customFormat="1"/>
    <row r="1645" s="116" customFormat="1"/>
    <row r="1646" s="116" customFormat="1"/>
    <row r="1647" s="116" customFormat="1"/>
    <row r="1648" s="116" customFormat="1"/>
    <row r="1649" s="116" customFormat="1"/>
    <row r="1650" s="116" customFormat="1"/>
    <row r="1651" s="116" customFormat="1"/>
    <row r="1652" s="116" customFormat="1"/>
    <row r="1653" s="116" customFormat="1"/>
    <row r="1654" s="116" customFormat="1"/>
    <row r="1655" s="116" customFormat="1"/>
    <row r="1656" s="116" customFormat="1"/>
    <row r="1657" s="116" customFormat="1"/>
    <row r="1658" s="116" customFormat="1"/>
    <row r="1659" s="116" customFormat="1"/>
    <row r="1660" s="116" customFormat="1"/>
    <row r="1661" s="116" customFormat="1"/>
    <row r="1662" s="116" customFormat="1"/>
    <row r="1663" s="116" customFormat="1"/>
    <row r="1664" s="116" customFormat="1"/>
    <row r="1665" s="116" customFormat="1"/>
    <row r="1666" s="116" customFormat="1"/>
    <row r="1667" s="116" customFormat="1"/>
    <row r="1668" s="116" customFormat="1"/>
    <row r="1669" s="116" customFormat="1"/>
    <row r="1670" s="116" customFormat="1"/>
    <row r="1671" s="116" customFormat="1"/>
    <row r="1672" s="116" customFormat="1"/>
    <row r="1673" s="116" customFormat="1"/>
    <row r="1674" s="116" customFormat="1"/>
    <row r="1675" s="116" customFormat="1"/>
    <row r="1676" s="116" customFormat="1"/>
    <row r="1677" s="116" customFormat="1"/>
    <row r="1678" s="116" customFormat="1"/>
  </sheetData>
  <mergeCells count="8">
    <mergeCell ref="A4:H4"/>
    <mergeCell ref="B9:F9"/>
    <mergeCell ref="I9:M9"/>
    <mergeCell ref="P9:Q9"/>
    <mergeCell ref="B10:C10"/>
    <mergeCell ref="E10:F10"/>
    <mergeCell ref="I10:J10"/>
    <mergeCell ref="L10:M10"/>
  </mergeCells>
  <printOptions horizontalCentered="1"/>
  <pageMargins left="0.7" right="0.7" top="0.75" bottom="0.75" header="0.3" footer="0.3"/>
  <pageSetup scale="63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zoomScale="85" zoomScaleNormal="85" workbookViewId="0">
      <selection activeCell="J29" sqref="J29"/>
    </sheetView>
  </sheetViews>
  <sheetFormatPr defaultRowHeight="15" outlineLevelCol="1"/>
  <cols>
    <col min="1" max="1" width="22.7109375" style="116" customWidth="1"/>
    <col min="2" max="2" width="29.140625" style="116" bestFit="1" customWidth="1"/>
    <col min="3" max="3" width="12.28515625" style="103" customWidth="1" outlineLevel="1"/>
    <col min="4" max="4" width="12.42578125" style="103" customWidth="1" outlineLevel="1"/>
    <col min="5" max="5" width="2" style="103" customWidth="1"/>
    <col min="6" max="6" width="13" style="103" customWidth="1" outlineLevel="1"/>
    <col min="7" max="7" width="12.42578125" style="103" customWidth="1" outlineLevel="1"/>
    <col min="8" max="8" width="2" style="103" customWidth="1" outlineLevel="1"/>
    <col min="9" max="9" width="13.5703125" style="103" bestFit="1" customWidth="1"/>
    <col min="10" max="10" width="5.7109375" style="103" customWidth="1"/>
    <col min="11" max="11" width="12.140625" style="103" hidden="1" customWidth="1" outlineLevel="1"/>
    <col min="12" max="12" width="12.42578125" style="103" hidden="1" customWidth="1" outlineLevel="1"/>
    <col min="13" max="13" width="7.5703125" style="103" bestFit="1" customWidth="1" collapsed="1"/>
    <col min="14" max="14" width="6.140625" style="221" bestFit="1" customWidth="1"/>
    <col min="15" max="15" width="8" style="103" bestFit="1" customWidth="1"/>
    <col min="16" max="16" width="5.85546875" style="103" customWidth="1"/>
    <col min="17" max="16384" width="9.140625" style="103"/>
  </cols>
  <sheetData>
    <row r="1" spans="1:16" ht="12" customHeight="1">
      <c r="A1" s="187" t="s">
        <v>336</v>
      </c>
      <c r="B1" s="188"/>
      <c r="C1" s="189"/>
      <c r="D1" s="189"/>
      <c r="E1" s="188"/>
      <c r="F1" s="188"/>
      <c r="G1" s="188"/>
      <c r="H1" s="188"/>
      <c r="I1" s="188"/>
      <c r="J1" s="188"/>
      <c r="K1" s="188"/>
      <c r="L1" s="188"/>
      <c r="M1" s="121"/>
      <c r="N1" s="190"/>
      <c r="O1" s="121"/>
    </row>
    <row r="2" spans="1:16" ht="12" customHeight="1">
      <c r="A2" s="187" t="s">
        <v>337</v>
      </c>
      <c r="B2" s="188"/>
      <c r="C2" s="189"/>
      <c r="D2" s="189"/>
      <c r="E2" s="188"/>
      <c r="F2" s="191" t="s">
        <v>338</v>
      </c>
      <c r="G2" s="188"/>
      <c r="H2" s="188"/>
      <c r="I2" s="188"/>
      <c r="J2" s="188"/>
      <c r="K2" s="188"/>
      <c r="L2" s="188"/>
      <c r="M2" s="121"/>
      <c r="N2" s="190"/>
      <c r="O2" s="121"/>
    </row>
    <row r="3" spans="1:16" ht="12" customHeight="1">
      <c r="A3" s="192" t="s">
        <v>339</v>
      </c>
      <c r="B3" s="188"/>
      <c r="C3" s="189"/>
      <c r="D3" s="189"/>
      <c r="E3" s="188"/>
      <c r="F3" s="193"/>
      <c r="G3" s="188"/>
      <c r="H3" s="188"/>
      <c r="I3" s="188"/>
      <c r="J3" s="188"/>
      <c r="K3" s="188"/>
      <c r="L3" s="188"/>
      <c r="M3" s="121"/>
      <c r="N3" s="190"/>
      <c r="O3" s="121"/>
    </row>
    <row r="4" spans="1:16" ht="12" customHeight="1">
      <c r="A4" s="192"/>
      <c r="B4" s="188"/>
      <c r="C4" s="189"/>
      <c r="D4" s="189"/>
      <c r="E4" s="188"/>
      <c r="F4" s="193"/>
      <c r="G4" s="188"/>
      <c r="H4" s="188"/>
      <c r="I4" s="188"/>
      <c r="J4" s="188"/>
      <c r="K4" s="188"/>
      <c r="L4" s="188"/>
      <c r="M4" s="121"/>
      <c r="N4" s="190"/>
      <c r="O4" s="121"/>
    </row>
    <row r="5" spans="1:16" ht="35.25" customHeight="1">
      <c r="A5" s="231" t="s">
        <v>307</v>
      </c>
      <c r="B5" s="231"/>
      <c r="C5" s="231"/>
      <c r="D5" s="231"/>
      <c r="E5" s="231"/>
      <c r="F5" s="231"/>
      <c r="G5" s="231"/>
      <c r="H5" s="231"/>
      <c r="I5" s="188"/>
      <c r="J5" s="188"/>
      <c r="K5" s="188"/>
      <c r="L5" s="188"/>
      <c r="M5" s="121"/>
      <c r="N5" s="190"/>
      <c r="O5" s="121"/>
    </row>
    <row r="6" spans="1:16" ht="12" customHeight="1">
      <c r="A6" s="192"/>
      <c r="B6" s="188"/>
      <c r="C6" s="189"/>
      <c r="D6" s="189"/>
      <c r="E6" s="188"/>
      <c r="F6" s="193"/>
      <c r="G6" s="188"/>
      <c r="H6" s="188"/>
      <c r="I6" s="188"/>
      <c r="J6" s="188"/>
      <c r="K6" s="188"/>
      <c r="L6" s="188"/>
      <c r="M6" s="121"/>
      <c r="N6" s="190"/>
      <c r="O6" s="121"/>
    </row>
    <row r="7" spans="1:16" ht="12" customHeight="1">
      <c r="A7" s="192"/>
      <c r="B7" s="188"/>
      <c r="C7" s="189"/>
      <c r="D7" s="189"/>
      <c r="E7" s="188"/>
      <c r="F7" s="193"/>
      <c r="G7" s="188"/>
      <c r="H7" s="188"/>
      <c r="I7" s="188"/>
      <c r="J7" s="188"/>
      <c r="K7" s="188"/>
      <c r="L7" s="188"/>
      <c r="M7" s="121"/>
      <c r="N7" s="190"/>
      <c r="O7" s="121"/>
    </row>
    <row r="8" spans="1:16" ht="12" customHeight="1">
      <c r="A8" s="192"/>
      <c r="B8" s="188"/>
      <c r="C8" s="189"/>
      <c r="D8" s="189"/>
      <c r="E8" s="188"/>
      <c r="F8" s="193"/>
      <c r="G8" s="188"/>
      <c r="H8" s="188"/>
      <c r="I8" s="188"/>
      <c r="J8" s="188"/>
      <c r="K8" s="188"/>
      <c r="L8" s="188"/>
      <c r="M8" s="121"/>
      <c r="N8" s="190"/>
      <c r="O8" s="121"/>
    </row>
    <row r="9" spans="1:16" ht="12" customHeight="1">
      <c r="A9" s="188"/>
      <c r="B9" s="194"/>
      <c r="C9" s="195" t="s">
        <v>340</v>
      </c>
      <c r="D9" s="195" t="s">
        <v>261</v>
      </c>
      <c r="E9" s="188"/>
      <c r="F9" s="196" t="s">
        <v>340</v>
      </c>
      <c r="G9" s="196" t="s">
        <v>261</v>
      </c>
      <c r="H9" s="196"/>
      <c r="I9" s="194" t="s">
        <v>0</v>
      </c>
      <c r="J9" s="188"/>
      <c r="K9" s="196" t="s">
        <v>340</v>
      </c>
      <c r="L9" s="196" t="s">
        <v>261</v>
      </c>
      <c r="M9" s="196" t="s">
        <v>262</v>
      </c>
      <c r="N9" s="197" t="s">
        <v>263</v>
      </c>
      <c r="O9" s="197" t="s">
        <v>264</v>
      </c>
    </row>
    <row r="10" spans="1:16" ht="12" customHeight="1">
      <c r="A10" s="195" t="s">
        <v>1</v>
      </c>
      <c r="B10" s="194" t="s">
        <v>2</v>
      </c>
      <c r="C10" s="198" t="s">
        <v>3</v>
      </c>
      <c r="D10" s="198" t="s">
        <v>3</v>
      </c>
      <c r="E10" s="194"/>
      <c r="F10" s="194" t="s">
        <v>4</v>
      </c>
      <c r="G10" s="194" t="s">
        <v>4</v>
      </c>
      <c r="H10" s="194"/>
      <c r="I10" s="194" t="s">
        <v>4</v>
      </c>
      <c r="J10" s="188"/>
      <c r="K10" s="194" t="s">
        <v>5</v>
      </c>
      <c r="L10" s="194" t="s">
        <v>5</v>
      </c>
      <c r="M10" s="194" t="s">
        <v>265</v>
      </c>
      <c r="N10" s="199" t="s">
        <v>266</v>
      </c>
      <c r="O10" s="199" t="s">
        <v>267</v>
      </c>
    </row>
    <row r="11" spans="1:16" ht="12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90"/>
      <c r="O11" s="121"/>
    </row>
    <row r="12" spans="1:16" s="203" customFormat="1" ht="12" customHeight="1">
      <c r="A12" s="200" t="s">
        <v>6</v>
      </c>
      <c r="B12" s="200" t="s">
        <v>6</v>
      </c>
      <c r="C12" s="189"/>
      <c r="D12" s="189"/>
      <c r="E12" s="201"/>
      <c r="F12" s="188"/>
      <c r="G12" s="188"/>
      <c r="H12" s="188"/>
      <c r="I12" s="188"/>
      <c r="J12" s="188"/>
      <c r="K12" s="188"/>
      <c r="L12" s="188"/>
      <c r="M12" s="121"/>
      <c r="N12" s="202"/>
      <c r="O12" s="188"/>
    </row>
    <row r="13" spans="1:16" s="203" customFormat="1" ht="8.25" customHeight="1">
      <c r="A13" s="200"/>
      <c r="B13" s="200"/>
      <c r="C13" s="189"/>
      <c r="D13" s="189"/>
      <c r="E13" s="201"/>
      <c r="F13" s="188"/>
      <c r="G13" s="188"/>
      <c r="H13" s="188"/>
      <c r="I13" s="188"/>
      <c r="J13" s="188"/>
      <c r="K13" s="188"/>
      <c r="L13" s="188"/>
      <c r="M13" s="121"/>
      <c r="N13" s="202"/>
      <c r="O13" s="188"/>
    </row>
    <row r="14" spans="1:16" s="203" customFormat="1" ht="24.75" customHeight="1">
      <c r="A14" s="204" t="s">
        <v>7</v>
      </c>
      <c r="B14" s="204" t="s">
        <v>7</v>
      </c>
      <c r="C14" s="205"/>
      <c r="D14" s="205"/>
      <c r="E14" s="205"/>
      <c r="F14" s="202"/>
      <c r="G14" s="202"/>
      <c r="H14" s="202"/>
      <c r="I14" s="206"/>
      <c r="J14" s="188"/>
      <c r="K14" s="202"/>
      <c r="L14" s="202"/>
      <c r="M14" s="121"/>
      <c r="N14" s="202"/>
      <c r="O14" s="188"/>
    </row>
    <row r="15" spans="1:16" s="203" customFormat="1" ht="12" customHeight="1">
      <c r="A15" s="121" t="s">
        <v>8</v>
      </c>
      <c r="B15" s="121" t="s">
        <v>9</v>
      </c>
      <c r="C15" s="205">
        <v>14.4</v>
      </c>
      <c r="D15" s="205">
        <v>14.43</v>
      </c>
      <c r="E15" s="205"/>
      <c r="F15" s="202">
        <v>345.63</v>
      </c>
      <c r="G15" s="202">
        <v>353.51</v>
      </c>
      <c r="H15" s="202"/>
      <c r="I15" s="206">
        <f t="shared" ref="I15:I34" si="0">SUM(F15:H15)</f>
        <v>699.14</v>
      </c>
      <c r="J15" s="188"/>
      <c r="K15" s="202">
        <f>IFERROR((F15/$C15/6),0)</f>
        <v>4.0003472222222216</v>
      </c>
      <c r="L15" s="202">
        <f>IFERROR((G15/$D15/6),0)</f>
        <v>4.0830445830445834</v>
      </c>
      <c r="M15" s="190">
        <f>SUM(K15:L15)/2</f>
        <v>4.0416959026334025</v>
      </c>
      <c r="N15" s="202">
        <v>0</v>
      </c>
      <c r="O15" s="207">
        <f>(F15/C15)+(G15/D15)</f>
        <v>48.500350831600826</v>
      </c>
      <c r="P15" s="208"/>
    </row>
    <row r="16" spans="1:16" s="203" customFormat="1" ht="12" customHeight="1">
      <c r="A16" s="121" t="s">
        <v>10</v>
      </c>
      <c r="B16" s="121" t="s">
        <v>11</v>
      </c>
      <c r="C16" s="205">
        <v>11.24</v>
      </c>
      <c r="D16" s="205">
        <v>11.25</v>
      </c>
      <c r="E16" s="205"/>
      <c r="F16" s="202">
        <v>269.76499999999999</v>
      </c>
      <c r="G16" s="202">
        <v>348.745</v>
      </c>
      <c r="H16" s="202"/>
      <c r="I16" s="206">
        <f t="shared" si="0"/>
        <v>618.51</v>
      </c>
      <c r="J16" s="188"/>
      <c r="K16" s="202">
        <f t="shared" ref="K16:K34" si="1">IFERROR((F16/$C16/6),0)</f>
        <v>4.0000741399762747</v>
      </c>
      <c r="L16" s="202">
        <f t="shared" ref="L16:L34" si="2">IFERROR((G16/$D16/6),0)</f>
        <v>5.1665925925925924</v>
      </c>
      <c r="M16" s="190">
        <f t="shared" ref="M16:M34" si="3">SUM(K16:L16)/2</f>
        <v>4.5833333662844336</v>
      </c>
      <c r="N16" s="202">
        <v>0</v>
      </c>
      <c r="O16" s="207">
        <f t="shared" ref="O16:O34" si="4">(F16/C16)+(G16/D16)</f>
        <v>55.00000039541321</v>
      </c>
    </row>
    <row r="17" spans="1:15" s="203" customFormat="1" ht="12" customHeight="1">
      <c r="A17" s="121" t="s">
        <v>12</v>
      </c>
      <c r="B17" s="121" t="s">
        <v>13</v>
      </c>
      <c r="C17" s="205">
        <v>17.670000000000002</v>
      </c>
      <c r="D17" s="205">
        <v>17.71</v>
      </c>
      <c r="E17" s="205"/>
      <c r="F17" s="202">
        <v>47197.184999999998</v>
      </c>
      <c r="G17" s="202">
        <v>47350.06</v>
      </c>
      <c r="H17" s="202"/>
      <c r="I17" s="206">
        <f t="shared" si="0"/>
        <v>94547.244999999995</v>
      </c>
      <c r="J17" s="188"/>
      <c r="K17" s="202">
        <f t="shared" si="1"/>
        <v>445.17246745896995</v>
      </c>
      <c r="L17" s="202">
        <f t="shared" si="2"/>
        <v>445.6056841709015</v>
      </c>
      <c r="M17" s="190">
        <f t="shared" si="3"/>
        <v>445.38907581493572</v>
      </c>
      <c r="N17" s="202">
        <v>0</v>
      </c>
      <c r="O17" s="207">
        <f t="shared" si="4"/>
        <v>5344.6689097792287</v>
      </c>
    </row>
    <row r="18" spans="1:15" s="203" customFormat="1" ht="12" customHeight="1">
      <c r="A18" s="121" t="s">
        <v>14</v>
      </c>
      <c r="B18" s="121" t="s">
        <v>15</v>
      </c>
      <c r="C18" s="205">
        <v>24.95</v>
      </c>
      <c r="D18" s="205">
        <v>25.01</v>
      </c>
      <c r="E18" s="205"/>
      <c r="F18" s="202">
        <v>20588.535</v>
      </c>
      <c r="G18" s="202">
        <v>20243.719999999998</v>
      </c>
      <c r="H18" s="202"/>
      <c r="I18" s="206">
        <f t="shared" si="0"/>
        <v>40832.254999999997</v>
      </c>
      <c r="J18" s="188"/>
      <c r="K18" s="202">
        <f t="shared" si="1"/>
        <v>137.53196392785571</v>
      </c>
      <c r="L18" s="202">
        <f t="shared" si="2"/>
        <v>134.90417166466744</v>
      </c>
      <c r="M18" s="190">
        <f t="shared" si="3"/>
        <v>136.21806779626158</v>
      </c>
      <c r="N18" s="202">
        <v>0</v>
      </c>
      <c r="O18" s="207">
        <f t="shared" si="4"/>
        <v>1634.6168135551388</v>
      </c>
    </row>
    <row r="19" spans="1:15" s="203" customFormat="1" ht="12" customHeight="1">
      <c r="A19" s="121" t="s">
        <v>16</v>
      </c>
      <c r="B19" s="121" t="s">
        <v>17</v>
      </c>
      <c r="C19" s="205">
        <v>35.58</v>
      </c>
      <c r="D19" s="205">
        <v>35.68</v>
      </c>
      <c r="E19" s="205"/>
      <c r="F19" s="202">
        <v>426.95999999999992</v>
      </c>
      <c r="G19" s="202">
        <v>428.16</v>
      </c>
      <c r="H19" s="202"/>
      <c r="I19" s="206">
        <f t="shared" si="0"/>
        <v>855.11999999999989</v>
      </c>
      <c r="J19" s="188"/>
      <c r="K19" s="202">
        <f t="shared" si="1"/>
        <v>1.9999999999999998</v>
      </c>
      <c r="L19" s="202">
        <f t="shared" si="2"/>
        <v>2</v>
      </c>
      <c r="M19" s="190">
        <f t="shared" si="3"/>
        <v>2</v>
      </c>
      <c r="N19" s="202">
        <v>0</v>
      </c>
      <c r="O19" s="207">
        <f t="shared" si="4"/>
        <v>24</v>
      </c>
    </row>
    <row r="20" spans="1:15" s="203" customFormat="1" ht="12" customHeight="1">
      <c r="A20" s="121" t="s">
        <v>18</v>
      </c>
      <c r="B20" s="121" t="s">
        <v>19</v>
      </c>
      <c r="C20" s="205">
        <v>26.62</v>
      </c>
      <c r="D20" s="205">
        <v>26.68</v>
      </c>
      <c r="E20" s="205"/>
      <c r="F20" s="202">
        <v>35786.605000000003</v>
      </c>
      <c r="G20" s="202">
        <v>37947.179999999993</v>
      </c>
      <c r="H20" s="202"/>
      <c r="I20" s="206">
        <f t="shared" si="0"/>
        <v>73733.785000000003</v>
      </c>
      <c r="J20" s="188"/>
      <c r="K20" s="202">
        <f t="shared" si="1"/>
        <v>224.05838342098673</v>
      </c>
      <c r="L20" s="202">
        <f t="shared" si="2"/>
        <v>237.05134932533727</v>
      </c>
      <c r="M20" s="190">
        <f t="shared" si="3"/>
        <v>230.55486637316199</v>
      </c>
      <c r="N20" s="202">
        <f>M20*1</f>
        <v>230.55486637316199</v>
      </c>
      <c r="O20" s="207">
        <f t="shared" si="4"/>
        <v>2766.6583964779438</v>
      </c>
    </row>
    <row r="21" spans="1:15" s="203" customFormat="1" ht="12" customHeight="1">
      <c r="A21" s="121" t="s">
        <v>268</v>
      </c>
      <c r="B21" s="121" t="s">
        <v>269</v>
      </c>
      <c r="C21" s="205">
        <f>C20*2</f>
        <v>53.24</v>
      </c>
      <c r="D21" s="205">
        <v>53.36</v>
      </c>
      <c r="E21" s="205"/>
      <c r="F21" s="202">
        <v>319.44</v>
      </c>
      <c r="G21" s="202">
        <v>320.04000000000002</v>
      </c>
      <c r="H21" s="202"/>
      <c r="I21" s="206">
        <f t="shared" si="0"/>
        <v>639.48</v>
      </c>
      <c r="J21" s="188"/>
      <c r="K21" s="202">
        <f t="shared" si="1"/>
        <v>1</v>
      </c>
      <c r="L21" s="202">
        <f t="shared" si="2"/>
        <v>0.99962518740629702</v>
      </c>
      <c r="M21" s="190">
        <f t="shared" si="3"/>
        <v>0.99981259370314857</v>
      </c>
      <c r="N21" s="202">
        <f>+M21*2</f>
        <v>1.9996251874062971</v>
      </c>
      <c r="O21" s="207">
        <f t="shared" si="4"/>
        <v>11.997751124437782</v>
      </c>
    </row>
    <row r="22" spans="1:15" s="203" customFormat="1" ht="12" customHeight="1">
      <c r="A22" s="121" t="s">
        <v>20</v>
      </c>
      <c r="B22" s="121" t="s">
        <v>21</v>
      </c>
      <c r="C22" s="205">
        <v>33.229999999999997</v>
      </c>
      <c r="D22" s="205">
        <v>33.32</v>
      </c>
      <c r="E22" s="205"/>
      <c r="F22" s="202">
        <v>60862.689999999995</v>
      </c>
      <c r="G22" s="202">
        <v>61656.76</v>
      </c>
      <c r="H22" s="202"/>
      <c r="I22" s="206">
        <f t="shared" si="0"/>
        <v>122519.45</v>
      </c>
      <c r="J22" s="188"/>
      <c r="K22" s="202">
        <f t="shared" si="1"/>
        <v>305.25975524124789</v>
      </c>
      <c r="L22" s="202">
        <f t="shared" si="2"/>
        <v>308.40716286514606</v>
      </c>
      <c r="M22" s="190">
        <f t="shared" si="3"/>
        <v>306.83345905319698</v>
      </c>
      <c r="N22" s="202">
        <f>+M22*1</f>
        <v>306.83345905319698</v>
      </c>
      <c r="O22" s="207">
        <f t="shared" si="4"/>
        <v>3682.0015086383637</v>
      </c>
    </row>
    <row r="23" spans="1:15" s="203" customFormat="1" ht="12" customHeight="1">
      <c r="A23" s="121" t="s">
        <v>22</v>
      </c>
      <c r="B23" s="121" t="s">
        <v>23</v>
      </c>
      <c r="C23" s="205">
        <f>C22*2</f>
        <v>66.459999999999994</v>
      </c>
      <c r="D23" s="205">
        <v>66.64</v>
      </c>
      <c r="E23" s="205"/>
      <c r="F23" s="202">
        <v>1595.1299999999999</v>
      </c>
      <c r="G23" s="202">
        <v>682.96999999999991</v>
      </c>
      <c r="H23" s="202"/>
      <c r="I23" s="206">
        <f t="shared" si="0"/>
        <v>2278.1</v>
      </c>
      <c r="J23" s="188"/>
      <c r="K23" s="202">
        <f t="shared" si="1"/>
        <v>4.0002256996689738</v>
      </c>
      <c r="L23" s="202">
        <f t="shared" si="2"/>
        <v>1.7081082432973187</v>
      </c>
      <c r="M23" s="190">
        <f t="shared" si="3"/>
        <v>2.8541669714831461</v>
      </c>
      <c r="N23" s="202">
        <f>+M23*2</f>
        <v>5.7083339429662923</v>
      </c>
      <c r="O23" s="207">
        <f t="shared" si="4"/>
        <v>34.250003657797755</v>
      </c>
    </row>
    <row r="24" spans="1:15" s="203" customFormat="1" ht="12" customHeight="1">
      <c r="A24" s="121" t="s">
        <v>341</v>
      </c>
      <c r="B24" s="121" t="s">
        <v>342</v>
      </c>
      <c r="C24" s="205">
        <f>C22*3</f>
        <v>99.69</v>
      </c>
      <c r="D24" s="205">
        <v>99.96</v>
      </c>
      <c r="E24" s="205"/>
      <c r="F24" s="202">
        <v>598.14</v>
      </c>
      <c r="G24" s="202">
        <v>749.7</v>
      </c>
      <c r="H24" s="202"/>
      <c r="I24" s="206">
        <f t="shared" si="0"/>
        <v>1347.8400000000001</v>
      </c>
      <c r="J24" s="188"/>
      <c r="K24" s="202">
        <f t="shared" si="1"/>
        <v>1</v>
      </c>
      <c r="L24" s="202">
        <f t="shared" si="2"/>
        <v>1.2500000000000002</v>
      </c>
      <c r="M24" s="190">
        <f t="shared" si="3"/>
        <v>1.125</v>
      </c>
      <c r="N24" s="202">
        <f>+M24*3</f>
        <v>3.375</v>
      </c>
      <c r="O24" s="207">
        <f t="shared" si="4"/>
        <v>13.5</v>
      </c>
    </row>
    <row r="25" spans="1:15" s="203" customFormat="1" ht="12" customHeight="1">
      <c r="A25" s="121" t="s">
        <v>24</v>
      </c>
      <c r="B25" s="121" t="s">
        <v>25</v>
      </c>
      <c r="C25" s="205">
        <v>12.33</v>
      </c>
      <c r="D25" s="205">
        <v>12.34</v>
      </c>
      <c r="E25" s="205"/>
      <c r="F25" s="202">
        <v>0</v>
      </c>
      <c r="G25" s="202">
        <v>24.68</v>
      </c>
      <c r="H25" s="202"/>
      <c r="I25" s="206">
        <f t="shared" si="0"/>
        <v>24.68</v>
      </c>
      <c r="J25" s="188"/>
      <c r="K25" s="202">
        <f t="shared" si="1"/>
        <v>0</v>
      </c>
      <c r="L25" s="202">
        <f t="shared" si="2"/>
        <v>0.33333333333333331</v>
      </c>
      <c r="M25" s="190">
        <f t="shared" si="3"/>
        <v>0.16666666666666666</v>
      </c>
      <c r="N25" s="202"/>
      <c r="O25" s="207">
        <f t="shared" si="4"/>
        <v>2</v>
      </c>
    </row>
    <row r="26" spans="1:15" s="203" customFormat="1" ht="12" customHeight="1">
      <c r="A26" s="121" t="s">
        <v>26</v>
      </c>
      <c r="B26" s="121" t="s">
        <v>27</v>
      </c>
      <c r="C26" s="205">
        <v>4.2</v>
      </c>
      <c r="D26" s="205">
        <v>4.21</v>
      </c>
      <c r="E26" s="205"/>
      <c r="F26" s="202">
        <v>3089.17</v>
      </c>
      <c r="G26" s="202">
        <v>2974.6499999999996</v>
      </c>
      <c r="H26" s="202"/>
      <c r="I26" s="206">
        <f t="shared" si="0"/>
        <v>6063.82</v>
      </c>
      <c r="J26" s="188"/>
      <c r="K26" s="202">
        <f t="shared" si="1"/>
        <v>122.58611111111111</v>
      </c>
      <c r="L26" s="202">
        <f t="shared" si="2"/>
        <v>117.76128266033253</v>
      </c>
      <c r="M26" s="190">
        <f t="shared" si="3"/>
        <v>120.17369688572182</v>
      </c>
      <c r="N26" s="202"/>
      <c r="O26" s="207">
        <f t="shared" si="4"/>
        <v>1442.0843626286619</v>
      </c>
    </row>
    <row r="27" spans="1:15" s="203" customFormat="1" ht="12" customHeight="1">
      <c r="A27" s="121" t="s">
        <v>28</v>
      </c>
      <c r="B27" s="121" t="s">
        <v>29</v>
      </c>
      <c r="C27" s="205">
        <v>21.41</v>
      </c>
      <c r="D27" s="205">
        <v>21.45</v>
      </c>
      <c r="E27" s="205"/>
      <c r="F27" s="202">
        <v>256.93</v>
      </c>
      <c r="G27" s="202">
        <v>10.72</v>
      </c>
      <c r="H27" s="202"/>
      <c r="I27" s="206">
        <f t="shared" si="0"/>
        <v>267.65000000000003</v>
      </c>
      <c r="J27" s="188"/>
      <c r="K27" s="202">
        <f t="shared" si="1"/>
        <v>2.0000778452436556</v>
      </c>
      <c r="L27" s="202">
        <f t="shared" si="2"/>
        <v>8.3294483294483301E-2</v>
      </c>
      <c r="M27" s="190">
        <f t="shared" si="3"/>
        <v>1.0416861642690693</v>
      </c>
      <c r="N27" s="202"/>
      <c r="O27" s="207">
        <f t="shared" si="4"/>
        <v>12.500233971228834</v>
      </c>
    </row>
    <row r="28" spans="1:15" s="209" customFormat="1" ht="12" customHeight="1">
      <c r="A28" s="121" t="s">
        <v>34</v>
      </c>
      <c r="B28" s="121" t="s">
        <v>35</v>
      </c>
      <c r="C28" s="205">
        <v>21.41</v>
      </c>
      <c r="D28" s="205">
        <v>21.45</v>
      </c>
      <c r="E28" s="205"/>
      <c r="F28" s="202">
        <v>0</v>
      </c>
      <c r="G28" s="202">
        <v>42.9</v>
      </c>
      <c r="H28" s="202"/>
      <c r="I28" s="206">
        <f t="shared" si="0"/>
        <v>42.9</v>
      </c>
      <c r="J28" s="188"/>
      <c r="K28" s="202">
        <f t="shared" si="1"/>
        <v>0</v>
      </c>
      <c r="L28" s="202">
        <f t="shared" si="2"/>
        <v>0.33333333333333331</v>
      </c>
      <c r="M28" s="190">
        <f t="shared" si="3"/>
        <v>0.16666666666666666</v>
      </c>
      <c r="N28" s="202"/>
      <c r="O28" s="207">
        <f t="shared" si="4"/>
        <v>2</v>
      </c>
    </row>
    <row r="29" spans="1:15" s="209" customFormat="1" ht="12" customHeight="1">
      <c r="A29" s="121" t="s">
        <v>30</v>
      </c>
      <c r="B29" s="121" t="s">
        <v>31</v>
      </c>
      <c r="C29" s="205">
        <v>4.2</v>
      </c>
      <c r="D29" s="205">
        <v>4.21</v>
      </c>
      <c r="E29" s="205"/>
      <c r="F29" s="202">
        <v>37.799999999999997</v>
      </c>
      <c r="G29" s="202">
        <v>46.31</v>
      </c>
      <c r="H29" s="202"/>
      <c r="I29" s="206">
        <f t="shared" si="0"/>
        <v>84.11</v>
      </c>
      <c r="J29" s="188"/>
      <c r="K29" s="202">
        <f t="shared" si="1"/>
        <v>1.4999999999999998</v>
      </c>
      <c r="L29" s="202">
        <f t="shared" si="2"/>
        <v>1.8333333333333333</v>
      </c>
      <c r="M29" s="190">
        <f t="shared" si="3"/>
        <v>1.6666666666666665</v>
      </c>
      <c r="N29" s="202"/>
      <c r="O29" s="207">
        <f t="shared" si="4"/>
        <v>20</v>
      </c>
    </row>
    <row r="30" spans="1:15" s="203" customFormat="1" ht="12" customHeight="1">
      <c r="A30" s="121" t="s">
        <v>32</v>
      </c>
      <c r="B30" s="121" t="s">
        <v>33</v>
      </c>
      <c r="C30" s="205">
        <v>4.2</v>
      </c>
      <c r="D30" s="205">
        <v>4.21</v>
      </c>
      <c r="E30" s="205"/>
      <c r="F30" s="202">
        <v>50.400000000000006</v>
      </c>
      <c r="G30" s="202">
        <v>8.42</v>
      </c>
      <c r="H30" s="202"/>
      <c r="I30" s="206">
        <f t="shared" si="0"/>
        <v>58.820000000000007</v>
      </c>
      <c r="J30" s="188"/>
      <c r="K30" s="202">
        <f t="shared" si="1"/>
        <v>2</v>
      </c>
      <c r="L30" s="202">
        <f t="shared" si="2"/>
        <v>0.33333333333333331</v>
      </c>
      <c r="M30" s="190">
        <f t="shared" si="3"/>
        <v>1.1666666666666667</v>
      </c>
      <c r="N30" s="202"/>
      <c r="O30" s="207">
        <f t="shared" si="4"/>
        <v>14</v>
      </c>
    </row>
    <row r="31" spans="1:15" s="203" customFormat="1" ht="12" customHeight="1">
      <c r="A31" s="121" t="s">
        <v>270</v>
      </c>
      <c r="B31" s="121" t="s">
        <v>271</v>
      </c>
      <c r="C31" s="205">
        <v>6.62</v>
      </c>
      <c r="D31" s="205">
        <v>6.62</v>
      </c>
      <c r="E31" s="205"/>
      <c r="F31" s="202">
        <v>1608.2199999999998</v>
      </c>
      <c r="G31" s="202">
        <v>1555.4099999999999</v>
      </c>
      <c r="H31" s="202"/>
      <c r="I31" s="206">
        <f t="shared" si="0"/>
        <v>3163.6299999999997</v>
      </c>
      <c r="J31" s="188"/>
      <c r="K31" s="202">
        <f t="shared" si="1"/>
        <v>40.488922457200395</v>
      </c>
      <c r="L31" s="202">
        <f t="shared" si="2"/>
        <v>39.159365558912384</v>
      </c>
      <c r="M31" s="190">
        <f t="shared" si="3"/>
        <v>39.824144008056393</v>
      </c>
      <c r="N31" s="202"/>
      <c r="O31" s="207">
        <f t="shared" si="4"/>
        <v>477.88972809667666</v>
      </c>
    </row>
    <row r="32" spans="1:15" s="203" customFormat="1" ht="12" customHeight="1">
      <c r="A32" s="121" t="s">
        <v>343</v>
      </c>
      <c r="B32" s="121" t="s">
        <v>344</v>
      </c>
      <c r="C32" s="205">
        <v>8.0299999999999994</v>
      </c>
      <c r="D32" s="205">
        <v>8.0299999999999994</v>
      </c>
      <c r="E32" s="205"/>
      <c r="F32" s="202">
        <v>8.0299999999999994</v>
      </c>
      <c r="G32" s="202">
        <v>0</v>
      </c>
      <c r="H32" s="202"/>
      <c r="I32" s="206">
        <f t="shared" si="0"/>
        <v>8.0299999999999994</v>
      </c>
      <c r="J32" s="188"/>
      <c r="K32" s="202">
        <f t="shared" si="1"/>
        <v>0.16666666666666666</v>
      </c>
      <c r="L32" s="202">
        <f t="shared" si="2"/>
        <v>0</v>
      </c>
      <c r="M32" s="190">
        <f t="shared" si="3"/>
        <v>8.3333333333333329E-2</v>
      </c>
      <c r="N32" s="202"/>
      <c r="O32" s="207">
        <f t="shared" si="4"/>
        <v>1</v>
      </c>
    </row>
    <row r="33" spans="1:17" s="209" customFormat="1" ht="12" customHeight="1">
      <c r="A33" s="121" t="s">
        <v>36</v>
      </c>
      <c r="B33" s="121" t="s">
        <v>37</v>
      </c>
      <c r="C33" s="205">
        <v>21.86</v>
      </c>
      <c r="D33" s="205">
        <v>21.86</v>
      </c>
      <c r="E33" s="205"/>
      <c r="F33" s="202">
        <v>21.86</v>
      </c>
      <c r="G33" s="202">
        <v>21.86</v>
      </c>
      <c r="H33" s="202"/>
      <c r="I33" s="206">
        <f t="shared" si="0"/>
        <v>43.72</v>
      </c>
      <c r="J33" s="188"/>
      <c r="K33" s="202">
        <f t="shared" si="1"/>
        <v>0.16666666666666666</v>
      </c>
      <c r="L33" s="202">
        <f t="shared" si="2"/>
        <v>0.16666666666666666</v>
      </c>
      <c r="M33" s="190">
        <f t="shared" si="3"/>
        <v>0.16666666666666666</v>
      </c>
      <c r="N33" s="202"/>
      <c r="O33" s="207">
        <f t="shared" si="4"/>
        <v>2</v>
      </c>
    </row>
    <row r="34" spans="1:17" s="209" customFormat="1" ht="12" customHeight="1">
      <c r="A34" s="121" t="s">
        <v>38</v>
      </c>
      <c r="B34" s="121" t="s">
        <v>39</v>
      </c>
      <c r="C34" s="205">
        <v>13.12</v>
      </c>
      <c r="D34" s="205">
        <v>13.12</v>
      </c>
      <c r="E34" s="205"/>
      <c r="F34" s="202">
        <v>262.39999999999998</v>
      </c>
      <c r="G34" s="202">
        <v>249.27999999999997</v>
      </c>
      <c r="H34" s="202"/>
      <c r="I34" s="206">
        <f t="shared" si="0"/>
        <v>511.67999999999995</v>
      </c>
      <c r="J34" s="188"/>
      <c r="K34" s="202">
        <f t="shared" si="1"/>
        <v>3.3333333333333335</v>
      </c>
      <c r="L34" s="202">
        <f t="shared" si="2"/>
        <v>3.1666666666666665</v>
      </c>
      <c r="M34" s="190">
        <f t="shared" si="3"/>
        <v>3.25</v>
      </c>
      <c r="N34" s="202"/>
      <c r="O34" s="207">
        <f t="shared" si="4"/>
        <v>39</v>
      </c>
    </row>
    <row r="35" spans="1:17" s="203" customFormat="1" ht="12" customHeight="1" thickBot="1">
      <c r="A35" s="210"/>
      <c r="B35" s="210"/>
      <c r="C35" s="205"/>
      <c r="D35" s="205"/>
      <c r="E35" s="205"/>
      <c r="F35" s="202"/>
      <c r="G35" s="202"/>
      <c r="H35" s="202"/>
      <c r="I35" s="206"/>
      <c r="J35" s="188"/>
      <c r="K35" s="188"/>
      <c r="L35" s="188"/>
      <c r="M35" s="121"/>
      <c r="N35" s="202"/>
      <c r="O35" s="188"/>
    </row>
    <row r="36" spans="1:17" s="209" customFormat="1" ht="12" customHeight="1" thickBot="1">
      <c r="A36" s="211"/>
      <c r="B36" s="212" t="s">
        <v>40</v>
      </c>
      <c r="C36" s="205"/>
      <c r="D36" s="205"/>
      <c r="E36" s="205"/>
      <c r="F36" s="213">
        <f>SUM(F15:F35)</f>
        <v>173324.88999999998</v>
      </c>
      <c r="G36" s="213">
        <f>SUM(G15:G35)</f>
        <v>175015.07499999998</v>
      </c>
      <c r="H36" s="213"/>
      <c r="I36" s="213">
        <f>SUM(F36:H36)</f>
        <v>348339.96499999997</v>
      </c>
      <c r="J36" s="188"/>
      <c r="K36" s="202"/>
      <c r="L36" s="202"/>
      <c r="M36" s="214">
        <f>SUM(M15:M24)</f>
        <v>1134.5994778716604</v>
      </c>
      <c r="N36" s="202"/>
      <c r="O36" s="188"/>
    </row>
    <row r="37" spans="1:17" s="203" customFormat="1" ht="12" customHeight="1">
      <c r="A37" s="188"/>
      <c r="B37" s="188"/>
      <c r="C37" s="205"/>
      <c r="D37" s="205"/>
      <c r="E37" s="205"/>
      <c r="F37" s="188"/>
      <c r="G37" s="188"/>
      <c r="H37" s="188"/>
      <c r="I37" s="206"/>
      <c r="J37" s="188"/>
      <c r="K37" s="202"/>
      <c r="L37" s="202"/>
      <c r="M37" s="121"/>
      <c r="N37" s="202"/>
      <c r="O37" s="188"/>
    </row>
    <row r="38" spans="1:17" ht="12" customHeight="1">
      <c r="A38" s="200" t="s">
        <v>41</v>
      </c>
      <c r="B38" s="200" t="s">
        <v>41</v>
      </c>
      <c r="C38" s="121"/>
      <c r="D38" s="215"/>
      <c r="E38" s="121"/>
      <c r="F38" s="121"/>
      <c r="G38" s="121"/>
      <c r="H38" s="121"/>
      <c r="I38" s="121"/>
      <c r="J38" s="121"/>
      <c r="K38" s="121"/>
      <c r="L38" s="121"/>
      <c r="M38" s="121"/>
      <c r="N38" s="190"/>
      <c r="O38" s="121"/>
    </row>
    <row r="39" spans="1:17" ht="12" customHeight="1">
      <c r="A39" s="200"/>
      <c r="B39" s="20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90"/>
      <c r="O39" s="121"/>
    </row>
    <row r="40" spans="1:17" s="203" customFormat="1" ht="30">
      <c r="A40" s="204" t="s">
        <v>42</v>
      </c>
      <c r="B40" s="204" t="s">
        <v>42</v>
      </c>
      <c r="C40" s="198" t="s">
        <v>345</v>
      </c>
      <c r="D40" s="198" t="s">
        <v>345</v>
      </c>
      <c r="E40" s="205"/>
      <c r="F40" s="188"/>
      <c r="G40" s="188"/>
      <c r="H40" s="188"/>
      <c r="I40" s="206"/>
      <c r="J40" s="188"/>
      <c r="K40" s="202"/>
      <c r="L40" s="202"/>
      <c r="M40" s="121"/>
      <c r="N40" s="202"/>
      <c r="O40" s="188"/>
      <c r="Q40" s="216"/>
    </row>
    <row r="41" spans="1:17" s="203" customFormat="1" ht="12" customHeight="1">
      <c r="A41" s="121" t="s">
        <v>43</v>
      </c>
      <c r="B41" s="121" t="s">
        <v>44</v>
      </c>
      <c r="C41" s="205">
        <v>71.959999999999994</v>
      </c>
      <c r="D41" s="205">
        <v>72.180000000000007</v>
      </c>
      <c r="E41" s="205"/>
      <c r="F41" s="202">
        <v>9804.5499999999993</v>
      </c>
      <c r="G41" s="202">
        <v>10863.100000000002</v>
      </c>
      <c r="H41" s="202"/>
      <c r="I41" s="206">
        <f t="shared" ref="I41:I80" si="5">SUM(F41:H41)</f>
        <v>20667.650000000001</v>
      </c>
      <c r="J41" s="188"/>
      <c r="K41" s="202">
        <f t="shared" ref="K41:K80" si="6">IFERROR((F41/$C41/6),0)</f>
        <v>22.708333333333332</v>
      </c>
      <c r="L41" s="202">
        <f t="shared" ref="L41:L80" si="7">IFERROR((G41/$D41/6),0)</f>
        <v>25.083356423755429</v>
      </c>
      <c r="M41" s="190">
        <f t="shared" ref="M41:M80" si="8">SUM(K41:L41)/2</f>
        <v>23.895844878544381</v>
      </c>
      <c r="N41" s="202">
        <f>M41*1</f>
        <v>23.895844878544381</v>
      </c>
      <c r="O41" s="207">
        <f t="shared" ref="O41:O80" si="9">(F41/C41)+(G41/D41)</f>
        <v>286.75013854253257</v>
      </c>
    </row>
    <row r="42" spans="1:17" s="203" customFormat="1" ht="12" customHeight="1">
      <c r="A42" s="121" t="s">
        <v>45</v>
      </c>
      <c r="B42" s="121" t="s">
        <v>46</v>
      </c>
      <c r="C42" s="205">
        <v>107.86</v>
      </c>
      <c r="D42" s="205">
        <v>108.16</v>
      </c>
      <c r="E42" s="205"/>
      <c r="F42" s="202">
        <v>7253.59</v>
      </c>
      <c r="G42" s="202">
        <v>6976.32</v>
      </c>
      <c r="H42" s="202"/>
      <c r="I42" s="206">
        <f t="shared" si="5"/>
        <v>14229.91</v>
      </c>
      <c r="J42" s="188"/>
      <c r="K42" s="202">
        <f t="shared" si="6"/>
        <v>11.208341059397986</v>
      </c>
      <c r="L42" s="202">
        <f t="shared" si="7"/>
        <v>10.75</v>
      </c>
      <c r="M42" s="190">
        <f t="shared" si="8"/>
        <v>10.979170529698994</v>
      </c>
      <c r="N42" s="202">
        <f>M42*1</f>
        <v>10.979170529698994</v>
      </c>
      <c r="O42" s="207">
        <f t="shared" si="9"/>
        <v>131.75004635638791</v>
      </c>
    </row>
    <row r="43" spans="1:17" s="203" customFormat="1" ht="12" customHeight="1">
      <c r="A43" s="121" t="s">
        <v>47</v>
      </c>
      <c r="B43" s="121" t="s">
        <v>48</v>
      </c>
      <c r="C43" s="205">
        <v>215.72</v>
      </c>
      <c r="D43" s="205">
        <v>216.32</v>
      </c>
      <c r="E43" s="205"/>
      <c r="F43" s="202">
        <v>970.74</v>
      </c>
      <c r="G43" s="202">
        <v>486.57</v>
      </c>
      <c r="H43" s="202"/>
      <c r="I43" s="206">
        <f t="shared" si="5"/>
        <v>1457.31</v>
      </c>
      <c r="J43" s="188"/>
      <c r="K43" s="202">
        <f t="shared" si="6"/>
        <v>0.75</v>
      </c>
      <c r="L43" s="202">
        <f t="shared" si="7"/>
        <v>0.37488443047337278</v>
      </c>
      <c r="M43" s="190">
        <f t="shared" si="8"/>
        <v>0.56244221523668636</v>
      </c>
      <c r="N43" s="202">
        <f>+M43*2</f>
        <v>1.1248844304733727</v>
      </c>
      <c r="O43" s="207">
        <f t="shared" si="9"/>
        <v>6.7493065828402372</v>
      </c>
    </row>
    <row r="44" spans="1:17" s="203" customFormat="1" ht="12" customHeight="1">
      <c r="A44" s="121" t="s">
        <v>49</v>
      </c>
      <c r="B44" s="121" t="s">
        <v>50</v>
      </c>
      <c r="C44" s="205">
        <v>323.58</v>
      </c>
      <c r="D44" s="205">
        <v>324.48</v>
      </c>
      <c r="E44" s="205"/>
      <c r="F44" s="202">
        <v>0</v>
      </c>
      <c r="G44" s="202">
        <v>648.96</v>
      </c>
      <c r="H44" s="202"/>
      <c r="I44" s="206">
        <f t="shared" si="5"/>
        <v>648.96</v>
      </c>
      <c r="J44" s="188"/>
      <c r="K44" s="202">
        <f t="shared" si="6"/>
        <v>0</v>
      </c>
      <c r="L44" s="202">
        <f t="shared" si="7"/>
        <v>0.33333333333333331</v>
      </c>
      <c r="M44" s="190">
        <f t="shared" si="8"/>
        <v>0.16666666666666666</v>
      </c>
      <c r="N44" s="202">
        <f>+M44*2</f>
        <v>0.33333333333333331</v>
      </c>
      <c r="O44" s="207">
        <f t="shared" si="9"/>
        <v>2</v>
      </c>
    </row>
    <row r="45" spans="1:17" s="203" customFormat="1" ht="12" customHeight="1">
      <c r="A45" s="121" t="s">
        <v>51</v>
      </c>
      <c r="B45" s="121" t="s">
        <v>52</v>
      </c>
      <c r="C45" s="205">
        <v>143.41</v>
      </c>
      <c r="D45" s="205">
        <v>143.80000000000001</v>
      </c>
      <c r="E45" s="205"/>
      <c r="F45" s="202">
        <v>7743.6</v>
      </c>
      <c r="G45" s="202">
        <v>7765.2</v>
      </c>
      <c r="H45" s="202"/>
      <c r="I45" s="206">
        <f t="shared" si="5"/>
        <v>15508.8</v>
      </c>
      <c r="J45" s="188"/>
      <c r="K45" s="202">
        <f t="shared" si="6"/>
        <v>8.9993724287009282</v>
      </c>
      <c r="L45" s="202">
        <f t="shared" si="7"/>
        <v>8.9999999999999982</v>
      </c>
      <c r="M45" s="190">
        <f t="shared" si="8"/>
        <v>8.9996862143504632</v>
      </c>
      <c r="N45" s="202">
        <f>+M45</f>
        <v>8.9996862143504632</v>
      </c>
      <c r="O45" s="207">
        <f t="shared" si="9"/>
        <v>107.99623457220557</v>
      </c>
    </row>
    <row r="46" spans="1:17" s="203" customFormat="1" ht="12" customHeight="1">
      <c r="A46" s="121" t="s">
        <v>53</v>
      </c>
      <c r="B46" s="121" t="s">
        <v>54</v>
      </c>
      <c r="C46" s="205">
        <v>201.35</v>
      </c>
      <c r="D46" s="205">
        <v>201.95</v>
      </c>
      <c r="E46" s="205"/>
      <c r="F46" s="202">
        <v>4379.1499999999996</v>
      </c>
      <c r="G46" s="202">
        <v>3635.1</v>
      </c>
      <c r="H46" s="202"/>
      <c r="I46" s="206">
        <f t="shared" si="5"/>
        <v>8014.25</v>
      </c>
      <c r="J46" s="188"/>
      <c r="K46" s="202">
        <f t="shared" si="6"/>
        <v>3.6248241039649032</v>
      </c>
      <c r="L46" s="202">
        <f t="shared" si="7"/>
        <v>3</v>
      </c>
      <c r="M46" s="190">
        <f t="shared" si="8"/>
        <v>3.3124120519824514</v>
      </c>
      <c r="N46" s="202">
        <f>+M46</f>
        <v>3.3124120519824514</v>
      </c>
      <c r="O46" s="207">
        <f t="shared" si="9"/>
        <v>39.74894462378942</v>
      </c>
    </row>
    <row r="47" spans="1:17" s="203" customFormat="1" ht="12" customHeight="1">
      <c r="A47" s="121" t="s">
        <v>55</v>
      </c>
      <c r="B47" s="121" t="s">
        <v>56</v>
      </c>
      <c r="C47" s="205">
        <v>402.69</v>
      </c>
      <c r="D47" s="205">
        <v>403.9</v>
      </c>
      <c r="E47" s="205"/>
      <c r="F47" s="202">
        <v>4832.28</v>
      </c>
      <c r="G47" s="202">
        <v>4846.8</v>
      </c>
      <c r="H47" s="202"/>
      <c r="I47" s="206">
        <f t="shared" si="5"/>
        <v>9679.08</v>
      </c>
      <c r="J47" s="188"/>
      <c r="K47" s="202">
        <f t="shared" si="6"/>
        <v>2</v>
      </c>
      <c r="L47" s="202">
        <f t="shared" si="7"/>
        <v>2.0000000000000004</v>
      </c>
      <c r="M47" s="190">
        <f t="shared" si="8"/>
        <v>2</v>
      </c>
      <c r="N47" s="202">
        <f>+M47*2</f>
        <v>4</v>
      </c>
      <c r="O47" s="207">
        <f t="shared" si="9"/>
        <v>24</v>
      </c>
    </row>
    <row r="48" spans="1:17" s="203" customFormat="1" ht="12" customHeight="1">
      <c r="A48" s="121" t="s">
        <v>57</v>
      </c>
      <c r="B48" s="121" t="s">
        <v>58</v>
      </c>
      <c r="C48" s="205">
        <v>266.68</v>
      </c>
      <c r="D48" s="205">
        <v>267.45999999999998</v>
      </c>
      <c r="E48" s="205"/>
      <c r="F48" s="202">
        <v>8000.4</v>
      </c>
      <c r="G48" s="202">
        <v>8023.8</v>
      </c>
      <c r="H48" s="202"/>
      <c r="I48" s="206">
        <f t="shared" si="5"/>
        <v>16024.2</v>
      </c>
      <c r="J48" s="188"/>
      <c r="K48" s="202">
        <f t="shared" si="6"/>
        <v>4.9999999999999991</v>
      </c>
      <c r="L48" s="202">
        <f t="shared" si="7"/>
        <v>5.0000000000000009</v>
      </c>
      <c r="M48" s="190">
        <f t="shared" si="8"/>
        <v>5</v>
      </c>
      <c r="N48" s="202">
        <f>+M48</f>
        <v>5</v>
      </c>
      <c r="O48" s="207">
        <f t="shared" si="9"/>
        <v>60</v>
      </c>
    </row>
    <row r="49" spans="1:15" s="203" customFormat="1" ht="12" customHeight="1">
      <c r="A49" s="121" t="s">
        <v>59</v>
      </c>
      <c r="B49" s="121" t="s">
        <v>60</v>
      </c>
      <c r="C49" s="205">
        <v>533.37</v>
      </c>
      <c r="D49" s="205">
        <v>534.91999999999996</v>
      </c>
      <c r="E49" s="205"/>
      <c r="F49" s="202">
        <v>3200.1600000000003</v>
      </c>
      <c r="G49" s="202">
        <v>3209.52</v>
      </c>
      <c r="H49" s="202"/>
      <c r="I49" s="206">
        <f t="shared" si="5"/>
        <v>6409.68</v>
      </c>
      <c r="J49" s="188"/>
      <c r="K49" s="202">
        <f t="shared" si="6"/>
        <v>0.99998125128897397</v>
      </c>
      <c r="L49" s="202">
        <f t="shared" si="7"/>
        <v>1</v>
      </c>
      <c r="M49" s="190">
        <f t="shared" si="8"/>
        <v>0.99999062564448704</v>
      </c>
      <c r="N49" s="202">
        <f>+M49*2</f>
        <v>1.9999812512889741</v>
      </c>
      <c r="O49" s="207">
        <f t="shared" si="9"/>
        <v>11.999887507733844</v>
      </c>
    </row>
    <row r="50" spans="1:15" s="203" customFormat="1" ht="12" customHeight="1">
      <c r="A50" s="121" t="s">
        <v>61</v>
      </c>
      <c r="B50" s="121" t="s">
        <v>62</v>
      </c>
      <c r="C50" s="205">
        <v>773.94</v>
      </c>
      <c r="D50" s="205">
        <v>776.11</v>
      </c>
      <c r="E50" s="205"/>
      <c r="F50" s="202">
        <v>4643.6400000000003</v>
      </c>
      <c r="G50" s="202">
        <v>4656.6000000000004</v>
      </c>
      <c r="H50" s="202"/>
      <c r="I50" s="206">
        <f t="shared" si="5"/>
        <v>9300.2400000000016</v>
      </c>
      <c r="J50" s="188"/>
      <c r="K50" s="202">
        <f t="shared" si="6"/>
        <v>1</v>
      </c>
      <c r="L50" s="202">
        <f t="shared" si="7"/>
        <v>0.99998711522851147</v>
      </c>
      <c r="M50" s="190">
        <f t="shared" si="8"/>
        <v>0.99999355761425579</v>
      </c>
      <c r="N50" s="202">
        <f>+M50*2</f>
        <v>1.9999871152285116</v>
      </c>
      <c r="O50" s="207">
        <f t="shared" si="9"/>
        <v>11.999922691371069</v>
      </c>
    </row>
    <row r="51" spans="1:15" s="203" customFormat="1" ht="12" customHeight="1">
      <c r="A51" s="121" t="s">
        <v>63</v>
      </c>
      <c r="B51" s="121" t="s">
        <v>64</v>
      </c>
      <c r="C51" s="205">
        <v>18.100000000000001</v>
      </c>
      <c r="D51" s="205">
        <v>18.14</v>
      </c>
      <c r="E51" s="205"/>
      <c r="F51" s="202">
        <v>1303.2</v>
      </c>
      <c r="G51" s="202">
        <v>1124.6999999999998</v>
      </c>
      <c r="H51" s="202"/>
      <c r="I51" s="206">
        <f t="shared" si="5"/>
        <v>2427.8999999999996</v>
      </c>
      <c r="J51" s="188"/>
      <c r="K51" s="202">
        <f t="shared" si="6"/>
        <v>12</v>
      </c>
      <c r="L51" s="202">
        <f t="shared" si="7"/>
        <v>10.333517089305401</v>
      </c>
      <c r="M51" s="190">
        <f t="shared" si="8"/>
        <v>11.166758544652701</v>
      </c>
      <c r="N51" s="202">
        <v>0</v>
      </c>
      <c r="O51" s="207">
        <f t="shared" si="9"/>
        <v>134.00110253583239</v>
      </c>
    </row>
    <row r="52" spans="1:15" s="203" customFormat="1" ht="12" customHeight="1">
      <c r="A52" s="121" t="s">
        <v>65</v>
      </c>
      <c r="B52" s="121" t="s">
        <v>66</v>
      </c>
      <c r="C52" s="205">
        <v>34.729999999999997</v>
      </c>
      <c r="D52" s="205">
        <v>34.81</v>
      </c>
      <c r="E52" s="205"/>
      <c r="F52" s="202">
        <v>416.64</v>
      </c>
      <c r="G52" s="202">
        <v>313.29000000000002</v>
      </c>
      <c r="H52" s="202"/>
      <c r="I52" s="206">
        <f t="shared" si="5"/>
        <v>729.93000000000006</v>
      </c>
      <c r="J52" s="188"/>
      <c r="K52" s="202">
        <f t="shared" si="6"/>
        <v>1.9994241289951054</v>
      </c>
      <c r="L52" s="202">
        <f t="shared" si="7"/>
        <v>1.5</v>
      </c>
      <c r="M52" s="190">
        <f t="shared" si="8"/>
        <v>1.7497120644975528</v>
      </c>
      <c r="N52" s="202">
        <v>0</v>
      </c>
      <c r="O52" s="207">
        <f t="shared" si="9"/>
        <v>20.996544773970633</v>
      </c>
    </row>
    <row r="53" spans="1:15" s="203" customFormat="1" ht="12" customHeight="1">
      <c r="A53" s="121" t="s">
        <v>67</v>
      </c>
      <c r="B53" s="121" t="s">
        <v>68</v>
      </c>
      <c r="C53" s="205">
        <v>33.97</v>
      </c>
      <c r="D53" s="205">
        <v>34.03</v>
      </c>
      <c r="E53" s="205"/>
      <c r="F53" s="202">
        <v>815.7600000000001</v>
      </c>
      <c r="G53" s="202">
        <v>850.75</v>
      </c>
      <c r="H53" s="202"/>
      <c r="I53" s="206">
        <f t="shared" si="5"/>
        <v>1666.5100000000002</v>
      </c>
      <c r="J53" s="188"/>
      <c r="K53" s="202">
        <f t="shared" si="6"/>
        <v>4.002355019134531</v>
      </c>
      <c r="L53" s="202">
        <f t="shared" si="7"/>
        <v>4.166666666666667</v>
      </c>
      <c r="M53" s="190">
        <f t="shared" si="8"/>
        <v>4.084510842900599</v>
      </c>
      <c r="N53" s="202">
        <f>+M53</f>
        <v>4.084510842900599</v>
      </c>
      <c r="O53" s="207">
        <f t="shared" si="9"/>
        <v>49.014130114807188</v>
      </c>
    </row>
    <row r="54" spans="1:15" s="203" customFormat="1" ht="12" customHeight="1">
      <c r="A54" s="121" t="s">
        <v>69</v>
      </c>
      <c r="B54" s="121" t="s">
        <v>70</v>
      </c>
      <c r="C54" s="205">
        <v>41.71</v>
      </c>
      <c r="D54" s="205">
        <v>41.8</v>
      </c>
      <c r="E54" s="205"/>
      <c r="F54" s="202">
        <v>1397.29</v>
      </c>
      <c r="G54" s="202">
        <v>1342.8300000000002</v>
      </c>
      <c r="H54" s="202"/>
      <c r="I54" s="206">
        <f t="shared" si="5"/>
        <v>2740.12</v>
      </c>
      <c r="J54" s="188"/>
      <c r="K54" s="202">
        <f t="shared" si="6"/>
        <v>5.5833533125549417</v>
      </c>
      <c r="L54" s="202">
        <f t="shared" si="7"/>
        <v>5.3541866028708149</v>
      </c>
      <c r="M54" s="190">
        <f t="shared" si="8"/>
        <v>5.4687699577128779</v>
      </c>
      <c r="N54" s="202">
        <f>+M54</f>
        <v>5.4687699577128779</v>
      </c>
      <c r="O54" s="207">
        <f t="shared" si="9"/>
        <v>65.625239492554542</v>
      </c>
    </row>
    <row r="55" spans="1:15" s="203" customFormat="1" ht="12" customHeight="1">
      <c r="A55" s="121" t="s">
        <v>71</v>
      </c>
      <c r="B55" s="121" t="s">
        <v>72</v>
      </c>
      <c r="C55" s="205">
        <v>83.39</v>
      </c>
      <c r="D55" s="205">
        <v>83.57</v>
      </c>
      <c r="E55" s="205"/>
      <c r="F55" s="202">
        <v>0</v>
      </c>
      <c r="G55" s="202">
        <v>417.84999999999997</v>
      </c>
      <c r="H55" s="202"/>
      <c r="I55" s="206">
        <f t="shared" si="5"/>
        <v>417.84999999999997</v>
      </c>
      <c r="J55" s="188"/>
      <c r="K55" s="202">
        <f t="shared" si="6"/>
        <v>0</v>
      </c>
      <c r="L55" s="202">
        <f t="shared" si="7"/>
        <v>0.83333333333333337</v>
      </c>
      <c r="M55" s="190">
        <f t="shared" si="8"/>
        <v>0.41666666666666669</v>
      </c>
      <c r="N55" s="202">
        <f>+M55*2</f>
        <v>0.83333333333333337</v>
      </c>
      <c r="O55" s="207">
        <f t="shared" si="9"/>
        <v>5</v>
      </c>
    </row>
    <row r="56" spans="1:15" s="203" customFormat="1" ht="12" customHeight="1">
      <c r="A56" s="121" t="s">
        <v>73</v>
      </c>
      <c r="B56" s="121" t="s">
        <v>74</v>
      </c>
      <c r="C56" s="205">
        <v>11.53</v>
      </c>
      <c r="D56" s="205">
        <v>11.54</v>
      </c>
      <c r="E56" s="205"/>
      <c r="F56" s="202">
        <v>34.589999999999996</v>
      </c>
      <c r="G56" s="202">
        <v>23.08</v>
      </c>
      <c r="H56" s="202"/>
      <c r="I56" s="206">
        <f t="shared" si="5"/>
        <v>57.669999999999995</v>
      </c>
      <c r="J56" s="188"/>
      <c r="K56" s="202">
        <f t="shared" si="6"/>
        <v>0.5</v>
      </c>
      <c r="L56" s="202">
        <f t="shared" si="7"/>
        <v>0.33333333333333331</v>
      </c>
      <c r="M56" s="190">
        <f t="shared" si="8"/>
        <v>0.41666666666666663</v>
      </c>
      <c r="N56" s="202">
        <v>0</v>
      </c>
      <c r="O56" s="207">
        <f t="shared" si="9"/>
        <v>5</v>
      </c>
    </row>
    <row r="57" spans="1:15" s="203" customFormat="1" ht="12" customHeight="1">
      <c r="A57" s="121" t="s">
        <v>77</v>
      </c>
      <c r="B57" s="121" t="s">
        <v>78</v>
      </c>
      <c r="C57" s="205">
        <v>44.76</v>
      </c>
      <c r="D57" s="205">
        <v>44.81</v>
      </c>
      <c r="E57" s="205"/>
      <c r="F57" s="202">
        <v>44.76</v>
      </c>
      <c r="G57" s="202">
        <v>89.62</v>
      </c>
      <c r="H57" s="202"/>
      <c r="I57" s="206">
        <f t="shared" si="5"/>
        <v>134.38</v>
      </c>
      <c r="J57" s="188"/>
      <c r="K57" s="202">
        <f t="shared" si="6"/>
        <v>0.16666666666666666</v>
      </c>
      <c r="L57" s="202">
        <f t="shared" si="7"/>
        <v>0.33333333333333331</v>
      </c>
      <c r="M57" s="190">
        <f t="shared" si="8"/>
        <v>0.25</v>
      </c>
      <c r="N57" s="202">
        <f>M57</f>
        <v>0.25</v>
      </c>
      <c r="O57" s="207">
        <f t="shared" si="9"/>
        <v>3</v>
      </c>
    </row>
    <row r="58" spans="1:15" s="203" customFormat="1" ht="12" customHeight="1">
      <c r="A58" s="121" t="s">
        <v>79</v>
      </c>
      <c r="B58" s="121" t="s">
        <v>80</v>
      </c>
      <c r="C58" s="205">
        <v>63.61</v>
      </c>
      <c r="D58" s="205">
        <v>63.68</v>
      </c>
      <c r="E58" s="205"/>
      <c r="F58" s="202">
        <v>190.82999999999998</v>
      </c>
      <c r="G58" s="202">
        <v>127.36</v>
      </c>
      <c r="H58" s="202"/>
      <c r="I58" s="206">
        <f t="shared" si="5"/>
        <v>318.19</v>
      </c>
      <c r="J58" s="188"/>
      <c r="K58" s="202">
        <f t="shared" si="6"/>
        <v>0.49999999999999994</v>
      </c>
      <c r="L58" s="202">
        <f t="shared" si="7"/>
        <v>0.33333333333333331</v>
      </c>
      <c r="M58" s="190">
        <f t="shared" si="8"/>
        <v>0.41666666666666663</v>
      </c>
      <c r="N58" s="202">
        <f>M58</f>
        <v>0.41666666666666663</v>
      </c>
      <c r="O58" s="207">
        <f t="shared" si="9"/>
        <v>5</v>
      </c>
    </row>
    <row r="59" spans="1:15" s="203" customFormat="1" ht="12" customHeight="1">
      <c r="A59" s="121" t="s">
        <v>83</v>
      </c>
      <c r="B59" s="121" t="s">
        <v>84</v>
      </c>
      <c r="C59" s="205">
        <v>20.37</v>
      </c>
      <c r="D59" s="205">
        <v>20.420000000000002</v>
      </c>
      <c r="E59" s="205"/>
      <c r="F59" s="202">
        <v>0</v>
      </c>
      <c r="G59" s="202">
        <v>20.420000000000002</v>
      </c>
      <c r="H59" s="202"/>
      <c r="I59" s="206">
        <f t="shared" si="5"/>
        <v>20.420000000000002</v>
      </c>
      <c r="J59" s="188"/>
      <c r="K59" s="202">
        <f t="shared" si="6"/>
        <v>0</v>
      </c>
      <c r="L59" s="202">
        <f t="shared" si="7"/>
        <v>0.16666666666666666</v>
      </c>
      <c r="M59" s="190">
        <f t="shared" si="8"/>
        <v>8.3333333333333329E-2</v>
      </c>
      <c r="N59" s="202">
        <f>M59</f>
        <v>8.3333333333333329E-2</v>
      </c>
      <c r="O59" s="207">
        <f t="shared" si="9"/>
        <v>1</v>
      </c>
    </row>
    <row r="60" spans="1:15" s="203" customFormat="1" ht="12" customHeight="1">
      <c r="A60" s="121" t="s">
        <v>81</v>
      </c>
      <c r="B60" s="121" t="s">
        <v>82</v>
      </c>
      <c r="C60" s="205">
        <v>30.67</v>
      </c>
      <c r="D60" s="205">
        <v>30.74</v>
      </c>
      <c r="E60" s="205"/>
      <c r="F60" s="202">
        <v>30.67</v>
      </c>
      <c r="G60" s="202">
        <v>30.74</v>
      </c>
      <c r="H60" s="202"/>
      <c r="I60" s="206">
        <f t="shared" si="5"/>
        <v>61.41</v>
      </c>
      <c r="J60" s="188"/>
      <c r="K60" s="202">
        <f t="shared" si="6"/>
        <v>0.16666666666666666</v>
      </c>
      <c r="L60" s="202">
        <f t="shared" si="7"/>
        <v>0.16666666666666666</v>
      </c>
      <c r="M60" s="190">
        <f t="shared" si="8"/>
        <v>0.16666666666666666</v>
      </c>
      <c r="N60" s="202">
        <f t="shared" ref="N60:N63" si="10">M60</f>
        <v>0.16666666666666666</v>
      </c>
      <c r="O60" s="207">
        <f t="shared" si="9"/>
        <v>2</v>
      </c>
    </row>
    <row r="61" spans="1:15" s="203" customFormat="1" ht="12" customHeight="1">
      <c r="A61" s="121" t="s">
        <v>85</v>
      </c>
      <c r="B61" s="121" t="s">
        <v>86</v>
      </c>
      <c r="C61" s="205">
        <v>39.31</v>
      </c>
      <c r="D61" s="205">
        <v>39.4</v>
      </c>
      <c r="E61" s="205"/>
      <c r="F61" s="202">
        <v>314.48</v>
      </c>
      <c r="G61" s="202">
        <v>354.6</v>
      </c>
      <c r="H61" s="202"/>
      <c r="I61" s="206">
        <f t="shared" si="5"/>
        <v>669.08</v>
      </c>
      <c r="J61" s="188"/>
      <c r="K61" s="202">
        <f t="shared" si="6"/>
        <v>1.3333333333333333</v>
      </c>
      <c r="L61" s="202">
        <f t="shared" si="7"/>
        <v>1.5000000000000002</v>
      </c>
      <c r="M61" s="190">
        <f t="shared" si="8"/>
        <v>1.4166666666666667</v>
      </c>
      <c r="N61" s="202">
        <f t="shared" si="10"/>
        <v>1.4166666666666667</v>
      </c>
      <c r="O61" s="207">
        <f t="shared" si="9"/>
        <v>17</v>
      </c>
    </row>
    <row r="62" spans="1:15" s="203" customFormat="1" ht="12" customHeight="1">
      <c r="A62" s="121" t="s">
        <v>87</v>
      </c>
      <c r="B62" s="121" t="s">
        <v>88</v>
      </c>
      <c r="C62" s="205">
        <v>55.3</v>
      </c>
      <c r="D62" s="205">
        <v>55.44</v>
      </c>
      <c r="E62" s="205"/>
      <c r="F62" s="202">
        <v>55.3</v>
      </c>
      <c r="G62" s="202">
        <v>55.44</v>
      </c>
      <c r="H62" s="202"/>
      <c r="I62" s="206">
        <f t="shared" si="5"/>
        <v>110.74</v>
      </c>
      <c r="J62" s="188"/>
      <c r="K62" s="202">
        <f t="shared" si="6"/>
        <v>0.16666666666666666</v>
      </c>
      <c r="L62" s="202">
        <f t="shared" si="7"/>
        <v>0.16666666666666666</v>
      </c>
      <c r="M62" s="190">
        <f t="shared" si="8"/>
        <v>0.16666666666666666</v>
      </c>
      <c r="N62" s="202">
        <f t="shared" si="10"/>
        <v>0.16666666666666666</v>
      </c>
      <c r="O62" s="207">
        <f t="shared" si="9"/>
        <v>2</v>
      </c>
    </row>
    <row r="63" spans="1:15" s="203" customFormat="1" ht="12" customHeight="1">
      <c r="A63" s="121" t="s">
        <v>89</v>
      </c>
      <c r="B63" s="121" t="s">
        <v>90</v>
      </c>
      <c r="C63" s="205">
        <v>73.81</v>
      </c>
      <c r="D63" s="205">
        <v>73.989999999999995</v>
      </c>
      <c r="E63" s="205"/>
      <c r="F63" s="202">
        <v>738.09999999999991</v>
      </c>
      <c r="G63" s="202">
        <v>369.95</v>
      </c>
      <c r="H63" s="202"/>
      <c r="I63" s="206">
        <f t="shared" si="5"/>
        <v>1108.05</v>
      </c>
      <c r="J63" s="188"/>
      <c r="K63" s="202">
        <f t="shared" si="6"/>
        <v>1.6666666666666663</v>
      </c>
      <c r="L63" s="202">
        <f t="shared" si="7"/>
        <v>0.83333333333333337</v>
      </c>
      <c r="M63" s="190">
        <f t="shared" si="8"/>
        <v>1.2499999999999998</v>
      </c>
      <c r="N63" s="202">
        <f t="shared" si="10"/>
        <v>1.2499999999999998</v>
      </c>
      <c r="O63" s="207">
        <f t="shared" si="9"/>
        <v>14.999999999999998</v>
      </c>
    </row>
    <row r="64" spans="1:15" s="203" customFormat="1" ht="12" customHeight="1">
      <c r="A64" s="121" t="s">
        <v>75</v>
      </c>
      <c r="B64" s="121" t="s">
        <v>76</v>
      </c>
      <c r="C64" s="205">
        <v>4.01</v>
      </c>
      <c r="D64" s="205">
        <v>4.0199999999999996</v>
      </c>
      <c r="E64" s="205"/>
      <c r="F64" s="202">
        <v>1716.65</v>
      </c>
      <c r="G64" s="202">
        <v>1647.8600000000001</v>
      </c>
      <c r="H64" s="202"/>
      <c r="I64" s="206">
        <f t="shared" si="5"/>
        <v>3364.51</v>
      </c>
      <c r="J64" s="188"/>
      <c r="K64" s="202">
        <f t="shared" si="6"/>
        <v>71.34871155444722</v>
      </c>
      <c r="L64" s="202">
        <f t="shared" si="7"/>
        <v>68.319237147595373</v>
      </c>
      <c r="M64" s="190">
        <f t="shared" si="8"/>
        <v>69.833974351021297</v>
      </c>
      <c r="N64" s="202"/>
      <c r="O64" s="207">
        <f t="shared" si="9"/>
        <v>838.00769221225551</v>
      </c>
    </row>
    <row r="65" spans="1:15" s="203" customFormat="1" ht="12" customHeight="1">
      <c r="A65" s="121" t="s">
        <v>91</v>
      </c>
      <c r="B65" s="121" t="s">
        <v>92</v>
      </c>
      <c r="C65" s="205">
        <v>21.41</v>
      </c>
      <c r="D65" s="205">
        <v>21.45</v>
      </c>
      <c r="E65" s="205"/>
      <c r="F65" s="202">
        <v>85.67</v>
      </c>
      <c r="G65" s="202">
        <v>117.94</v>
      </c>
      <c r="H65" s="202"/>
      <c r="I65" s="206">
        <f t="shared" si="5"/>
        <v>203.61</v>
      </c>
      <c r="J65" s="188"/>
      <c r="K65" s="202">
        <f t="shared" si="6"/>
        <v>0.66690020239763348</v>
      </c>
      <c r="L65" s="202">
        <f t="shared" si="7"/>
        <v>0.91639471639471637</v>
      </c>
      <c r="M65" s="190">
        <f t="shared" si="8"/>
        <v>0.79164745939617487</v>
      </c>
      <c r="N65" s="202"/>
      <c r="O65" s="207">
        <f t="shared" si="9"/>
        <v>9.4997695127540993</v>
      </c>
    </row>
    <row r="66" spans="1:15" s="203" customFormat="1" ht="12" customHeight="1">
      <c r="A66" s="121" t="s">
        <v>93</v>
      </c>
      <c r="B66" s="121" t="s">
        <v>94</v>
      </c>
      <c r="C66" s="205">
        <v>12.15</v>
      </c>
      <c r="D66" s="205">
        <v>12.15</v>
      </c>
      <c r="E66" s="205"/>
      <c r="F66" s="202">
        <v>926.44999999999993</v>
      </c>
      <c r="G66" s="202">
        <v>886.96</v>
      </c>
      <c r="H66" s="202"/>
      <c r="I66" s="206">
        <f t="shared" si="5"/>
        <v>1813.4099999999999</v>
      </c>
      <c r="J66" s="188"/>
      <c r="K66" s="202">
        <f t="shared" si="6"/>
        <v>12.708504801097392</v>
      </c>
      <c r="L66" s="202">
        <f t="shared" si="7"/>
        <v>12.166803840877916</v>
      </c>
      <c r="M66" s="190">
        <f t="shared" si="8"/>
        <v>12.437654320987654</v>
      </c>
      <c r="N66" s="202"/>
      <c r="O66" s="207">
        <f t="shared" si="9"/>
        <v>149.25185185185185</v>
      </c>
    </row>
    <row r="67" spans="1:15" s="203" customFormat="1" ht="12" customHeight="1">
      <c r="A67" s="121" t="s">
        <v>95</v>
      </c>
      <c r="B67" s="121" t="s">
        <v>96</v>
      </c>
      <c r="C67" s="205">
        <v>24.53</v>
      </c>
      <c r="D67" s="205">
        <v>24.53</v>
      </c>
      <c r="E67" s="205"/>
      <c r="F67" s="202">
        <v>122.65</v>
      </c>
      <c r="G67" s="202">
        <v>0</v>
      </c>
      <c r="H67" s="202"/>
      <c r="I67" s="206">
        <f t="shared" si="5"/>
        <v>122.65</v>
      </c>
      <c r="J67" s="188"/>
      <c r="K67" s="202">
        <f t="shared" si="6"/>
        <v>0.83333333333333337</v>
      </c>
      <c r="L67" s="202">
        <f t="shared" si="7"/>
        <v>0</v>
      </c>
      <c r="M67" s="190">
        <f t="shared" si="8"/>
        <v>0.41666666666666669</v>
      </c>
      <c r="N67" s="202"/>
      <c r="O67" s="207">
        <f t="shared" si="9"/>
        <v>5</v>
      </c>
    </row>
    <row r="68" spans="1:15" s="203" customFormat="1" ht="12" customHeight="1">
      <c r="A68" s="121" t="s">
        <v>97</v>
      </c>
      <c r="B68" s="121" t="s">
        <v>98</v>
      </c>
      <c r="C68" s="205">
        <v>10.11</v>
      </c>
      <c r="D68" s="205">
        <v>10.11</v>
      </c>
      <c r="E68" s="205"/>
      <c r="F68" s="202">
        <v>1342.1100000000001</v>
      </c>
      <c r="G68" s="202">
        <v>1521.56</v>
      </c>
      <c r="H68" s="202"/>
      <c r="I68" s="206">
        <f t="shared" si="5"/>
        <v>2863.67</v>
      </c>
      <c r="J68" s="188"/>
      <c r="K68" s="202">
        <f t="shared" si="6"/>
        <v>22.125123639960439</v>
      </c>
      <c r="L68" s="202">
        <f t="shared" si="7"/>
        <v>25.083415759973622</v>
      </c>
      <c r="M68" s="190">
        <f t="shared" si="8"/>
        <v>23.604269699967031</v>
      </c>
      <c r="N68" s="202"/>
      <c r="O68" s="207">
        <f t="shared" si="9"/>
        <v>283.25123639960441</v>
      </c>
    </row>
    <row r="69" spans="1:15" s="203" customFormat="1" ht="12" customHeight="1">
      <c r="A69" s="121" t="s">
        <v>99</v>
      </c>
      <c r="B69" s="121" t="s">
        <v>100</v>
      </c>
      <c r="C69" s="205">
        <v>22.3</v>
      </c>
      <c r="D69" s="205">
        <v>22.3</v>
      </c>
      <c r="E69" s="205"/>
      <c r="F69" s="202">
        <v>0</v>
      </c>
      <c r="G69" s="202">
        <v>22.3</v>
      </c>
      <c r="H69" s="202"/>
      <c r="I69" s="206">
        <f t="shared" si="5"/>
        <v>22.3</v>
      </c>
      <c r="J69" s="188"/>
      <c r="K69" s="202">
        <f t="shared" si="6"/>
        <v>0</v>
      </c>
      <c r="L69" s="202">
        <f t="shared" si="7"/>
        <v>0.16666666666666666</v>
      </c>
      <c r="M69" s="190">
        <f t="shared" si="8"/>
        <v>8.3333333333333329E-2</v>
      </c>
      <c r="N69" s="202"/>
      <c r="O69" s="207">
        <f t="shared" si="9"/>
        <v>1</v>
      </c>
    </row>
    <row r="70" spans="1:15" s="203" customFormat="1" ht="12" customHeight="1">
      <c r="A70" s="121" t="s">
        <v>101</v>
      </c>
      <c r="B70" s="121" t="s">
        <v>102</v>
      </c>
      <c r="C70" s="205">
        <v>16.690000000000001</v>
      </c>
      <c r="D70" s="205">
        <v>16.690000000000001</v>
      </c>
      <c r="E70" s="205"/>
      <c r="F70" s="202">
        <v>905.43000000000018</v>
      </c>
      <c r="G70" s="202">
        <v>901.2600000000001</v>
      </c>
      <c r="H70" s="202"/>
      <c r="I70" s="206">
        <f t="shared" si="5"/>
        <v>1806.6900000000003</v>
      </c>
      <c r="J70" s="188"/>
      <c r="K70" s="202">
        <f t="shared" si="6"/>
        <v>9.0416417016177366</v>
      </c>
      <c r="L70" s="202">
        <f t="shared" si="7"/>
        <v>9</v>
      </c>
      <c r="M70" s="190">
        <f t="shared" si="8"/>
        <v>9.0208208508088674</v>
      </c>
      <c r="N70" s="202"/>
      <c r="O70" s="207">
        <f t="shared" si="9"/>
        <v>108.24985020970641</v>
      </c>
    </row>
    <row r="71" spans="1:15" s="203" customFormat="1" ht="12" customHeight="1">
      <c r="A71" s="121" t="s">
        <v>103</v>
      </c>
      <c r="B71" s="121" t="s">
        <v>104</v>
      </c>
      <c r="C71" s="205">
        <v>33.44</v>
      </c>
      <c r="D71" s="205">
        <v>33.44</v>
      </c>
      <c r="E71" s="205"/>
      <c r="F71" s="202">
        <v>171.66</v>
      </c>
      <c r="G71" s="202">
        <v>158.29</v>
      </c>
      <c r="H71" s="202"/>
      <c r="I71" s="206">
        <f t="shared" si="5"/>
        <v>329.95</v>
      </c>
      <c r="J71" s="188"/>
      <c r="K71" s="202">
        <f t="shared" si="6"/>
        <v>0.8555622009569378</v>
      </c>
      <c r="L71" s="202">
        <f t="shared" si="7"/>
        <v>0.78892543859649134</v>
      </c>
      <c r="M71" s="190">
        <f t="shared" si="8"/>
        <v>0.82224381977671457</v>
      </c>
      <c r="N71" s="202"/>
      <c r="O71" s="207">
        <f t="shared" si="9"/>
        <v>9.8669258373205757</v>
      </c>
    </row>
    <row r="72" spans="1:15" s="203" customFormat="1" ht="12" customHeight="1">
      <c r="A72" s="121" t="s">
        <v>105</v>
      </c>
      <c r="B72" s="121" t="s">
        <v>106</v>
      </c>
      <c r="C72" s="205">
        <v>20.59</v>
      </c>
      <c r="D72" s="205">
        <v>20.59</v>
      </c>
      <c r="E72" s="205"/>
      <c r="F72" s="202">
        <v>941.99</v>
      </c>
      <c r="G72" s="202">
        <v>864.78</v>
      </c>
      <c r="H72" s="202"/>
      <c r="I72" s="206">
        <f t="shared" si="5"/>
        <v>1806.77</v>
      </c>
      <c r="J72" s="188"/>
      <c r="K72" s="202">
        <f t="shared" si="6"/>
        <v>7.6249797636393071</v>
      </c>
      <c r="L72" s="202">
        <f t="shared" si="7"/>
        <v>7</v>
      </c>
      <c r="M72" s="190">
        <f t="shared" si="8"/>
        <v>7.3124898818196531</v>
      </c>
      <c r="N72" s="202"/>
      <c r="O72" s="207">
        <f t="shared" si="9"/>
        <v>87.749878581835844</v>
      </c>
    </row>
    <row r="73" spans="1:15" s="203" customFormat="1" ht="12" customHeight="1">
      <c r="A73" s="121" t="s">
        <v>107</v>
      </c>
      <c r="B73" s="121" t="s">
        <v>108</v>
      </c>
      <c r="C73" s="205">
        <v>40.130000000000003</v>
      </c>
      <c r="D73" s="205">
        <v>40.130000000000003</v>
      </c>
      <c r="E73" s="205"/>
      <c r="F73" s="202">
        <v>0</v>
      </c>
      <c r="G73" s="202">
        <v>40.130000000000003</v>
      </c>
      <c r="H73" s="202"/>
      <c r="I73" s="206">
        <f t="shared" si="5"/>
        <v>40.130000000000003</v>
      </c>
      <c r="J73" s="188"/>
      <c r="K73" s="202">
        <f t="shared" si="6"/>
        <v>0</v>
      </c>
      <c r="L73" s="202">
        <f t="shared" si="7"/>
        <v>0.16666666666666666</v>
      </c>
      <c r="M73" s="190">
        <f t="shared" si="8"/>
        <v>8.3333333333333329E-2</v>
      </c>
      <c r="N73" s="202"/>
      <c r="O73" s="207">
        <f t="shared" si="9"/>
        <v>1</v>
      </c>
    </row>
    <row r="74" spans="1:15" s="209" customFormat="1" ht="12" customHeight="1">
      <c r="A74" s="121" t="s">
        <v>109</v>
      </c>
      <c r="B74" s="121" t="s">
        <v>110</v>
      </c>
      <c r="C74" s="205">
        <v>23.32</v>
      </c>
      <c r="D74" s="205">
        <v>23.32</v>
      </c>
      <c r="E74" s="205"/>
      <c r="F74" s="202">
        <v>979.44</v>
      </c>
      <c r="G74" s="202">
        <v>979.44</v>
      </c>
      <c r="H74" s="202"/>
      <c r="I74" s="206">
        <f t="shared" si="5"/>
        <v>1958.88</v>
      </c>
      <c r="J74" s="188"/>
      <c r="K74" s="202">
        <f t="shared" si="6"/>
        <v>7</v>
      </c>
      <c r="L74" s="202">
        <f t="shared" si="7"/>
        <v>7</v>
      </c>
      <c r="M74" s="190">
        <f t="shared" si="8"/>
        <v>7</v>
      </c>
      <c r="N74" s="202"/>
      <c r="O74" s="207">
        <f t="shared" si="9"/>
        <v>84</v>
      </c>
    </row>
    <row r="75" spans="1:15" s="203" customFormat="1" ht="12" customHeight="1">
      <c r="A75" s="121" t="s">
        <v>111</v>
      </c>
      <c r="B75" s="121" t="s">
        <v>112</v>
      </c>
      <c r="C75" s="205">
        <v>44.59</v>
      </c>
      <c r="D75" s="205">
        <v>44.59</v>
      </c>
      <c r="E75" s="205"/>
      <c r="F75" s="202">
        <v>214.03</v>
      </c>
      <c r="G75" s="202">
        <v>294.29000000000002</v>
      </c>
      <c r="H75" s="202"/>
      <c r="I75" s="206">
        <f t="shared" si="5"/>
        <v>508.32000000000005</v>
      </c>
      <c r="J75" s="188"/>
      <c r="K75" s="202">
        <f t="shared" si="6"/>
        <v>0.79999252448232028</v>
      </c>
      <c r="L75" s="202">
        <f t="shared" si="7"/>
        <v>1.0999850489646408</v>
      </c>
      <c r="M75" s="190">
        <f t="shared" si="8"/>
        <v>0.94998878672348053</v>
      </c>
      <c r="N75" s="202"/>
      <c r="O75" s="207">
        <f t="shared" si="9"/>
        <v>11.399865440681767</v>
      </c>
    </row>
    <row r="76" spans="1:15" s="203" customFormat="1" ht="12" customHeight="1">
      <c r="A76" s="121" t="s">
        <v>113</v>
      </c>
      <c r="B76" s="121" t="s">
        <v>114</v>
      </c>
      <c r="C76" s="205">
        <v>30.89</v>
      </c>
      <c r="D76" s="205">
        <v>30.89</v>
      </c>
      <c r="E76" s="205"/>
      <c r="F76" s="202">
        <v>370.67999999999995</v>
      </c>
      <c r="G76" s="202">
        <v>370.67999999999995</v>
      </c>
      <c r="H76" s="202"/>
      <c r="I76" s="206">
        <f t="shared" si="5"/>
        <v>741.3599999999999</v>
      </c>
      <c r="J76" s="188"/>
      <c r="K76" s="202">
        <f t="shared" si="6"/>
        <v>1.9999999999999998</v>
      </c>
      <c r="L76" s="202">
        <f t="shared" si="7"/>
        <v>1.9999999999999998</v>
      </c>
      <c r="M76" s="190">
        <f t="shared" si="8"/>
        <v>1.9999999999999998</v>
      </c>
      <c r="N76" s="202"/>
      <c r="O76" s="207">
        <f t="shared" si="9"/>
        <v>23.999999999999996</v>
      </c>
    </row>
    <row r="77" spans="1:15" s="203" customFormat="1" ht="12" customHeight="1">
      <c r="A77" s="121" t="s">
        <v>115</v>
      </c>
      <c r="B77" s="121" t="s">
        <v>116</v>
      </c>
      <c r="C77" s="205">
        <v>51.84</v>
      </c>
      <c r="D77" s="205">
        <v>51.84</v>
      </c>
      <c r="E77" s="205"/>
      <c r="F77" s="202">
        <v>311.04000000000008</v>
      </c>
      <c r="G77" s="202">
        <v>466.56000000000006</v>
      </c>
      <c r="H77" s="202"/>
      <c r="I77" s="206">
        <f t="shared" si="5"/>
        <v>777.60000000000014</v>
      </c>
      <c r="J77" s="188"/>
      <c r="K77" s="202">
        <f t="shared" si="6"/>
        <v>1.0000000000000002</v>
      </c>
      <c r="L77" s="202">
        <f t="shared" si="7"/>
        <v>1.5</v>
      </c>
      <c r="M77" s="190">
        <f t="shared" si="8"/>
        <v>1.25</v>
      </c>
      <c r="N77" s="202"/>
      <c r="O77" s="207">
        <f t="shared" si="9"/>
        <v>15</v>
      </c>
    </row>
    <row r="78" spans="1:15" s="203" customFormat="1" ht="12" customHeight="1">
      <c r="A78" s="121" t="s">
        <v>346</v>
      </c>
      <c r="B78" s="121" t="s">
        <v>347</v>
      </c>
      <c r="C78" s="205">
        <v>3.46</v>
      </c>
      <c r="D78" s="205">
        <v>3.46</v>
      </c>
      <c r="E78" s="205"/>
      <c r="F78" s="202">
        <v>20.76</v>
      </c>
      <c r="G78" s="202">
        <v>20.76</v>
      </c>
      <c r="H78" s="202"/>
      <c r="I78" s="206">
        <f t="shared" si="5"/>
        <v>41.52</v>
      </c>
      <c r="J78" s="188"/>
      <c r="K78" s="202">
        <f t="shared" si="6"/>
        <v>1.0000000000000002</v>
      </c>
      <c r="L78" s="202">
        <f t="shared" si="7"/>
        <v>1.0000000000000002</v>
      </c>
      <c r="M78" s="190">
        <f t="shared" si="8"/>
        <v>1.0000000000000002</v>
      </c>
      <c r="N78" s="202"/>
      <c r="O78" s="207">
        <f t="shared" si="9"/>
        <v>12.000000000000002</v>
      </c>
    </row>
    <row r="79" spans="1:15" s="203" customFormat="1" ht="12" customHeight="1">
      <c r="A79" s="121" t="s">
        <v>272</v>
      </c>
      <c r="B79" s="121" t="s">
        <v>273</v>
      </c>
      <c r="C79" s="205">
        <v>6.62</v>
      </c>
      <c r="D79" s="205">
        <v>6.62</v>
      </c>
      <c r="E79" s="205"/>
      <c r="F79" s="202">
        <v>52.959999999999994</v>
      </c>
      <c r="G79" s="202">
        <v>39.72</v>
      </c>
      <c r="H79" s="202"/>
      <c r="I79" s="206">
        <f t="shared" si="5"/>
        <v>92.679999999999993</v>
      </c>
      <c r="J79" s="188"/>
      <c r="K79" s="202">
        <f t="shared" si="6"/>
        <v>1.3333333333333333</v>
      </c>
      <c r="L79" s="202">
        <f t="shared" si="7"/>
        <v>1</v>
      </c>
      <c r="M79" s="190">
        <f t="shared" si="8"/>
        <v>1.1666666666666665</v>
      </c>
      <c r="N79" s="202"/>
      <c r="O79" s="207">
        <f t="shared" si="9"/>
        <v>14</v>
      </c>
    </row>
    <row r="80" spans="1:15" s="203" customFormat="1" ht="12" customHeight="1">
      <c r="A80" s="121" t="s">
        <v>117</v>
      </c>
      <c r="B80" s="121" t="s">
        <v>118</v>
      </c>
      <c r="C80" s="205">
        <v>13.12</v>
      </c>
      <c r="D80" s="205">
        <v>13.12</v>
      </c>
      <c r="E80" s="205"/>
      <c r="F80" s="202">
        <v>13.12</v>
      </c>
      <c r="G80" s="202">
        <v>13.12</v>
      </c>
      <c r="H80" s="202"/>
      <c r="I80" s="206">
        <f t="shared" si="5"/>
        <v>26.24</v>
      </c>
      <c r="J80" s="188"/>
      <c r="K80" s="202">
        <f t="shared" si="6"/>
        <v>0.16666666666666666</v>
      </c>
      <c r="L80" s="202">
        <f t="shared" si="7"/>
        <v>0.16666666666666666</v>
      </c>
      <c r="M80" s="190">
        <f t="shared" si="8"/>
        <v>0.16666666666666666</v>
      </c>
      <c r="N80" s="202"/>
      <c r="O80" s="207">
        <f t="shared" si="9"/>
        <v>2</v>
      </c>
    </row>
    <row r="81" spans="1:15" s="203" customFormat="1" ht="12" customHeight="1" thickBot="1">
      <c r="A81" s="217"/>
      <c r="B81" s="217"/>
      <c r="C81" s="205"/>
      <c r="D81" s="205"/>
      <c r="E81" s="205"/>
      <c r="F81" s="202"/>
      <c r="G81" s="202"/>
      <c r="H81" s="202"/>
      <c r="I81" s="206"/>
      <c r="J81" s="188"/>
      <c r="K81" s="188"/>
      <c r="L81" s="188"/>
      <c r="M81" s="121"/>
      <c r="N81" s="202"/>
      <c r="O81" s="188"/>
    </row>
    <row r="82" spans="1:15" s="203" customFormat="1" ht="12" customHeight="1" thickBot="1">
      <c r="A82" s="217"/>
      <c r="B82" s="218" t="s">
        <v>119</v>
      </c>
      <c r="C82" s="205"/>
      <c r="D82" s="205"/>
      <c r="E82" s="205"/>
      <c r="F82" s="213">
        <f>SUM(F41:F81)</f>
        <v>64344.370000000017</v>
      </c>
      <c r="G82" s="213">
        <f>SUM(G41:G81)</f>
        <v>64578.250000000007</v>
      </c>
      <c r="H82" s="213"/>
      <c r="I82" s="213">
        <f>SUM(I41:I81)</f>
        <v>128922.62000000002</v>
      </c>
      <c r="J82" s="188"/>
      <c r="K82" s="188"/>
      <c r="L82" s="188"/>
      <c r="M82" s="219">
        <f>SUM(M41:M55,M59:M63)</f>
        <v>82.885958149502116</v>
      </c>
      <c r="N82" s="202"/>
      <c r="O82" s="188"/>
    </row>
    <row r="83" spans="1:15" ht="12" customHeight="1">
      <c r="A83" s="188"/>
      <c r="B83" s="188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90"/>
      <c r="O83" s="121"/>
    </row>
    <row r="84" spans="1:15">
      <c r="A84" s="220"/>
      <c r="B84" s="220"/>
    </row>
    <row r="85" spans="1:15">
      <c r="F85" s="222"/>
      <c r="G85" s="222"/>
    </row>
    <row r="86" spans="1:15">
      <c r="F86" s="6"/>
      <c r="G86" s="6"/>
      <c r="I86" s="129"/>
    </row>
    <row r="87" spans="1:15">
      <c r="I87" s="129"/>
    </row>
  </sheetData>
  <mergeCells count="1">
    <mergeCell ref="A5:H5"/>
  </mergeCells>
  <pageMargins left="0.7" right="0.7" top="0.75" bottom="0.75" header="0.3" footer="0.3"/>
  <pageSetup scale="8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2909B3AAF704448FCD81433B0BE6FE" ma:contentTypeVersion="92" ma:contentTypeDescription="" ma:contentTypeScope="" ma:versionID="a20e7a12c85a627e72eb666e70402a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2017-02-10T08:00:00+00:00</OpenedDate>
    <Date1 xmlns="dc463f71-b30c-4ab2-9473-d307f9d35888">2017-02-10T08:00:00+00:00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170091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0665B11-4709-41A2-80D5-9FC4C3573FEB}"/>
</file>

<file path=customXml/itemProps2.xml><?xml version="1.0" encoding="utf-8"?>
<ds:datastoreItem xmlns:ds="http://schemas.openxmlformats.org/officeDocument/2006/customXml" ds:itemID="{BA3615F7-8FB3-45C8-ADF0-7448712E6502}"/>
</file>

<file path=customXml/itemProps3.xml><?xml version="1.0" encoding="utf-8"?>
<ds:datastoreItem xmlns:ds="http://schemas.openxmlformats.org/officeDocument/2006/customXml" ds:itemID="{E6696AE0-A408-4DC5-B4CE-2A3D3C71F3D1}"/>
</file>

<file path=customXml/itemProps4.xml><?xml version="1.0" encoding="utf-8"?>
<ds:datastoreItem xmlns:ds="http://schemas.openxmlformats.org/officeDocument/2006/customXml" ds:itemID="{5D8ADEE6-D210-4F59-AF99-4AE64C89F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References</vt:lpstr>
      <vt:lpstr>Spokane DF Calc</vt:lpstr>
      <vt:lpstr>Proposed Rates</vt:lpstr>
      <vt:lpstr>Disposal Schedule</vt:lpstr>
      <vt:lpstr>Spokane Reg - Price out</vt:lpstr>
      <vt:lpstr>'Spokane DF Calc'!Print_Area</vt:lpstr>
      <vt:lpstr>'Spokane Reg - Price out'!Print_Area</vt:lpstr>
      <vt:lpstr>'Proposed Rates'!Print_Titles</vt:lpstr>
      <vt:lpstr>'Spokane DF Calc'!Print_Titles</vt:lpstr>
      <vt:lpstr>'Spokane Reg - Price out'!Print_Titles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 Garland</cp:lastModifiedBy>
  <cp:lastPrinted>2017-02-10T22:28:25Z</cp:lastPrinted>
  <dcterms:created xsi:type="dcterms:W3CDTF">2014-11-03T21:22:13Z</dcterms:created>
  <dcterms:modified xsi:type="dcterms:W3CDTF">2017-02-10T22:28:32Z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0x0101006E56B4D1795A2E4DB2F0B01679ED314A007D2909B3AAF704448FCD81433B0BE6FE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