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000" activeTab="0"/>
  </bookViews>
  <sheets>
    <sheet name="2016 Fee" sheetId="1" r:id="rId1"/>
    <sheet name="Summary of Report to DC" sheetId="2" r:id="rId2"/>
    <sheet name="2016 Residential" sheetId="3" r:id="rId3"/>
    <sheet name="2016 Commercial" sheetId="4" r:id="rId4"/>
  </sheets>
  <definedNames>
    <definedName name="_xlnm.Print_Area" localSheetId="0">'2016 Fee'!$A$1:$O$77</definedName>
    <definedName name="_xlnm.Print_Area" localSheetId="1">'Summary of Report to DC'!$A$1:$H$31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<sst xmlns="http://schemas.openxmlformats.org/spreadsheetml/2006/main" count="187" uniqueCount="116">
  <si>
    <t xml:space="preserve">          DOUGLAS COUNTY SOLID WASTE REPORTING FORM</t>
  </si>
  <si>
    <t>SERVICE</t>
  </si>
  <si>
    <t>NO. OF ACCOUNTS</t>
  </si>
  <si>
    <t>NO. OF PICKUPS</t>
  </si>
  <si>
    <t>RATE</t>
  </si>
  <si>
    <t>LSB./CONTAINER</t>
  </si>
  <si>
    <t>ANNUAL POUNDS</t>
  </si>
  <si>
    <t>1 yard container</t>
  </si>
  <si>
    <t>2 yard container</t>
  </si>
  <si>
    <t>3 yard container</t>
  </si>
  <si>
    <t>4 yard container</t>
  </si>
  <si>
    <t>6 yard container</t>
  </si>
  <si>
    <t>8 yard container</t>
  </si>
  <si>
    <t>20 yard box</t>
  </si>
  <si>
    <t>25 yard box</t>
  </si>
  <si>
    <t>30 yard box</t>
  </si>
  <si>
    <t>25 yard box (comp.)</t>
  </si>
  <si>
    <t>30 yard box (comp.)</t>
  </si>
  <si>
    <t>TOTAL COMMERCIAL</t>
  </si>
  <si>
    <t xml:space="preserve">A  =      </t>
  </si>
  <si>
    <t>1 can</t>
  </si>
  <si>
    <t>2 cans</t>
  </si>
  <si>
    <t>3 cans</t>
  </si>
  <si>
    <t>90 gallon tote</t>
  </si>
  <si>
    <t>TOTAL RESIDENTIAL</t>
  </si>
  <si>
    <t xml:space="preserve">B =     </t>
  </si>
  <si>
    <t>35 gallon tote</t>
  </si>
  <si>
    <t>64 gallon tote</t>
  </si>
  <si>
    <t>WASTE MANAGEMENT OF GR. WENATCHEE</t>
  </si>
  <si>
    <t>Total</t>
  </si>
  <si>
    <t>Fee/</t>
  </si>
  <si>
    <t># of</t>
  </si>
  <si>
    <t>Lbs./</t>
  </si>
  <si>
    <t>Annual</t>
  </si>
  <si>
    <t>Acc't or</t>
  </si>
  <si>
    <t>SERVICE DESCRIPTION</t>
  </si>
  <si>
    <t>Accounts</t>
  </si>
  <si>
    <t>pickup</t>
  </si>
  <si>
    <t>pickups</t>
  </si>
  <si>
    <t>Lbs.</t>
  </si>
  <si>
    <t>pick up</t>
  </si>
  <si>
    <t>Fee</t>
  </si>
  <si>
    <t>MINI CAN WEEKLY SVC</t>
  </si>
  <si>
    <t>1 CAN MONTHLY SVC</t>
  </si>
  <si>
    <t>1 CAN WEEKLY SVC</t>
  </si>
  <si>
    <t>2 CAN WEEKLY SVC</t>
  </si>
  <si>
    <t>3 CAN WEEKLY SVC</t>
  </si>
  <si>
    <t>35 GAL CARTS</t>
  </si>
  <si>
    <t>64 GAL CARTS</t>
  </si>
  <si>
    <t>96 GAL CARTS</t>
  </si>
  <si>
    <t>TOTAL</t>
  </si>
  <si>
    <t>40 yard box (comp.)</t>
  </si>
  <si>
    <t>2-64 gallons totes</t>
  </si>
  <si>
    <t>2-90 gallon totes</t>
  </si>
  <si>
    <t>3-90 gallon totes</t>
  </si>
  <si>
    <t>months</t>
  </si>
  <si>
    <t>USOA</t>
  </si>
  <si>
    <t>Total Fee</t>
  </si>
  <si>
    <t>Collected</t>
  </si>
  <si>
    <t>2-64 GAL CARTS</t>
  </si>
  <si>
    <t>2-96 GAL CARTS</t>
  </si>
  <si>
    <t>3-96 GAL CARTS</t>
  </si>
  <si>
    <t>1-20 Gal</t>
  </si>
  <si>
    <t>2-35 gallon tote</t>
  </si>
  <si>
    <t>Sunrise Disposal</t>
  </si>
  <si>
    <t>Waste Management</t>
  </si>
  <si>
    <t>Zippy Disposal</t>
  </si>
  <si>
    <t>Commercial</t>
  </si>
  <si>
    <t>Residential</t>
  </si>
  <si>
    <t>%</t>
  </si>
  <si>
    <t>As Previously Reported:</t>
  </si>
  <si>
    <t>2-35 GAL CARTS</t>
  </si>
  <si>
    <t>15 yard box</t>
  </si>
  <si>
    <t>Current</t>
  </si>
  <si>
    <t>Rate</t>
  </si>
  <si>
    <t>Difference</t>
  </si>
  <si>
    <t>Diff.</t>
  </si>
  <si>
    <t>RESIDENTIAL SOURCES - Unincorporated Douglas County ONLY</t>
  </si>
  <si>
    <t>LBS./CONTAINER</t>
  </si>
  <si>
    <t>Yardage</t>
  </si>
  <si>
    <t>4 cans</t>
  </si>
  <si>
    <t>COMMERCIAL SOURCES - Unincorporated Douglas County ONLY</t>
  </si>
  <si>
    <t>1.5 yard container</t>
  </si>
  <si>
    <t>2 - 1.5 yard container</t>
  </si>
  <si>
    <t>4 - 2 yard container</t>
  </si>
  <si>
    <t>2 - 4 yard container</t>
  </si>
  <si>
    <t>2 - 6 yard container</t>
  </si>
  <si>
    <t>4 - 6 yard container</t>
  </si>
  <si>
    <t>2 - 8 yard container</t>
  </si>
  <si>
    <t>3 - 8 yard container</t>
  </si>
  <si>
    <t>2 - 90 gallon totes</t>
  </si>
  <si>
    <t>3 - 90 gallon totes</t>
  </si>
  <si>
    <t>4 - 90 gallon totes</t>
  </si>
  <si>
    <t>6 - 90 gallon totes</t>
  </si>
  <si>
    <t>8 - 90 gallon totes</t>
  </si>
  <si>
    <t>9 - 90 gallon totes</t>
  </si>
  <si>
    <t>40 yard box</t>
  </si>
  <si>
    <t>50 yard box</t>
  </si>
  <si>
    <t>4 CAN WEEKLY SVC</t>
  </si>
  <si>
    <t>3-64 GAL CARTS</t>
  </si>
  <si>
    <t>EOW</t>
  </si>
  <si>
    <t>Weekly</t>
  </si>
  <si>
    <t>As Revised (per USOA weights):</t>
  </si>
  <si>
    <t>2 x W</t>
  </si>
  <si>
    <r>
      <t xml:space="preserve">          </t>
    </r>
    <r>
      <rPr>
        <b/>
        <sz val="10"/>
        <rFont val="Arial"/>
        <family val="0"/>
      </rPr>
      <t>ATTACHMENT B</t>
    </r>
  </si>
  <si>
    <r>
      <t xml:space="preserve">Solid Waste Collection Company:  </t>
    </r>
    <r>
      <rPr>
        <b/>
        <sz val="10"/>
        <rFont val="Arial"/>
        <family val="0"/>
      </rPr>
      <t>Waste Management</t>
    </r>
  </si>
  <si>
    <r>
      <t xml:space="preserve">Reporting Period:   </t>
    </r>
    <r>
      <rPr>
        <b/>
        <sz val="10"/>
        <rFont val="Arial"/>
        <family val="0"/>
      </rPr>
      <t>Jan. 1 - Dec. 31, 2016</t>
    </r>
  </si>
  <si>
    <t>5 cans</t>
  </si>
  <si>
    <t>6 cans</t>
  </si>
  <si>
    <t>Bag (extra)</t>
  </si>
  <si>
    <r>
      <t xml:space="preserve">          </t>
    </r>
    <r>
      <rPr>
        <b/>
        <sz val="10"/>
        <rFont val="Arial"/>
        <family val="0"/>
      </rPr>
      <t>ATTACHMENT A</t>
    </r>
  </si>
  <si>
    <t>2 - 3 yard container</t>
  </si>
  <si>
    <t>2017 DOUGLAS COUNTY SOLID WASTE COLLECTION FEE</t>
  </si>
  <si>
    <t>3 x w</t>
  </si>
  <si>
    <t>price/lb.</t>
  </si>
  <si>
    <t>Total 2017 Fee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</si>
</sst>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_(&quot;$&quot;* #,##0_);_(&quot;$&quot;* \(#,##0\);_(&quot;$&quot;* &quot;-&quot;??_);_(@_)"/>
    <numFmt numFmtId="177" formatCode="_(* #,##0_);_(* \(#,##0\);_(* &quot;-&quot;??_);_(@_)"/>
    <numFmt numFmtId="178" formatCode="_(&quot;$&quot;* #,##0.0000_);_(&quot;$&quot;* \(#,##0.0000\);_(&quot;$&quot;* &quot;-&quot;??_);_(@_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000_-;\-* #,##0.00000_-;_-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&quot;$&quot;#,##0.000_);\(&quot;$&quot;#,##0.000\)"/>
    <numFmt numFmtId="188" formatCode="&quot;$&quot;#,##0.0000_);\(&quot;$&quot;#,##0.0000\)"/>
    <numFmt numFmtId="189" formatCode="&quot;$&quot;#,##0.00000_);\(&quot;$&quot;#,##0.00000\)"/>
    <numFmt numFmtId="190" formatCode="_-&quot;$&quot;* #,##0.000_-;\-&quot;$&quot;* #,##0.000_-;_-&quot;$&quot;* &quot;-&quot;??_-;_-@_-"/>
    <numFmt numFmtId="191" formatCode="_-&quot;$&quot;* #,##0.0000_-;\-&quot;$&quot;* #,##0.0000_-;_-&quot;$&quot;* &quot;-&quot;??_-;_-@_-"/>
    <numFmt numFmtId="192" formatCode="_-&quot;$&quot;* #,##0.00000_-;\-&quot;$&quot;* #,##0.00000_-;_-&quot;$&quot;* &quot;-&quot;??_-;_-@_-"/>
    <numFmt numFmtId="193" formatCode="_-&quot;$&quot;* #,##0.000000_-;\-&quot;$&quot;* #,##0.000000_-;_-&quot;$&quot;* &quot;-&quot;??_-;_-@_-"/>
    <numFmt numFmtId="194" formatCode="#,##0.0_);\(#,##0.0\)"/>
    <numFmt numFmtId="195" formatCode="_(&quot;$&quot;* #,##0.000_);_(&quot;$&quot;* \(#,##0.000\);_(&quot;$&quot;* &quot;-&quot;??_);_(@_)"/>
    <numFmt numFmtId="196" formatCode="_(&quot;$&quot;* #,##0.0_);_(&quot;$&quot;* \(#,##0.0\);_(&quot;$&quot;* &quot;-&quot;??_);_(@_)"/>
    <numFmt numFmtId="197" formatCode="&quot;$&quot;#,##0.000000_);\(&quot;$&quot;#,##0.000000\)"/>
    <numFmt numFmtId="198" formatCode="&quot;$&quot;#,##0.0_);\(&quot;$&quot;#,##0.0\)"/>
    <numFmt numFmtId="199" formatCode="#,##0.000_);\(#,##0.000\)"/>
    <numFmt numFmtId="200" formatCode="#,##0.0000_);\(#,##0.0000\)"/>
    <numFmt numFmtId="201" formatCode="#,##0.00000_);\(#,##0.00000\)"/>
    <numFmt numFmtId="202" formatCode="0.000"/>
    <numFmt numFmtId="203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u val="single"/>
      <sz val="12"/>
      <name val="Arial"/>
      <family val="2"/>
    </font>
    <font>
      <sz val="12"/>
      <name val="Courier"/>
      <family val="3"/>
    </font>
    <font>
      <u val="single"/>
      <sz val="12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2"/>
      <color indexed="10"/>
      <name val="Arial"/>
      <family val="2"/>
    </font>
    <font>
      <b/>
      <sz val="12"/>
      <color indexed="10"/>
      <name val="Courier"/>
      <family val="3"/>
    </font>
    <font>
      <b/>
      <u val="single"/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sz val="12"/>
      <color rgb="FFFF0000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2" xfId="42" applyNumberFormat="1" applyFont="1" applyBorder="1" applyAlignment="1">
      <alignment/>
    </xf>
    <xf numFmtId="0" fontId="0" fillId="0" borderId="12" xfId="0" applyFill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8" fillId="33" borderId="19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179" fontId="7" fillId="0" borderId="0" xfId="59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171" fontId="7" fillId="0" borderId="0" xfId="42" applyFont="1" applyAlignment="1">
      <alignment/>
    </xf>
    <xf numFmtId="43" fontId="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170" fontId="7" fillId="0" borderId="0" xfId="44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59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3" fontId="1" fillId="0" borderId="0" xfId="42" applyNumberFormat="1" applyFont="1" applyAlignment="1">
      <alignment/>
    </xf>
    <xf numFmtId="173" fontId="13" fillId="0" borderId="0" xfId="42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14" fillId="0" borderId="0" xfId="42" applyNumberFormat="1" applyFont="1" applyAlignment="1">
      <alignment/>
    </xf>
    <xf numFmtId="173" fontId="15" fillId="0" borderId="0" xfId="42" applyNumberFormat="1" applyFont="1" applyAlignment="1">
      <alignment/>
    </xf>
    <xf numFmtId="10" fontId="1" fillId="0" borderId="0" xfId="59" applyNumberFormat="1" applyFont="1" applyAlignment="1">
      <alignment/>
    </xf>
    <xf numFmtId="10" fontId="13" fillId="0" borderId="0" xfId="59" applyNumberFormat="1" applyFont="1" applyAlignment="1">
      <alignment horizontal="center"/>
    </xf>
    <xf numFmtId="10" fontId="0" fillId="0" borderId="0" xfId="59" applyNumberFormat="1" applyFont="1" applyAlignment="1">
      <alignment/>
    </xf>
    <xf numFmtId="10" fontId="15" fillId="0" borderId="0" xfId="59" applyNumberFormat="1" applyFont="1" applyAlignment="1">
      <alignment/>
    </xf>
    <xf numFmtId="10" fontId="14" fillId="0" borderId="0" xfId="59" applyNumberFormat="1" applyFont="1" applyAlignment="1">
      <alignment/>
    </xf>
    <xf numFmtId="0" fontId="1" fillId="0" borderId="0" xfId="0" applyFont="1" applyAlignment="1">
      <alignment horizontal="center"/>
    </xf>
    <xf numFmtId="170" fontId="0" fillId="0" borderId="0" xfId="44" applyFont="1" applyAlignment="1">
      <alignment/>
    </xf>
    <xf numFmtId="170" fontId="15" fillId="0" borderId="0" xfId="44" applyFont="1" applyAlignment="1">
      <alignment/>
    </xf>
    <xf numFmtId="170" fontId="14" fillId="0" borderId="0" xfId="44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170" fontId="7" fillId="0" borderId="0" xfId="44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9" fontId="7" fillId="0" borderId="0" xfId="59" applyNumberFormat="1" applyFont="1" applyBorder="1" applyAlignment="1">
      <alignment/>
    </xf>
    <xf numFmtId="0" fontId="5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179" fontId="18" fillId="0" borderId="0" xfId="59" applyNumberFormat="1" applyFont="1" applyBorder="1" applyAlignment="1">
      <alignment/>
    </xf>
    <xf numFmtId="0" fontId="5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70" fontId="7" fillId="0" borderId="0" xfId="44" applyFont="1" applyBorder="1" applyAlignment="1">
      <alignment/>
    </xf>
    <xf numFmtId="44" fontId="7" fillId="0" borderId="0" xfId="0" applyNumberFormat="1" applyFont="1" applyBorder="1" applyAlignment="1">
      <alignment/>
    </xf>
    <xf numFmtId="10" fontId="7" fillId="0" borderId="0" xfId="59" applyNumberFormat="1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10" fontId="4" fillId="0" borderId="0" xfId="59" applyNumberFormat="1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7" fontId="57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7" fontId="16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79" fontId="19" fillId="0" borderId="0" xfId="59" applyNumberFormat="1" applyFont="1" applyBorder="1" applyAlignment="1">
      <alignment/>
    </xf>
    <xf numFmtId="37" fontId="60" fillId="0" borderId="0" xfId="0" applyNumberFormat="1" applyFont="1" applyAlignment="1" applyProtection="1">
      <alignment/>
      <protection/>
    </xf>
    <xf numFmtId="37" fontId="60" fillId="0" borderId="0" xfId="0" applyNumberFormat="1" applyFont="1" applyBorder="1" applyAlignment="1" applyProtection="1">
      <alignment/>
      <protection/>
    </xf>
    <xf numFmtId="37" fontId="61" fillId="0" borderId="0" xfId="0" applyNumberFormat="1" applyFont="1" applyBorder="1" applyAlignment="1" applyProtection="1">
      <alignment/>
      <protection/>
    </xf>
    <xf numFmtId="37" fontId="62" fillId="0" borderId="0" xfId="0" applyNumberFormat="1" applyFont="1" applyBorder="1" applyAlignment="1" applyProtection="1">
      <alignment/>
      <protection/>
    </xf>
    <xf numFmtId="0" fontId="60" fillId="0" borderId="0" xfId="0" applyFont="1" applyAlignment="1">
      <alignment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3" fontId="0" fillId="0" borderId="12" xfId="42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0" fillId="0" borderId="12" xfId="0" applyNumberForma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3" fontId="0" fillId="34" borderId="13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1" fontId="0" fillId="0" borderId="12" xfId="42" applyNumberFormat="1" applyFont="1" applyFill="1" applyBorder="1" applyAlignment="1">
      <alignment horizontal="right"/>
    </xf>
    <xf numFmtId="1" fontId="0" fillId="0" borderId="12" xfId="42" applyNumberFormat="1" applyFont="1" applyBorder="1" applyAlignment="1">
      <alignment horizontal="right"/>
    </xf>
    <xf numFmtId="37" fontId="18" fillId="0" borderId="0" xfId="0" applyNumberFormat="1" applyFont="1" applyFill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186" fontId="7" fillId="0" borderId="0" xfId="44" applyNumberFormat="1" applyFont="1" applyAlignment="1">
      <alignment/>
    </xf>
    <xf numFmtId="186" fontId="4" fillId="0" borderId="0" xfId="44" applyNumberFormat="1" applyFont="1" applyAlignment="1">
      <alignment horizontal="center"/>
    </xf>
    <xf numFmtId="186" fontId="16" fillId="0" borderId="0" xfId="44" applyNumberFormat="1" applyFont="1" applyBorder="1" applyAlignment="1">
      <alignment horizontal="center"/>
    </xf>
    <xf numFmtId="186" fontId="18" fillId="0" borderId="0" xfId="44" applyNumberFormat="1" applyFont="1" applyBorder="1" applyAlignment="1">
      <alignment/>
    </xf>
    <xf numFmtId="186" fontId="7" fillId="0" borderId="0" xfId="44" applyNumberFormat="1" applyFont="1" applyBorder="1" applyAlignment="1" applyProtection="1">
      <alignment/>
      <protection/>
    </xf>
    <xf numFmtId="186" fontId="16" fillId="0" borderId="0" xfId="44" applyNumberFormat="1" applyFont="1" applyBorder="1" applyAlignment="1">
      <alignment/>
    </xf>
    <xf numFmtId="186" fontId="7" fillId="0" borderId="0" xfId="44" applyNumberFormat="1" applyFont="1" applyBorder="1" applyAlignment="1">
      <alignment/>
    </xf>
    <xf numFmtId="186" fontId="18" fillId="0" borderId="0" xfId="44" applyNumberFormat="1" applyFont="1" applyAlignment="1">
      <alignment/>
    </xf>
    <xf numFmtId="186" fontId="19" fillId="0" borderId="0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0" borderId="13" xfId="42" applyNumberFormat="1" applyFont="1" applyBorder="1" applyAlignment="1">
      <alignment horizontal="right"/>
    </xf>
    <xf numFmtId="173" fontId="0" fillId="0" borderId="13" xfId="42" applyNumberFormat="1" applyFont="1" applyBorder="1" applyAlignment="1">
      <alignment/>
    </xf>
    <xf numFmtId="37" fontId="7" fillId="0" borderId="0" xfId="0" applyNumberFormat="1" applyFont="1" applyAlignment="1">
      <alignment/>
    </xf>
    <xf numFmtId="187" fontId="63" fillId="35" borderId="19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="85" zoomScaleNormal="85" zoomScalePageLayoutView="0" workbookViewId="0" topLeftCell="A1">
      <selection activeCell="I26" sqref="I26"/>
    </sheetView>
  </sheetViews>
  <sheetFormatPr defaultColWidth="12.57421875" defaultRowHeight="12.75"/>
  <cols>
    <col min="1" max="1" width="36.7109375" style="24" customWidth="1"/>
    <col min="2" max="2" width="12.7109375" style="104" customWidth="1"/>
    <col min="3" max="3" width="6.00390625" style="14" customWidth="1"/>
    <col min="4" max="4" width="12.00390625" style="14" bestFit="1" customWidth="1"/>
    <col min="5" max="5" width="9.28125" style="14" bestFit="1" customWidth="1"/>
    <col min="6" max="6" width="10.140625" style="104" bestFit="1" customWidth="1"/>
    <col min="7" max="7" width="3.57421875" style="14" customWidth="1"/>
    <col min="8" max="8" width="14.00390625" style="14" customWidth="1"/>
    <col min="9" max="9" width="14.28125" style="14" bestFit="1" customWidth="1"/>
    <col min="10" max="10" width="2.8515625" style="23" customWidth="1"/>
    <col min="11" max="11" width="14.28125" style="131" bestFit="1" customWidth="1"/>
    <col min="12" max="12" width="2.8515625" style="33" customWidth="1"/>
    <col min="13" max="13" width="12.57421875" style="14" customWidth="1"/>
    <col min="14" max="14" width="13.7109375" style="14" bestFit="1" customWidth="1"/>
    <col min="15" max="15" width="13.421875" style="14" bestFit="1" customWidth="1"/>
    <col min="16" max="16" width="3.8515625" style="14" customWidth="1"/>
    <col min="17" max="17" width="11.00390625" style="14" customWidth="1"/>
    <col min="18" max="18" width="17.421875" style="14" customWidth="1"/>
    <col min="19" max="16384" width="12.57421875" style="14" customWidth="1"/>
  </cols>
  <sheetData>
    <row r="1" spans="1:16" ht="20.25">
      <c r="A1" s="11" t="s">
        <v>28</v>
      </c>
      <c r="B1" s="127"/>
      <c r="C1" s="12"/>
      <c r="D1" s="12"/>
      <c r="E1" s="12"/>
      <c r="F1" s="97"/>
      <c r="G1" s="13"/>
      <c r="H1" s="1" t="s">
        <v>55</v>
      </c>
      <c r="I1" s="14">
        <v>12</v>
      </c>
      <c r="O1" s="105"/>
      <c r="P1" s="105"/>
    </row>
    <row r="2" spans="1:8" ht="16.5" thickBot="1">
      <c r="A2" s="32" t="s">
        <v>112</v>
      </c>
      <c r="B2" s="128"/>
      <c r="C2" s="15"/>
      <c r="D2" s="15"/>
      <c r="E2" s="15"/>
      <c r="F2" s="98"/>
      <c r="G2" s="13"/>
      <c r="H2" s="59"/>
    </row>
    <row r="3" spans="1:8" ht="15">
      <c r="A3" s="16"/>
      <c r="B3" s="26"/>
      <c r="C3" s="13"/>
      <c r="D3" s="13"/>
      <c r="E3" s="13"/>
      <c r="F3" s="26"/>
      <c r="G3" s="13"/>
      <c r="H3" s="59"/>
    </row>
    <row r="4" spans="1:8" ht="15.75" thickBot="1">
      <c r="A4" s="16"/>
      <c r="B4" s="26"/>
      <c r="C4" s="13"/>
      <c r="D4" s="13"/>
      <c r="E4" s="13"/>
      <c r="F4" s="26"/>
      <c r="G4" s="13"/>
      <c r="H4" s="59"/>
    </row>
    <row r="5" spans="1:9" ht="16.5" thickBot="1">
      <c r="A5" s="17" t="s">
        <v>115</v>
      </c>
      <c r="B5" s="60"/>
      <c r="C5" s="13"/>
      <c r="D5" s="18">
        <v>184003.27</v>
      </c>
      <c r="E5" s="13"/>
      <c r="F5" s="26"/>
      <c r="G5" s="13"/>
      <c r="H5" s="146">
        <f>+D5/H77</f>
        <v>0.0064536879727875385</v>
      </c>
      <c r="I5" s="14" t="s">
        <v>114</v>
      </c>
    </row>
    <row r="6" spans="1:9" ht="15.75">
      <c r="A6" s="16"/>
      <c r="B6" s="26"/>
      <c r="C6" s="13"/>
      <c r="D6" s="13"/>
      <c r="E6" s="13"/>
      <c r="F6" s="26"/>
      <c r="G6" s="13"/>
      <c r="H6" s="59"/>
      <c r="I6" s="36"/>
    </row>
    <row r="7" spans="1:11" ht="15.75">
      <c r="A7" s="19"/>
      <c r="B7" s="25"/>
      <c r="C7" s="20"/>
      <c r="D7" s="25">
        <v>2016</v>
      </c>
      <c r="E7" s="34" t="s">
        <v>56</v>
      </c>
      <c r="F7" s="26"/>
      <c r="G7" s="26"/>
      <c r="H7" s="60" t="s">
        <v>29</v>
      </c>
      <c r="I7" s="61" t="s">
        <v>30</v>
      </c>
      <c r="K7" s="132"/>
    </row>
    <row r="8" spans="1:15" ht="15.75">
      <c r="A8" s="19"/>
      <c r="B8" s="25"/>
      <c r="C8" s="20"/>
      <c r="D8" s="25" t="s">
        <v>31</v>
      </c>
      <c r="E8" s="25" t="s">
        <v>32</v>
      </c>
      <c r="F8" s="25" t="s">
        <v>31</v>
      </c>
      <c r="G8" s="26"/>
      <c r="H8" s="60" t="s">
        <v>33</v>
      </c>
      <c r="I8" s="61" t="s">
        <v>34</v>
      </c>
      <c r="K8" s="132" t="s">
        <v>57</v>
      </c>
      <c r="M8" s="36" t="s">
        <v>73</v>
      </c>
      <c r="N8" s="36"/>
      <c r="O8" s="36" t="s">
        <v>69</v>
      </c>
    </row>
    <row r="9" spans="1:15" s="74" customFormat="1" ht="15.75">
      <c r="A9" s="68" t="s">
        <v>35</v>
      </c>
      <c r="B9" s="70"/>
      <c r="C9" s="69"/>
      <c r="D9" s="70" t="s">
        <v>36</v>
      </c>
      <c r="E9" s="70" t="s">
        <v>37</v>
      </c>
      <c r="F9" s="70" t="s">
        <v>38</v>
      </c>
      <c r="G9" s="71"/>
      <c r="H9" s="70" t="s">
        <v>39</v>
      </c>
      <c r="I9" s="70" t="s">
        <v>40</v>
      </c>
      <c r="J9" s="72"/>
      <c r="K9" s="133" t="s">
        <v>58</v>
      </c>
      <c r="L9" s="73"/>
      <c r="M9" s="67" t="s">
        <v>74</v>
      </c>
      <c r="N9" s="67" t="s">
        <v>75</v>
      </c>
      <c r="O9" s="67" t="s">
        <v>76</v>
      </c>
    </row>
    <row r="10" spans="1:9" ht="15">
      <c r="A10" s="16"/>
      <c r="B10" s="26"/>
      <c r="C10" s="13"/>
      <c r="D10" s="13"/>
      <c r="E10" s="13"/>
      <c r="F10" s="26"/>
      <c r="G10" s="13"/>
      <c r="H10" s="13"/>
      <c r="I10" s="59"/>
    </row>
    <row r="11" spans="1:15" ht="15">
      <c r="A11" s="16" t="s">
        <v>42</v>
      </c>
      <c r="B11" s="26"/>
      <c r="C11" s="13"/>
      <c r="D11" s="27">
        <f>+'2016 Residential'!B18</f>
        <v>9</v>
      </c>
      <c r="E11" s="92">
        <v>20</v>
      </c>
      <c r="F11" s="26">
        <v>52</v>
      </c>
      <c r="G11" s="13"/>
      <c r="H11" s="21">
        <f aca="true" t="shared" si="0" ref="H11:H24">IF(D11=0,"",D11*E11*F11)</f>
        <v>9360</v>
      </c>
      <c r="I11" s="62">
        <f>ROUND(($H$5*H11)/D11/$I$1,2)</f>
        <v>0.56</v>
      </c>
      <c r="K11" s="131">
        <f aca="true" t="shared" si="1" ref="K11:K24">D11*I11*$I$1</f>
        <v>60.48000000000001</v>
      </c>
      <c r="M11" s="37">
        <v>0.52</v>
      </c>
      <c r="N11" s="38">
        <f aca="true" t="shared" si="2" ref="N11:N24">+I11-M11</f>
        <v>0.040000000000000036</v>
      </c>
      <c r="O11" s="40">
        <f aca="true" t="shared" si="3" ref="O11:O16">+N11/M11</f>
        <v>0.07692307692307698</v>
      </c>
    </row>
    <row r="12" spans="1:15" ht="15">
      <c r="A12" s="16" t="s">
        <v>43</v>
      </c>
      <c r="B12" s="26"/>
      <c r="C12" s="13"/>
      <c r="D12" s="27">
        <f>+'2016 Residential'!B12</f>
        <v>13</v>
      </c>
      <c r="E12" s="92">
        <v>34</v>
      </c>
      <c r="F12" s="26">
        <v>12</v>
      </c>
      <c r="G12" s="13"/>
      <c r="H12" s="21">
        <f t="shared" si="0"/>
        <v>5304</v>
      </c>
      <c r="I12" s="62">
        <f aca="true" t="shared" si="4" ref="I12:I24">ROUND(($H$5*H12)/D12/$I$1,2)</f>
        <v>0.22</v>
      </c>
      <c r="K12" s="131">
        <f t="shared" si="1"/>
        <v>34.32</v>
      </c>
      <c r="M12" s="37">
        <v>0.2</v>
      </c>
      <c r="N12" s="38">
        <f t="shared" si="2"/>
        <v>0.01999999999999999</v>
      </c>
      <c r="O12" s="40">
        <f t="shared" si="3"/>
        <v>0.09999999999999995</v>
      </c>
    </row>
    <row r="13" spans="1:15" ht="15">
      <c r="A13" s="16" t="s">
        <v>44</v>
      </c>
      <c r="B13" s="26"/>
      <c r="C13" s="13"/>
      <c r="D13" s="27">
        <f>+'2016 Residential'!B11</f>
        <v>262</v>
      </c>
      <c r="E13" s="92">
        <f>+E12</f>
        <v>34</v>
      </c>
      <c r="F13" s="26">
        <v>52</v>
      </c>
      <c r="G13" s="13"/>
      <c r="H13" s="21">
        <f t="shared" si="0"/>
        <v>463216</v>
      </c>
      <c r="I13" s="62">
        <f t="shared" si="4"/>
        <v>0.95</v>
      </c>
      <c r="K13" s="131">
        <f t="shared" si="1"/>
        <v>2986.7999999999997</v>
      </c>
      <c r="M13" s="37">
        <v>0.88</v>
      </c>
      <c r="N13" s="38">
        <f t="shared" si="2"/>
        <v>0.06999999999999995</v>
      </c>
      <c r="O13" s="40">
        <f t="shared" si="3"/>
        <v>0.07954545454545449</v>
      </c>
    </row>
    <row r="14" spans="1:15" ht="15">
      <c r="A14" s="16" t="s">
        <v>45</v>
      </c>
      <c r="B14" s="26"/>
      <c r="C14" s="13"/>
      <c r="D14" s="27">
        <f>+'2016 Residential'!B13</f>
        <v>91</v>
      </c>
      <c r="E14" s="92">
        <v>51</v>
      </c>
      <c r="F14" s="26">
        <v>52</v>
      </c>
      <c r="G14" s="13"/>
      <c r="H14" s="21">
        <f t="shared" si="0"/>
        <v>241332</v>
      </c>
      <c r="I14" s="62">
        <f t="shared" si="4"/>
        <v>1.43</v>
      </c>
      <c r="K14" s="131">
        <f t="shared" si="1"/>
        <v>1561.56</v>
      </c>
      <c r="M14" s="37">
        <v>1.32</v>
      </c>
      <c r="N14" s="38">
        <f t="shared" si="2"/>
        <v>0.10999999999999988</v>
      </c>
      <c r="O14" s="40">
        <f t="shared" si="3"/>
        <v>0.08333333333333323</v>
      </c>
    </row>
    <row r="15" spans="1:15" ht="15">
      <c r="A15" s="16" t="s">
        <v>46</v>
      </c>
      <c r="B15" s="26"/>
      <c r="C15" s="13"/>
      <c r="D15" s="27">
        <f>+'2016 Residential'!B14</f>
        <v>1</v>
      </c>
      <c r="E15" s="92">
        <v>77</v>
      </c>
      <c r="F15" s="26">
        <v>52</v>
      </c>
      <c r="G15" s="13"/>
      <c r="H15" s="21">
        <f t="shared" si="0"/>
        <v>4004</v>
      </c>
      <c r="I15" s="62">
        <f t="shared" si="4"/>
        <v>2.15</v>
      </c>
      <c r="K15" s="131">
        <f t="shared" si="1"/>
        <v>25.799999999999997</v>
      </c>
      <c r="M15" s="37">
        <v>1.99</v>
      </c>
      <c r="N15" s="38">
        <f t="shared" si="2"/>
        <v>0.15999999999999992</v>
      </c>
      <c r="O15" s="40">
        <f t="shared" si="3"/>
        <v>0.08040201005025122</v>
      </c>
    </row>
    <row r="16" spans="1:15" ht="15">
      <c r="A16" s="16" t="s">
        <v>98</v>
      </c>
      <c r="B16" s="26"/>
      <c r="C16" s="13"/>
      <c r="D16" s="27">
        <v>0.0001</v>
      </c>
      <c r="E16" s="92">
        <f>+E15+20</f>
        <v>97</v>
      </c>
      <c r="F16" s="26">
        <v>52</v>
      </c>
      <c r="G16" s="13"/>
      <c r="H16" s="21">
        <f t="shared" si="0"/>
        <v>0.5044</v>
      </c>
      <c r="I16" s="62">
        <f t="shared" si="4"/>
        <v>2.71</v>
      </c>
      <c r="K16" s="131">
        <f t="shared" si="1"/>
        <v>0.0032520000000000005</v>
      </c>
      <c r="M16" s="37">
        <v>2.5</v>
      </c>
      <c r="N16" s="38">
        <f>+I16-M16</f>
        <v>0.20999999999999996</v>
      </c>
      <c r="O16" s="40">
        <f t="shared" si="3"/>
        <v>0.08399999999999999</v>
      </c>
    </row>
    <row r="17" spans="1:15" ht="15">
      <c r="A17" s="16" t="s">
        <v>47</v>
      </c>
      <c r="B17" s="26"/>
      <c r="C17" s="13"/>
      <c r="D17" s="35">
        <f>+'2016 Residential'!B20</f>
        <v>1030</v>
      </c>
      <c r="E17" s="92">
        <f>+E13</f>
        <v>34</v>
      </c>
      <c r="F17" s="26">
        <v>52</v>
      </c>
      <c r="G17" s="13"/>
      <c r="H17" s="21">
        <f t="shared" si="0"/>
        <v>1821040</v>
      </c>
      <c r="I17" s="62">
        <f t="shared" si="4"/>
        <v>0.95</v>
      </c>
      <c r="K17" s="131">
        <f t="shared" si="1"/>
        <v>11742</v>
      </c>
      <c r="M17" s="37">
        <v>0.88</v>
      </c>
      <c r="N17" s="38">
        <f t="shared" si="2"/>
        <v>0.06999999999999995</v>
      </c>
      <c r="O17" s="40">
        <f aca="true" t="shared" si="5" ref="O17:O24">+N17/M17</f>
        <v>0.07954545454545449</v>
      </c>
    </row>
    <row r="18" spans="1:15" ht="15">
      <c r="A18" s="16" t="s">
        <v>71</v>
      </c>
      <c r="B18" s="26"/>
      <c r="C18" s="13"/>
      <c r="D18" s="35">
        <f>+'2016 Residential'!B21</f>
        <v>2</v>
      </c>
      <c r="E18" s="92">
        <f>+E17*2</f>
        <v>68</v>
      </c>
      <c r="F18" s="26">
        <v>52</v>
      </c>
      <c r="G18" s="13"/>
      <c r="H18" s="21">
        <f t="shared" si="0"/>
        <v>7072</v>
      </c>
      <c r="I18" s="62">
        <f>+I17*2</f>
        <v>1.9</v>
      </c>
      <c r="K18" s="131">
        <f t="shared" si="1"/>
        <v>45.599999999999994</v>
      </c>
      <c r="M18" s="37">
        <f>+M17*2</f>
        <v>1.76</v>
      </c>
      <c r="N18" s="38">
        <f t="shared" si="2"/>
        <v>0.1399999999999999</v>
      </c>
      <c r="O18" s="40">
        <f t="shared" si="5"/>
        <v>0.07954545454545449</v>
      </c>
    </row>
    <row r="19" spans="1:15" ht="15">
      <c r="A19" s="16" t="s">
        <v>48</v>
      </c>
      <c r="B19" s="26"/>
      <c r="C19" s="13"/>
      <c r="D19" s="35">
        <f>+'2016 Residential'!B22</f>
        <v>1772</v>
      </c>
      <c r="E19" s="92">
        <f>+E14</f>
        <v>51</v>
      </c>
      <c r="F19" s="26">
        <v>52</v>
      </c>
      <c r="G19" s="13"/>
      <c r="H19" s="21">
        <f t="shared" si="0"/>
        <v>4699344</v>
      </c>
      <c r="I19" s="62">
        <f t="shared" si="4"/>
        <v>1.43</v>
      </c>
      <c r="K19" s="131">
        <f t="shared" si="1"/>
        <v>30407.52</v>
      </c>
      <c r="M19" s="37">
        <v>1.32</v>
      </c>
      <c r="N19" s="38">
        <f t="shared" si="2"/>
        <v>0.10999999999999988</v>
      </c>
      <c r="O19" s="40">
        <f t="shared" si="5"/>
        <v>0.08333333333333323</v>
      </c>
    </row>
    <row r="20" spans="1:15" ht="15">
      <c r="A20" s="16" t="s">
        <v>59</v>
      </c>
      <c r="B20" s="26"/>
      <c r="C20" s="13"/>
      <c r="D20" s="35">
        <f>+'2016 Residential'!B23</f>
        <v>4</v>
      </c>
      <c r="E20" s="92">
        <f>+E19*2</f>
        <v>102</v>
      </c>
      <c r="F20" s="26">
        <v>52</v>
      </c>
      <c r="G20" s="13"/>
      <c r="H20" s="21">
        <f t="shared" si="0"/>
        <v>21216</v>
      </c>
      <c r="I20" s="62">
        <f>+I19*2</f>
        <v>2.86</v>
      </c>
      <c r="K20" s="131">
        <f t="shared" si="1"/>
        <v>137.28</v>
      </c>
      <c r="M20" s="37">
        <f>+M19*2</f>
        <v>2.64</v>
      </c>
      <c r="N20" s="38">
        <f t="shared" si="2"/>
        <v>0.21999999999999975</v>
      </c>
      <c r="O20" s="40">
        <f t="shared" si="5"/>
        <v>0.08333333333333323</v>
      </c>
    </row>
    <row r="21" spans="1:15" ht="15">
      <c r="A21" s="16" t="s">
        <v>99</v>
      </c>
      <c r="B21" s="26"/>
      <c r="C21" s="13"/>
      <c r="D21" s="35">
        <v>1E-05</v>
      </c>
      <c r="E21" s="92">
        <f>+E19*3</f>
        <v>153</v>
      </c>
      <c r="F21" s="26">
        <v>52</v>
      </c>
      <c r="G21" s="13"/>
      <c r="H21" s="21">
        <f t="shared" si="0"/>
        <v>0.07956</v>
      </c>
      <c r="I21" s="62">
        <f>+I19*3</f>
        <v>4.29</v>
      </c>
      <c r="K21" s="131">
        <f t="shared" si="1"/>
        <v>0.0005148</v>
      </c>
      <c r="M21" s="37">
        <f>+M19*3</f>
        <v>3.96</v>
      </c>
      <c r="N21" s="38">
        <f>+I21-M21</f>
        <v>0.33000000000000007</v>
      </c>
      <c r="O21" s="40">
        <f>+N21/M21</f>
        <v>0.08333333333333336</v>
      </c>
    </row>
    <row r="22" spans="1:15" ht="15">
      <c r="A22" s="16" t="s">
        <v>49</v>
      </c>
      <c r="B22" s="26"/>
      <c r="C22" s="13"/>
      <c r="D22" s="35">
        <f>+'2016 Residential'!B24</f>
        <v>2412</v>
      </c>
      <c r="E22" s="92">
        <f>+E15</f>
        <v>77</v>
      </c>
      <c r="F22" s="26">
        <v>52</v>
      </c>
      <c r="G22" s="13"/>
      <c r="H22" s="21">
        <f t="shared" si="0"/>
        <v>9657648</v>
      </c>
      <c r="I22" s="62">
        <f t="shared" si="4"/>
        <v>2.15</v>
      </c>
      <c r="K22" s="131">
        <f t="shared" si="1"/>
        <v>62229.600000000006</v>
      </c>
      <c r="M22" s="37">
        <v>1.99</v>
      </c>
      <c r="N22" s="38">
        <f t="shared" si="2"/>
        <v>0.15999999999999992</v>
      </c>
      <c r="O22" s="40">
        <f t="shared" si="5"/>
        <v>0.08040201005025122</v>
      </c>
    </row>
    <row r="23" spans="1:15" ht="15">
      <c r="A23" s="16" t="s">
        <v>60</v>
      </c>
      <c r="B23" s="26"/>
      <c r="C23" s="13"/>
      <c r="D23" s="35">
        <f>+'2016 Residential'!B25</f>
        <v>59</v>
      </c>
      <c r="E23" s="92">
        <f>+E22*2</f>
        <v>154</v>
      </c>
      <c r="F23" s="26">
        <v>52</v>
      </c>
      <c r="G23" s="13"/>
      <c r="H23" s="21">
        <f t="shared" si="0"/>
        <v>472472</v>
      </c>
      <c r="I23" s="62">
        <f>+I22*2</f>
        <v>4.3</v>
      </c>
      <c r="K23" s="131">
        <f t="shared" si="1"/>
        <v>3044.3999999999996</v>
      </c>
      <c r="M23" s="37">
        <f>+M22*2</f>
        <v>3.98</v>
      </c>
      <c r="N23" s="38">
        <f t="shared" si="2"/>
        <v>0.31999999999999984</v>
      </c>
      <c r="O23" s="40">
        <f t="shared" si="5"/>
        <v>0.08040201005025122</v>
      </c>
    </row>
    <row r="24" spans="1:15" s="39" customFormat="1" ht="15">
      <c r="A24" s="39" t="s">
        <v>61</v>
      </c>
      <c r="B24" s="129"/>
      <c r="C24" s="75"/>
      <c r="D24" s="126">
        <f>+'2016 Residential'!B26</f>
        <v>2</v>
      </c>
      <c r="E24" s="93">
        <f>+E22*3</f>
        <v>231</v>
      </c>
      <c r="F24" s="99">
        <v>52</v>
      </c>
      <c r="G24" s="75"/>
      <c r="H24" s="84">
        <f t="shared" si="0"/>
        <v>24024</v>
      </c>
      <c r="I24" s="62">
        <f>+I22*3</f>
        <v>6.449999999999999</v>
      </c>
      <c r="J24" s="65"/>
      <c r="K24" s="134">
        <f t="shared" si="1"/>
        <v>154.79999999999998</v>
      </c>
      <c r="L24" s="66"/>
      <c r="M24" s="77">
        <f>+M22*3</f>
        <v>5.97</v>
      </c>
      <c r="N24" s="78">
        <f t="shared" si="2"/>
        <v>0.47999999999999954</v>
      </c>
      <c r="O24" s="79">
        <f t="shared" si="5"/>
        <v>0.08040201005025119</v>
      </c>
    </row>
    <row r="25" spans="1:15" s="39" customFormat="1" ht="15.75">
      <c r="A25" s="80"/>
      <c r="B25" s="99"/>
      <c r="C25" s="75"/>
      <c r="D25" s="76"/>
      <c r="E25" s="93"/>
      <c r="F25" s="99"/>
      <c r="G25" s="75"/>
      <c r="H25" s="81"/>
      <c r="I25" s="82"/>
      <c r="J25" s="82"/>
      <c r="K25" s="135"/>
      <c r="L25" s="83"/>
      <c r="M25" s="83"/>
      <c r="N25" s="78"/>
      <c r="O25" s="79"/>
    </row>
    <row r="26" spans="1:15" s="39" customFormat="1" ht="15.75">
      <c r="A26" s="63" t="s">
        <v>24</v>
      </c>
      <c r="B26" s="130"/>
      <c r="C26" s="64"/>
      <c r="D26" s="88">
        <f>SUM(D11:D24)</f>
        <v>5657.000110000001</v>
      </c>
      <c r="E26" s="94"/>
      <c r="F26" s="100"/>
      <c r="G26" s="88"/>
      <c r="H26" s="88">
        <f>SUM(H11:H24)</f>
        <v>17426032.58396</v>
      </c>
      <c r="I26" s="89"/>
      <c r="J26" s="72"/>
      <c r="K26" s="136">
        <f>SUM(K11:K24)</f>
        <v>112430.1637668</v>
      </c>
      <c r="L26" s="66"/>
      <c r="M26" s="77"/>
      <c r="N26" s="78"/>
      <c r="O26" s="79"/>
    </row>
    <row r="27" spans="1:15" s="39" customFormat="1" ht="15">
      <c r="A27" s="80"/>
      <c r="B27" s="99"/>
      <c r="C27" s="75"/>
      <c r="D27" s="76"/>
      <c r="E27" s="93"/>
      <c r="F27" s="99"/>
      <c r="G27" s="75"/>
      <c r="I27" s="82"/>
      <c r="J27" s="65"/>
      <c r="K27" s="137"/>
      <c r="L27" s="66"/>
      <c r="M27" s="77"/>
      <c r="N27" s="78"/>
      <c r="O27" s="79"/>
    </row>
    <row r="28" spans="1:15" ht="15">
      <c r="A28" s="16"/>
      <c r="B28" s="26"/>
      <c r="C28" s="13"/>
      <c r="D28" s="21"/>
      <c r="E28" s="92"/>
      <c r="F28" s="26"/>
      <c r="G28" s="13"/>
      <c r="H28" s="21"/>
      <c r="I28" s="22"/>
      <c r="M28" s="37"/>
      <c r="N28" s="38"/>
      <c r="O28" s="40"/>
    </row>
    <row r="29" spans="1:19" ht="15">
      <c r="A29" s="39" t="str">
        <f>+'2016 Commercial'!A10</f>
        <v>1 yard container</v>
      </c>
      <c r="B29" s="129" t="s">
        <v>100</v>
      </c>
      <c r="C29" s="13">
        <v>1</v>
      </c>
      <c r="D29" s="27">
        <f>+'2016 Commercial'!B10</f>
        <v>12</v>
      </c>
      <c r="E29" s="92">
        <v>175</v>
      </c>
      <c r="F29" s="26">
        <f>+'2016 Commercial'!C10</f>
        <v>26</v>
      </c>
      <c r="G29" s="13"/>
      <c r="H29" s="21">
        <f>IF(D29=0,"",D29*E29*F29*C29)</f>
        <v>54600</v>
      </c>
      <c r="I29" s="37">
        <f>ROUND(($H$5*H29)/D29/F29,2)</f>
        <v>1.13</v>
      </c>
      <c r="K29" s="131">
        <f>D29*F29*I29</f>
        <v>352.55999999999995</v>
      </c>
      <c r="M29" s="37">
        <v>1.04</v>
      </c>
      <c r="N29" s="38">
        <f aca="true" t="shared" si="6" ref="N29:N40">+I29-M29</f>
        <v>0.08999999999999986</v>
      </c>
      <c r="O29" s="40">
        <f aca="true" t="shared" si="7" ref="O29:O40">+N29/M29</f>
        <v>0.0865384615384614</v>
      </c>
      <c r="S29" s="145"/>
    </row>
    <row r="30" spans="1:19" ht="15">
      <c r="A30" s="39" t="str">
        <f>+'2016 Commercial'!A11</f>
        <v>1 yard container</v>
      </c>
      <c r="B30" s="129" t="s">
        <v>101</v>
      </c>
      <c r="C30" s="13">
        <v>1</v>
      </c>
      <c r="D30" s="27">
        <f>+'2016 Commercial'!B11</f>
        <v>35</v>
      </c>
      <c r="E30" s="92">
        <v>175</v>
      </c>
      <c r="F30" s="26">
        <f>+'2016 Commercial'!C11</f>
        <v>52</v>
      </c>
      <c r="G30" s="13"/>
      <c r="H30" s="21">
        <f aca="true" t="shared" si="8" ref="H30:H63">IF(D30=0,"",D30*E30*F30*C30)</f>
        <v>318500</v>
      </c>
      <c r="I30" s="37">
        <f aca="true" t="shared" si="9" ref="I30:I63">ROUND(($H$5*H30)/D30/F30,2)</f>
        <v>1.13</v>
      </c>
      <c r="K30" s="131">
        <f aca="true" t="shared" si="10" ref="K30:K58">D30*F30*I30</f>
        <v>2056.6</v>
      </c>
      <c r="M30" s="37">
        <v>1.04</v>
      </c>
      <c r="N30" s="38">
        <f t="shared" si="6"/>
        <v>0.08999999999999986</v>
      </c>
      <c r="O30" s="40">
        <f t="shared" si="7"/>
        <v>0.0865384615384614</v>
      </c>
      <c r="S30" s="145"/>
    </row>
    <row r="31" spans="1:19" ht="15">
      <c r="A31" s="39" t="str">
        <f>+'2016 Commercial'!A12</f>
        <v>1.5 yard container</v>
      </c>
      <c r="B31" s="129" t="s">
        <v>100</v>
      </c>
      <c r="C31" s="13">
        <v>1</v>
      </c>
      <c r="D31" s="27">
        <f>+'2016 Commercial'!B12</f>
        <v>11</v>
      </c>
      <c r="E31" s="92">
        <v>250</v>
      </c>
      <c r="F31" s="26">
        <f>+'2016 Commercial'!C12</f>
        <v>26</v>
      </c>
      <c r="G31" s="13"/>
      <c r="H31" s="21">
        <f t="shared" si="8"/>
        <v>71500</v>
      </c>
      <c r="I31" s="37">
        <f t="shared" si="9"/>
        <v>1.61</v>
      </c>
      <c r="K31" s="131">
        <f t="shared" si="10"/>
        <v>460.46000000000004</v>
      </c>
      <c r="M31" s="37">
        <v>1.49</v>
      </c>
      <c r="N31" s="38">
        <f t="shared" si="6"/>
        <v>0.1200000000000001</v>
      </c>
      <c r="O31" s="40">
        <f t="shared" si="7"/>
        <v>0.08053691275167793</v>
      </c>
      <c r="S31" s="145"/>
    </row>
    <row r="32" spans="1:19" ht="15">
      <c r="A32" s="39" t="str">
        <f>+'2016 Commercial'!A13</f>
        <v>1.5 yard container</v>
      </c>
      <c r="B32" s="129" t="s">
        <v>101</v>
      </c>
      <c r="C32" s="13">
        <v>1</v>
      </c>
      <c r="D32" s="27">
        <f>+'2016 Commercial'!B13</f>
        <v>46</v>
      </c>
      <c r="E32" s="92">
        <f>+E31</f>
        <v>250</v>
      </c>
      <c r="F32" s="26">
        <f>+'2016 Commercial'!C13</f>
        <v>52</v>
      </c>
      <c r="G32" s="13"/>
      <c r="H32" s="21">
        <f t="shared" si="8"/>
        <v>598000</v>
      </c>
      <c r="I32" s="37">
        <f t="shared" si="9"/>
        <v>1.61</v>
      </c>
      <c r="K32" s="131">
        <f t="shared" si="10"/>
        <v>3851.1200000000003</v>
      </c>
      <c r="M32" s="37">
        <v>1.49</v>
      </c>
      <c r="N32" s="38">
        <f t="shared" si="6"/>
        <v>0.1200000000000001</v>
      </c>
      <c r="O32" s="40">
        <f t="shared" si="7"/>
        <v>0.08053691275167793</v>
      </c>
      <c r="S32" s="145"/>
    </row>
    <row r="33" spans="1:19" ht="15">
      <c r="A33" s="39" t="str">
        <f>+'2016 Commercial'!A14</f>
        <v>2 - 1.5 yard container</v>
      </c>
      <c r="B33" s="129" t="s">
        <v>101</v>
      </c>
      <c r="C33" s="13">
        <v>2</v>
      </c>
      <c r="D33" s="27">
        <f>+'2016 Commercial'!B14</f>
        <v>1</v>
      </c>
      <c r="E33" s="92">
        <f>+E32</f>
        <v>250</v>
      </c>
      <c r="F33" s="26">
        <f>+'2016 Commercial'!C14</f>
        <v>52</v>
      </c>
      <c r="G33" s="13"/>
      <c r="H33" s="21">
        <f t="shared" si="8"/>
        <v>26000</v>
      </c>
      <c r="I33" s="37">
        <f t="shared" si="9"/>
        <v>3.23</v>
      </c>
      <c r="K33" s="131">
        <f t="shared" si="10"/>
        <v>167.96</v>
      </c>
      <c r="M33" s="37">
        <v>2.98</v>
      </c>
      <c r="N33" s="38">
        <f t="shared" si="6"/>
        <v>0.25</v>
      </c>
      <c r="O33" s="40">
        <f t="shared" si="7"/>
        <v>0.08389261744966443</v>
      </c>
      <c r="S33" s="145"/>
    </row>
    <row r="34" spans="1:19" ht="15">
      <c r="A34" s="39" t="str">
        <f>+'2016 Commercial'!A15</f>
        <v>2 yard container</v>
      </c>
      <c r="B34" s="129" t="s">
        <v>100</v>
      </c>
      <c r="C34" s="13">
        <v>1</v>
      </c>
      <c r="D34" s="27">
        <f>+'2016 Commercial'!B15</f>
        <v>32</v>
      </c>
      <c r="E34" s="92">
        <v>324</v>
      </c>
      <c r="F34" s="26">
        <f>+'2016 Commercial'!C15</f>
        <v>26</v>
      </c>
      <c r="G34" s="13"/>
      <c r="H34" s="21">
        <f t="shared" si="8"/>
        <v>269568</v>
      </c>
      <c r="I34" s="37">
        <f t="shared" si="9"/>
        <v>2.09</v>
      </c>
      <c r="K34" s="131">
        <f t="shared" si="10"/>
        <v>1738.8799999999999</v>
      </c>
      <c r="M34" s="37">
        <v>1.93</v>
      </c>
      <c r="N34" s="38">
        <f t="shared" si="6"/>
        <v>0.15999999999999992</v>
      </c>
      <c r="O34" s="40">
        <f t="shared" si="7"/>
        <v>0.08290155440414504</v>
      </c>
      <c r="S34" s="145"/>
    </row>
    <row r="35" spans="1:19" ht="15">
      <c r="A35" s="39" t="str">
        <f>+'2016 Commercial'!A16</f>
        <v>2 yard container</v>
      </c>
      <c r="B35" s="129" t="s">
        <v>101</v>
      </c>
      <c r="C35" s="13">
        <v>1</v>
      </c>
      <c r="D35" s="27">
        <f>+'2016 Commercial'!B16</f>
        <v>41</v>
      </c>
      <c r="E35" s="92">
        <f>+E34</f>
        <v>324</v>
      </c>
      <c r="F35" s="26">
        <f>+'2016 Commercial'!C16</f>
        <v>52</v>
      </c>
      <c r="G35" s="13"/>
      <c r="H35" s="21">
        <f t="shared" si="8"/>
        <v>690768</v>
      </c>
      <c r="I35" s="37">
        <f t="shared" si="9"/>
        <v>2.09</v>
      </c>
      <c r="K35" s="131">
        <f t="shared" si="10"/>
        <v>4455.88</v>
      </c>
      <c r="M35" s="37">
        <v>1.93</v>
      </c>
      <c r="N35" s="38">
        <f t="shared" si="6"/>
        <v>0.15999999999999992</v>
      </c>
      <c r="O35" s="40">
        <f t="shared" si="7"/>
        <v>0.08290155440414504</v>
      </c>
      <c r="S35" s="145"/>
    </row>
    <row r="36" spans="1:19" ht="15">
      <c r="A36" s="39" t="str">
        <f>+'2016 Commercial'!A17</f>
        <v>4 - 2 yard container</v>
      </c>
      <c r="B36" s="129" t="s">
        <v>101</v>
      </c>
      <c r="C36" s="13">
        <v>4</v>
      </c>
      <c r="D36" s="27">
        <f>+'2016 Commercial'!B17</f>
        <v>1</v>
      </c>
      <c r="E36" s="92">
        <f>+E35</f>
        <v>324</v>
      </c>
      <c r="F36" s="26">
        <f>+'2016 Commercial'!C17</f>
        <v>52</v>
      </c>
      <c r="G36" s="13"/>
      <c r="H36" s="21">
        <f t="shared" si="8"/>
        <v>67392</v>
      </c>
      <c r="I36" s="37">
        <f t="shared" si="9"/>
        <v>8.36</v>
      </c>
      <c r="K36" s="131">
        <f t="shared" si="10"/>
        <v>434.71999999999997</v>
      </c>
      <c r="M36" s="37">
        <v>7.72</v>
      </c>
      <c r="N36" s="38">
        <f t="shared" si="6"/>
        <v>0.6399999999999997</v>
      </c>
      <c r="O36" s="40">
        <f t="shared" si="7"/>
        <v>0.08290155440414504</v>
      </c>
      <c r="S36" s="145"/>
    </row>
    <row r="37" spans="1:19" ht="15">
      <c r="A37" s="39" t="str">
        <f>+'2016 Commercial'!A18</f>
        <v>3 yard container</v>
      </c>
      <c r="B37" s="129" t="s">
        <v>100</v>
      </c>
      <c r="C37" s="13">
        <v>1</v>
      </c>
      <c r="D37" s="27">
        <f>+'2016 Commercial'!B18</f>
        <v>11</v>
      </c>
      <c r="E37" s="92">
        <v>473</v>
      </c>
      <c r="F37" s="26">
        <f>+'2016 Commercial'!C18</f>
        <v>26</v>
      </c>
      <c r="G37" s="13"/>
      <c r="H37" s="21">
        <f t="shared" si="8"/>
        <v>135278</v>
      </c>
      <c r="I37" s="37">
        <f t="shared" si="9"/>
        <v>3.05</v>
      </c>
      <c r="K37" s="131">
        <f t="shared" si="10"/>
        <v>872.3</v>
      </c>
      <c r="M37" s="37">
        <v>2.82</v>
      </c>
      <c r="N37" s="38">
        <f t="shared" si="6"/>
        <v>0.22999999999999998</v>
      </c>
      <c r="O37" s="40">
        <f t="shared" si="7"/>
        <v>0.08156028368794326</v>
      </c>
      <c r="S37" s="145"/>
    </row>
    <row r="38" spans="1:19" ht="15">
      <c r="A38" s="39" t="str">
        <f>+'2016 Commercial'!A19</f>
        <v>3 yard container</v>
      </c>
      <c r="B38" s="129" t="s">
        <v>101</v>
      </c>
      <c r="C38" s="13">
        <v>1</v>
      </c>
      <c r="D38" s="27">
        <f>+'2016 Commercial'!B19</f>
        <v>25</v>
      </c>
      <c r="E38" s="92">
        <f>+E37</f>
        <v>473</v>
      </c>
      <c r="F38" s="26">
        <f>+'2016 Commercial'!C19</f>
        <v>52</v>
      </c>
      <c r="G38" s="13"/>
      <c r="H38" s="21">
        <f t="shared" si="8"/>
        <v>614900</v>
      </c>
      <c r="I38" s="37">
        <f t="shared" si="9"/>
        <v>3.05</v>
      </c>
      <c r="K38" s="131">
        <f>D38*F38*I38</f>
        <v>3964.9999999999995</v>
      </c>
      <c r="M38" s="37">
        <v>2.82</v>
      </c>
      <c r="N38" s="38">
        <f t="shared" si="6"/>
        <v>0.22999999999999998</v>
      </c>
      <c r="O38" s="40">
        <f t="shared" si="7"/>
        <v>0.08156028368794326</v>
      </c>
      <c r="S38" s="145"/>
    </row>
    <row r="39" spans="1:19" ht="15">
      <c r="A39" s="39" t="str">
        <f>+'2016 Commercial'!A20</f>
        <v>2 - 3 yard container</v>
      </c>
      <c r="B39" s="129" t="s">
        <v>101</v>
      </c>
      <c r="C39" s="13">
        <v>2</v>
      </c>
      <c r="D39" s="27">
        <f>+'2016 Commercial'!B20</f>
        <v>1</v>
      </c>
      <c r="E39" s="92">
        <f>+E38</f>
        <v>473</v>
      </c>
      <c r="F39" s="26">
        <f>+'2016 Commercial'!C20</f>
        <v>52</v>
      </c>
      <c r="G39" s="13"/>
      <c r="H39" s="21">
        <f>IF(D39=0,"",D39*E39*F39*C39)</f>
        <v>49192</v>
      </c>
      <c r="I39" s="37">
        <f>+I38*2</f>
        <v>6.1</v>
      </c>
      <c r="K39" s="131">
        <f>D39*F39*I39</f>
        <v>317.2</v>
      </c>
      <c r="M39" s="37">
        <f>+M38*2</f>
        <v>5.64</v>
      </c>
      <c r="N39" s="38">
        <f>+I39-M39</f>
        <v>0.45999999999999996</v>
      </c>
      <c r="O39" s="40">
        <f>+N39/M39</f>
        <v>0.08156028368794326</v>
      </c>
      <c r="S39" s="145"/>
    </row>
    <row r="40" spans="1:19" ht="15">
      <c r="A40" s="39" t="str">
        <f>+'2016 Commercial'!A21</f>
        <v>4 yard container</v>
      </c>
      <c r="B40" s="129" t="s">
        <v>100</v>
      </c>
      <c r="C40" s="13">
        <v>1</v>
      </c>
      <c r="D40" s="27">
        <f>+'2016 Commercial'!B21</f>
        <v>13</v>
      </c>
      <c r="E40" s="92">
        <v>613</v>
      </c>
      <c r="F40" s="26">
        <f>+'2016 Commercial'!C21</f>
        <v>26</v>
      </c>
      <c r="G40" s="13"/>
      <c r="H40" s="21">
        <f t="shared" si="8"/>
        <v>207194</v>
      </c>
      <c r="I40" s="37">
        <f t="shared" si="9"/>
        <v>3.96</v>
      </c>
      <c r="K40" s="131">
        <f t="shared" si="10"/>
        <v>1338.48</v>
      </c>
      <c r="M40" s="37">
        <v>3.65</v>
      </c>
      <c r="N40" s="38">
        <f t="shared" si="6"/>
        <v>0.31000000000000005</v>
      </c>
      <c r="O40" s="40">
        <f t="shared" si="7"/>
        <v>0.08493150684931508</v>
      </c>
      <c r="S40" s="145"/>
    </row>
    <row r="41" spans="1:19" ht="15">
      <c r="A41" s="39" t="str">
        <f>+'2016 Commercial'!A22</f>
        <v>4 yard container</v>
      </c>
      <c r="B41" s="129" t="s">
        <v>101</v>
      </c>
      <c r="C41" s="13">
        <v>1</v>
      </c>
      <c r="D41" s="27">
        <f>+'2016 Commercial'!B22</f>
        <v>29</v>
      </c>
      <c r="E41" s="92">
        <v>613</v>
      </c>
      <c r="F41" s="26">
        <f>+'2016 Commercial'!C22</f>
        <v>52</v>
      </c>
      <c r="G41" s="13"/>
      <c r="H41" s="21">
        <f t="shared" si="8"/>
        <v>924404</v>
      </c>
      <c r="I41" s="37">
        <f t="shared" si="9"/>
        <v>3.96</v>
      </c>
      <c r="K41" s="131">
        <f t="shared" si="10"/>
        <v>5971.68</v>
      </c>
      <c r="M41" s="37">
        <v>3.65</v>
      </c>
      <c r="N41" s="38">
        <f aca="true" t="shared" si="11" ref="N41:N63">+I41-M41</f>
        <v>0.31000000000000005</v>
      </c>
      <c r="O41" s="40">
        <f aca="true" t="shared" si="12" ref="O41:O63">+N41/M41</f>
        <v>0.08493150684931508</v>
      </c>
      <c r="S41" s="145"/>
    </row>
    <row r="42" spans="1:19" ht="15">
      <c r="A42" s="39" t="str">
        <f>+'2016 Commercial'!A23</f>
        <v>4 yard container</v>
      </c>
      <c r="B42" s="129" t="s">
        <v>103</v>
      </c>
      <c r="C42" s="13">
        <v>1</v>
      </c>
      <c r="D42" s="27">
        <f>+'2016 Commercial'!B23</f>
        <v>1</v>
      </c>
      <c r="E42" s="92">
        <f>+E41</f>
        <v>613</v>
      </c>
      <c r="F42" s="26">
        <f>+'2016 Commercial'!C23</f>
        <v>104</v>
      </c>
      <c r="G42" s="13"/>
      <c r="H42" s="21">
        <f t="shared" si="8"/>
        <v>63752</v>
      </c>
      <c r="I42" s="37">
        <f>+I41*2</f>
        <v>7.92</v>
      </c>
      <c r="K42" s="131">
        <f t="shared" si="10"/>
        <v>823.68</v>
      </c>
      <c r="M42" s="37">
        <f>+M41*2</f>
        <v>7.3</v>
      </c>
      <c r="N42" s="38">
        <f t="shared" si="11"/>
        <v>0.6200000000000001</v>
      </c>
      <c r="O42" s="40">
        <f t="shared" si="12"/>
        <v>0.08493150684931508</v>
      </c>
      <c r="S42" s="145"/>
    </row>
    <row r="43" spans="1:19" ht="15">
      <c r="A43" s="39" t="str">
        <f>+'2016 Commercial'!A24</f>
        <v>2 - 4 yard container</v>
      </c>
      <c r="B43" s="129" t="s">
        <v>100</v>
      </c>
      <c r="C43" s="13">
        <v>2</v>
      </c>
      <c r="D43" s="27">
        <f>+'2016 Commercial'!B24</f>
        <v>1</v>
      </c>
      <c r="E43" s="92">
        <v>613</v>
      </c>
      <c r="F43" s="26">
        <f>+'2016 Commercial'!C24</f>
        <v>52</v>
      </c>
      <c r="G43" s="13"/>
      <c r="H43" s="21">
        <f t="shared" si="8"/>
        <v>63752</v>
      </c>
      <c r="I43" s="37">
        <f>+I42</f>
        <v>7.92</v>
      </c>
      <c r="K43" s="131">
        <f t="shared" si="10"/>
        <v>411.84</v>
      </c>
      <c r="M43" s="37">
        <f>+M42</f>
        <v>7.3</v>
      </c>
      <c r="N43" s="38">
        <f t="shared" si="11"/>
        <v>0.6200000000000001</v>
      </c>
      <c r="O43" s="40">
        <f t="shared" si="12"/>
        <v>0.08493150684931508</v>
      </c>
      <c r="S43" s="145"/>
    </row>
    <row r="44" spans="1:19" ht="15">
      <c r="A44" s="39" t="str">
        <f>+'2016 Commercial'!A25</f>
        <v>6 yard container</v>
      </c>
      <c r="B44" s="129" t="s">
        <v>101</v>
      </c>
      <c r="C44" s="13">
        <v>1</v>
      </c>
      <c r="D44" s="27">
        <f>+'2016 Commercial'!B25</f>
        <v>3</v>
      </c>
      <c r="E44" s="92">
        <v>840</v>
      </c>
      <c r="F44" s="26">
        <f>+'2016 Commercial'!C25</f>
        <v>26</v>
      </c>
      <c r="G44" s="13"/>
      <c r="H44" s="21">
        <f t="shared" si="8"/>
        <v>65520</v>
      </c>
      <c r="I44" s="37">
        <f t="shared" si="9"/>
        <v>5.42</v>
      </c>
      <c r="K44" s="131">
        <f t="shared" si="10"/>
        <v>422.76</v>
      </c>
      <c r="M44" s="37">
        <v>5</v>
      </c>
      <c r="N44" s="38">
        <f t="shared" si="11"/>
        <v>0.41999999999999993</v>
      </c>
      <c r="O44" s="40">
        <f t="shared" si="12"/>
        <v>0.08399999999999999</v>
      </c>
      <c r="S44" s="145"/>
    </row>
    <row r="45" spans="1:19" ht="15">
      <c r="A45" s="39" t="str">
        <f>+'2016 Commercial'!A26</f>
        <v>6 yard container</v>
      </c>
      <c r="B45" s="129" t="s">
        <v>101</v>
      </c>
      <c r="C45" s="13">
        <v>1</v>
      </c>
      <c r="D45" s="27">
        <f>+'2016 Commercial'!B26</f>
        <v>29</v>
      </c>
      <c r="E45" s="92">
        <f>+E44</f>
        <v>840</v>
      </c>
      <c r="F45" s="26">
        <f>+'2016 Commercial'!C26</f>
        <v>52</v>
      </c>
      <c r="G45" s="13"/>
      <c r="H45" s="21">
        <f t="shared" si="8"/>
        <v>1266720</v>
      </c>
      <c r="I45" s="37">
        <f t="shared" si="9"/>
        <v>5.42</v>
      </c>
      <c r="K45" s="131">
        <f t="shared" si="10"/>
        <v>8173.36</v>
      </c>
      <c r="M45" s="37">
        <v>5</v>
      </c>
      <c r="N45" s="38">
        <f t="shared" si="11"/>
        <v>0.41999999999999993</v>
      </c>
      <c r="O45" s="40">
        <f t="shared" si="12"/>
        <v>0.08399999999999999</v>
      </c>
      <c r="S45" s="145"/>
    </row>
    <row r="46" spans="1:19" ht="15">
      <c r="A46" s="39" t="str">
        <f>+'2016 Commercial'!A27</f>
        <v>2 - 6 yard container</v>
      </c>
      <c r="B46" s="129" t="s">
        <v>101</v>
      </c>
      <c r="C46" s="13">
        <v>2</v>
      </c>
      <c r="D46" s="27">
        <f>+'2016 Commercial'!B27</f>
        <v>2</v>
      </c>
      <c r="E46" s="92">
        <f>+E45</f>
        <v>840</v>
      </c>
      <c r="F46" s="26">
        <f>+'2016 Commercial'!C27</f>
        <v>52</v>
      </c>
      <c r="G46" s="13"/>
      <c r="H46" s="21">
        <f t="shared" si="8"/>
        <v>174720</v>
      </c>
      <c r="I46" s="37">
        <f t="shared" si="9"/>
        <v>10.84</v>
      </c>
      <c r="K46" s="131">
        <f t="shared" si="10"/>
        <v>1127.36</v>
      </c>
      <c r="M46" s="37">
        <v>10</v>
      </c>
      <c r="N46" s="38">
        <f t="shared" si="11"/>
        <v>0.8399999999999999</v>
      </c>
      <c r="O46" s="40">
        <f t="shared" si="12"/>
        <v>0.08399999999999999</v>
      </c>
      <c r="S46" s="145"/>
    </row>
    <row r="47" spans="1:19" ht="15">
      <c r="A47" s="39" t="str">
        <f>+'2016 Commercial'!A28</f>
        <v>2 - 6 yard container</v>
      </c>
      <c r="B47" s="129" t="s">
        <v>103</v>
      </c>
      <c r="C47" s="13">
        <v>2</v>
      </c>
      <c r="D47" s="27">
        <f>+'2016 Commercial'!B28</f>
        <v>1</v>
      </c>
      <c r="E47" s="92">
        <f>+E46</f>
        <v>840</v>
      </c>
      <c r="F47" s="26">
        <f>+'2016 Commercial'!C28</f>
        <v>104</v>
      </c>
      <c r="G47" s="13"/>
      <c r="H47" s="21">
        <f t="shared" si="8"/>
        <v>174720</v>
      </c>
      <c r="I47" s="37">
        <f t="shared" si="9"/>
        <v>10.84</v>
      </c>
      <c r="K47" s="131">
        <f t="shared" si="10"/>
        <v>1127.36</v>
      </c>
      <c r="M47" s="37">
        <v>10</v>
      </c>
      <c r="N47" s="38">
        <f t="shared" si="11"/>
        <v>0.8399999999999999</v>
      </c>
      <c r="O47" s="40">
        <f t="shared" si="12"/>
        <v>0.08399999999999999</v>
      </c>
      <c r="S47" s="145"/>
    </row>
    <row r="48" spans="1:19" ht="15">
      <c r="A48" s="39" t="str">
        <f>+'2016 Commercial'!A29</f>
        <v>4 - 6 yard container</v>
      </c>
      <c r="B48" s="129" t="s">
        <v>101</v>
      </c>
      <c r="C48" s="13">
        <v>4</v>
      </c>
      <c r="D48" s="27">
        <f>+'2016 Commercial'!B29</f>
        <v>1</v>
      </c>
      <c r="E48" s="92">
        <v>840</v>
      </c>
      <c r="F48" s="26">
        <f>+'2016 Commercial'!C29</f>
        <v>52</v>
      </c>
      <c r="G48" s="13"/>
      <c r="H48" s="21">
        <f t="shared" si="8"/>
        <v>174720</v>
      </c>
      <c r="I48" s="37">
        <f t="shared" si="9"/>
        <v>21.68</v>
      </c>
      <c r="K48" s="131">
        <f t="shared" si="10"/>
        <v>1127.36</v>
      </c>
      <c r="M48" s="37">
        <v>20</v>
      </c>
      <c r="N48" s="38">
        <f t="shared" si="11"/>
        <v>1.6799999999999997</v>
      </c>
      <c r="O48" s="40">
        <f t="shared" si="12"/>
        <v>0.08399999999999999</v>
      </c>
      <c r="S48" s="145"/>
    </row>
    <row r="49" spans="1:19" ht="15">
      <c r="A49" s="39" t="str">
        <f>+'2016 Commercial'!A30</f>
        <v>8 yard container</v>
      </c>
      <c r="B49" s="129" t="s">
        <v>100</v>
      </c>
      <c r="C49" s="13">
        <v>1</v>
      </c>
      <c r="D49" s="27">
        <f>+'2016 Commercial'!B30</f>
        <v>4</v>
      </c>
      <c r="E49" s="92">
        <v>980</v>
      </c>
      <c r="F49" s="26">
        <f>+'2016 Commercial'!C30</f>
        <v>26</v>
      </c>
      <c r="G49" s="13"/>
      <c r="H49" s="21">
        <f t="shared" si="8"/>
        <v>101920</v>
      </c>
      <c r="I49" s="37">
        <f t="shared" si="9"/>
        <v>6.32</v>
      </c>
      <c r="K49" s="131">
        <f t="shared" si="10"/>
        <v>657.28</v>
      </c>
      <c r="M49" s="37">
        <v>5.84</v>
      </c>
      <c r="N49" s="38">
        <f t="shared" si="11"/>
        <v>0.4800000000000004</v>
      </c>
      <c r="O49" s="40">
        <f t="shared" si="12"/>
        <v>0.08219178082191789</v>
      </c>
      <c r="S49" s="145"/>
    </row>
    <row r="50" spans="1:19" ht="15">
      <c r="A50" s="39" t="str">
        <f>+'2016 Commercial'!A31</f>
        <v>8 yard container</v>
      </c>
      <c r="B50" s="129" t="s">
        <v>101</v>
      </c>
      <c r="C50" s="13">
        <v>1</v>
      </c>
      <c r="D50" s="27">
        <f>+'2016 Commercial'!B31</f>
        <v>19</v>
      </c>
      <c r="E50" s="92">
        <f>+E49</f>
        <v>980</v>
      </c>
      <c r="F50" s="26">
        <f>+'2016 Commercial'!C31</f>
        <v>52</v>
      </c>
      <c r="G50" s="13"/>
      <c r="H50" s="21">
        <f t="shared" si="8"/>
        <v>968240</v>
      </c>
      <c r="I50" s="37">
        <f t="shared" si="9"/>
        <v>6.32</v>
      </c>
      <c r="K50" s="131">
        <f>D50*F50*I50</f>
        <v>6244.16</v>
      </c>
      <c r="M50" s="37">
        <v>5.84</v>
      </c>
      <c r="N50" s="38">
        <f t="shared" si="11"/>
        <v>0.4800000000000004</v>
      </c>
      <c r="O50" s="40">
        <f t="shared" si="12"/>
        <v>0.08219178082191789</v>
      </c>
      <c r="S50" s="145"/>
    </row>
    <row r="51" spans="1:19" ht="15">
      <c r="A51" s="39" t="str">
        <f>+'2016 Commercial'!A32</f>
        <v>8 yard container</v>
      </c>
      <c r="B51" s="129" t="s">
        <v>103</v>
      </c>
      <c r="C51" s="13">
        <v>1</v>
      </c>
      <c r="D51" s="27">
        <f>+'2016 Commercial'!B32</f>
        <v>1</v>
      </c>
      <c r="E51" s="92">
        <f>+E50</f>
        <v>980</v>
      </c>
      <c r="F51" s="26">
        <f>+'2016 Commercial'!C32</f>
        <v>104</v>
      </c>
      <c r="G51" s="13"/>
      <c r="H51" s="21">
        <f t="shared" si="8"/>
        <v>101920</v>
      </c>
      <c r="I51" s="37">
        <f>+I50*2</f>
        <v>12.64</v>
      </c>
      <c r="K51" s="131">
        <f>D51*F51*I51</f>
        <v>1314.56</v>
      </c>
      <c r="M51" s="37">
        <f>+M50*2</f>
        <v>11.68</v>
      </c>
      <c r="N51" s="38">
        <f t="shared" si="11"/>
        <v>0.9600000000000009</v>
      </c>
      <c r="O51" s="40">
        <f t="shared" si="12"/>
        <v>0.08219178082191789</v>
      </c>
      <c r="S51" s="145"/>
    </row>
    <row r="52" spans="1:19" ht="15">
      <c r="A52" s="39" t="str">
        <f>+'2016 Commercial'!A33</f>
        <v>8 yard container</v>
      </c>
      <c r="B52" s="129" t="s">
        <v>113</v>
      </c>
      <c r="C52" s="13">
        <v>1</v>
      </c>
      <c r="D52" s="27">
        <f>+'2016 Commercial'!B33</f>
        <v>2</v>
      </c>
      <c r="E52" s="92">
        <f>+E51</f>
        <v>980</v>
      </c>
      <c r="F52" s="26">
        <f>+'2016 Commercial'!C33</f>
        <v>156</v>
      </c>
      <c r="G52" s="13"/>
      <c r="H52" s="21">
        <f t="shared" si="8"/>
        <v>305760</v>
      </c>
      <c r="I52" s="37">
        <f>+I50*3</f>
        <v>18.96</v>
      </c>
      <c r="K52" s="131">
        <f t="shared" si="10"/>
        <v>5915.52</v>
      </c>
      <c r="M52" s="37">
        <f>+M50*3</f>
        <v>17.52</v>
      </c>
      <c r="N52" s="38">
        <f t="shared" si="11"/>
        <v>1.4400000000000013</v>
      </c>
      <c r="O52" s="40">
        <f t="shared" si="12"/>
        <v>0.08219178082191789</v>
      </c>
      <c r="S52" s="145"/>
    </row>
    <row r="53" spans="1:19" ht="15">
      <c r="A53" s="39" t="str">
        <f>+'2016 Commercial'!A34</f>
        <v>2 - 8 yard container</v>
      </c>
      <c r="B53" s="129" t="s">
        <v>101</v>
      </c>
      <c r="C53" s="13">
        <v>2</v>
      </c>
      <c r="D53" s="27">
        <f>+'2016 Commercial'!B34</f>
        <v>3</v>
      </c>
      <c r="E53" s="92">
        <f>+E52</f>
        <v>980</v>
      </c>
      <c r="F53" s="26">
        <f>+'2016 Commercial'!C34</f>
        <v>52</v>
      </c>
      <c r="G53" s="13"/>
      <c r="H53" s="21">
        <f t="shared" si="8"/>
        <v>305760</v>
      </c>
      <c r="I53" s="37">
        <f>+I49*2</f>
        <v>12.64</v>
      </c>
      <c r="K53" s="131">
        <f t="shared" si="10"/>
        <v>1971.8400000000001</v>
      </c>
      <c r="M53" s="37">
        <f>+M50*2</f>
        <v>11.68</v>
      </c>
      <c r="N53" s="38">
        <f t="shared" si="11"/>
        <v>0.9600000000000009</v>
      </c>
      <c r="O53" s="40">
        <f t="shared" si="12"/>
        <v>0.08219178082191789</v>
      </c>
      <c r="S53" s="145"/>
    </row>
    <row r="54" spans="1:19" ht="15">
      <c r="A54" s="39" t="str">
        <f>+'2016 Commercial'!A35</f>
        <v>3 - 8 yard container</v>
      </c>
      <c r="B54" s="129" t="s">
        <v>101</v>
      </c>
      <c r="C54" s="13">
        <v>3</v>
      </c>
      <c r="D54" s="27">
        <f>+'2016 Commercial'!B35</f>
        <v>1</v>
      </c>
      <c r="E54" s="92">
        <v>980</v>
      </c>
      <c r="F54" s="26">
        <f>+'2016 Commercial'!C35</f>
        <v>52</v>
      </c>
      <c r="G54" s="13"/>
      <c r="H54" s="21">
        <f t="shared" si="8"/>
        <v>152880</v>
      </c>
      <c r="I54" s="37">
        <f>+I50*3</f>
        <v>18.96</v>
      </c>
      <c r="K54" s="131">
        <f t="shared" si="10"/>
        <v>985.9200000000001</v>
      </c>
      <c r="M54" s="37">
        <f>+M49*3</f>
        <v>17.52</v>
      </c>
      <c r="N54" s="38">
        <f t="shared" si="11"/>
        <v>1.4400000000000013</v>
      </c>
      <c r="O54" s="40">
        <f t="shared" si="12"/>
        <v>0.08219178082191789</v>
      </c>
      <c r="S54" s="145"/>
    </row>
    <row r="55" spans="1:19" ht="15">
      <c r="A55" s="39" t="str">
        <f>+'2016 Commercial'!A36</f>
        <v>1 can</v>
      </c>
      <c r="B55" s="129" t="s">
        <v>101</v>
      </c>
      <c r="C55" s="13">
        <v>1</v>
      </c>
      <c r="D55" s="27">
        <f>+'2016 Commercial'!B36</f>
        <v>1</v>
      </c>
      <c r="E55" s="92">
        <v>29</v>
      </c>
      <c r="F55" s="26">
        <f>+'2016 Commercial'!C36</f>
        <v>52</v>
      </c>
      <c r="G55" s="13"/>
      <c r="H55" s="21">
        <f t="shared" si="8"/>
        <v>1508</v>
      </c>
      <c r="I55" s="37">
        <f t="shared" si="9"/>
        <v>0.19</v>
      </c>
      <c r="K55" s="131">
        <f t="shared" si="10"/>
        <v>9.88</v>
      </c>
      <c r="M55" s="37">
        <v>0.17</v>
      </c>
      <c r="N55" s="38">
        <f t="shared" si="11"/>
        <v>0.01999999999999999</v>
      </c>
      <c r="O55" s="40">
        <f t="shared" si="12"/>
        <v>0.11764705882352934</v>
      </c>
      <c r="S55" s="145"/>
    </row>
    <row r="56" spans="1:19" ht="15">
      <c r="A56" s="39" t="str">
        <f>+'2016 Commercial'!A37</f>
        <v>35 gallon tote</v>
      </c>
      <c r="B56" s="129" t="s">
        <v>101</v>
      </c>
      <c r="C56" s="13">
        <v>1</v>
      </c>
      <c r="D56" s="27">
        <f>+'2016 Commercial'!B37</f>
        <v>2</v>
      </c>
      <c r="E56" s="92">
        <v>29</v>
      </c>
      <c r="F56" s="26">
        <f>+'2016 Commercial'!C37</f>
        <v>52</v>
      </c>
      <c r="G56" s="13"/>
      <c r="H56" s="21">
        <f t="shared" si="8"/>
        <v>3016</v>
      </c>
      <c r="I56" s="37">
        <f t="shared" si="9"/>
        <v>0.19</v>
      </c>
      <c r="K56" s="131">
        <f t="shared" si="10"/>
        <v>19.76</v>
      </c>
      <c r="M56" s="37">
        <v>0.17</v>
      </c>
      <c r="N56" s="38">
        <f t="shared" si="11"/>
        <v>0.01999999999999999</v>
      </c>
      <c r="O56" s="40">
        <f t="shared" si="12"/>
        <v>0.11764705882352934</v>
      </c>
      <c r="S56" s="145"/>
    </row>
    <row r="57" spans="1:19" ht="15">
      <c r="A57" s="39" t="str">
        <f>+'2016 Commercial'!A38</f>
        <v>64 gallon tote</v>
      </c>
      <c r="B57" s="129" t="s">
        <v>101</v>
      </c>
      <c r="C57" s="13">
        <v>1</v>
      </c>
      <c r="D57" s="27">
        <f>+'2016 Commercial'!B38</f>
        <v>4</v>
      </c>
      <c r="E57" s="92">
        <v>51</v>
      </c>
      <c r="F57" s="26">
        <f>+'2016 Commercial'!C38</f>
        <v>52</v>
      </c>
      <c r="G57" s="13"/>
      <c r="H57" s="21">
        <f t="shared" si="8"/>
        <v>10608</v>
      </c>
      <c r="I57" s="37">
        <f t="shared" si="9"/>
        <v>0.33</v>
      </c>
      <c r="K57" s="131">
        <f t="shared" si="10"/>
        <v>68.64</v>
      </c>
      <c r="M57" s="37">
        <v>0.3</v>
      </c>
      <c r="N57" s="38">
        <f t="shared" si="11"/>
        <v>0.030000000000000027</v>
      </c>
      <c r="O57" s="40">
        <f t="shared" si="12"/>
        <v>0.10000000000000009</v>
      </c>
      <c r="S57" s="145"/>
    </row>
    <row r="58" spans="1:19" ht="15">
      <c r="A58" s="39" t="str">
        <f>+'2016 Commercial'!A39</f>
        <v>90 gallon tote</v>
      </c>
      <c r="B58" s="129" t="s">
        <v>101</v>
      </c>
      <c r="C58" s="13">
        <v>1</v>
      </c>
      <c r="D58" s="27">
        <f>+'2016 Commercial'!B39</f>
        <v>36</v>
      </c>
      <c r="E58" s="92">
        <v>77</v>
      </c>
      <c r="F58" s="26">
        <f>+'2016 Commercial'!C39</f>
        <v>52</v>
      </c>
      <c r="G58" s="13"/>
      <c r="H58" s="21">
        <f>IF(D58=0,"",D58*E58*F58*C58)</f>
        <v>144144</v>
      </c>
      <c r="I58" s="37">
        <f t="shared" si="9"/>
        <v>0.5</v>
      </c>
      <c r="K58" s="131">
        <f t="shared" si="10"/>
        <v>936</v>
      </c>
      <c r="M58" s="37">
        <v>0.46</v>
      </c>
      <c r="N58" s="38">
        <f t="shared" si="11"/>
        <v>0.03999999999999998</v>
      </c>
      <c r="O58" s="40">
        <f t="shared" si="12"/>
        <v>0.08695652173913039</v>
      </c>
      <c r="S58" s="145"/>
    </row>
    <row r="59" spans="1:19" ht="15">
      <c r="A59" s="39" t="str">
        <f>+'2016 Commercial'!A40</f>
        <v>2 - 90 gallon totes</v>
      </c>
      <c r="B59" s="129" t="s">
        <v>101</v>
      </c>
      <c r="C59" s="13">
        <v>2</v>
      </c>
      <c r="D59" s="27">
        <f>+'2016 Commercial'!B40</f>
        <v>2</v>
      </c>
      <c r="E59" s="92">
        <f aca="true" t="shared" si="13" ref="E58:E63">+E58</f>
        <v>77</v>
      </c>
      <c r="F59" s="26">
        <f>+'2016 Commercial'!C40</f>
        <v>52</v>
      </c>
      <c r="G59" s="13"/>
      <c r="H59" s="21">
        <f t="shared" si="8"/>
        <v>16016</v>
      </c>
      <c r="I59" s="37">
        <f>+$I$58*C59</f>
        <v>1</v>
      </c>
      <c r="K59" s="131">
        <f>D59*F59*I59</f>
        <v>104</v>
      </c>
      <c r="M59" s="37">
        <f>+$M$58*C59</f>
        <v>0.92</v>
      </c>
      <c r="N59" s="38">
        <f t="shared" si="11"/>
        <v>0.07999999999999996</v>
      </c>
      <c r="O59" s="40">
        <f t="shared" si="12"/>
        <v>0.08695652173913039</v>
      </c>
      <c r="S59" s="145"/>
    </row>
    <row r="60" spans="1:19" ht="15">
      <c r="A60" s="39" t="str">
        <f>+'2016 Commercial'!A41</f>
        <v>3 - 90 gallon totes</v>
      </c>
      <c r="B60" s="129" t="s">
        <v>101</v>
      </c>
      <c r="C60" s="13">
        <v>3</v>
      </c>
      <c r="D60" s="27">
        <f>+'2016 Commercial'!B41</f>
        <v>2</v>
      </c>
      <c r="E60" s="92">
        <f t="shared" si="13"/>
        <v>77</v>
      </c>
      <c r="F60" s="26">
        <f>+'2016 Commercial'!C41</f>
        <v>52</v>
      </c>
      <c r="G60" s="13"/>
      <c r="H60" s="21">
        <f t="shared" si="8"/>
        <v>24024</v>
      </c>
      <c r="I60" s="37">
        <f>+$I$58*C60</f>
        <v>1.5</v>
      </c>
      <c r="K60" s="131">
        <f>D60*F60*I60</f>
        <v>156</v>
      </c>
      <c r="M60" s="37">
        <f>+$M$58*C60</f>
        <v>1.3800000000000001</v>
      </c>
      <c r="N60" s="38">
        <f t="shared" si="11"/>
        <v>0.11999999999999988</v>
      </c>
      <c r="O60" s="40">
        <f t="shared" si="12"/>
        <v>0.08695652173913035</v>
      </c>
      <c r="S60" s="145"/>
    </row>
    <row r="61" spans="1:19" ht="15">
      <c r="A61" s="39" t="str">
        <f>+'2016 Commercial'!A42</f>
        <v>4 - 90 gallon totes</v>
      </c>
      <c r="B61" s="129" t="s">
        <v>101</v>
      </c>
      <c r="C61" s="13">
        <v>4</v>
      </c>
      <c r="D61" s="27">
        <f>+'2016 Commercial'!B42</f>
        <v>1</v>
      </c>
      <c r="E61" s="92">
        <f t="shared" si="13"/>
        <v>77</v>
      </c>
      <c r="F61" s="26">
        <f>+'2016 Commercial'!C42</f>
        <v>52</v>
      </c>
      <c r="G61" s="13"/>
      <c r="H61" s="21">
        <f t="shared" si="8"/>
        <v>16016</v>
      </c>
      <c r="I61" s="37">
        <f>+$I$58*C61</f>
        <v>2</v>
      </c>
      <c r="K61" s="131">
        <f>D61*F61*I61</f>
        <v>104</v>
      </c>
      <c r="M61" s="37">
        <f>+$M$58*C61</f>
        <v>1.84</v>
      </c>
      <c r="N61" s="38">
        <f t="shared" si="11"/>
        <v>0.15999999999999992</v>
      </c>
      <c r="O61" s="40">
        <f t="shared" si="12"/>
        <v>0.08695652173913039</v>
      </c>
      <c r="S61" s="145"/>
    </row>
    <row r="62" spans="1:19" ht="15">
      <c r="A62" s="39" t="str">
        <f>+'2016 Commercial'!A43</f>
        <v>6 - 90 gallon totes</v>
      </c>
      <c r="B62" s="129" t="s">
        <v>101</v>
      </c>
      <c r="C62" s="13">
        <v>6</v>
      </c>
      <c r="D62" s="27">
        <f>+'2016 Commercial'!B43</f>
        <v>1</v>
      </c>
      <c r="E62" s="92">
        <f t="shared" si="13"/>
        <v>77</v>
      </c>
      <c r="F62" s="26">
        <f>+'2016 Commercial'!C43</f>
        <v>52</v>
      </c>
      <c r="G62" s="13"/>
      <c r="H62" s="21">
        <f t="shared" si="8"/>
        <v>24024</v>
      </c>
      <c r="I62" s="37">
        <f>+$I$58*C62</f>
        <v>3</v>
      </c>
      <c r="K62" s="131">
        <f>D62*F62*I62</f>
        <v>156</v>
      </c>
      <c r="M62" s="37">
        <f>+$M$58*C62</f>
        <v>2.7600000000000002</v>
      </c>
      <c r="N62" s="38">
        <f t="shared" si="11"/>
        <v>0.23999999999999977</v>
      </c>
      <c r="O62" s="40">
        <f t="shared" si="12"/>
        <v>0.08695652173913035</v>
      </c>
      <c r="S62" s="145"/>
    </row>
    <row r="63" spans="1:19" ht="15">
      <c r="A63" s="39" t="str">
        <f>+'2016 Commercial'!A44</f>
        <v>8 - 90 gallon totes</v>
      </c>
      <c r="B63" s="129" t="s">
        <v>101</v>
      </c>
      <c r="C63" s="13">
        <v>8</v>
      </c>
      <c r="D63" s="27">
        <f>+'2016 Commercial'!B44</f>
        <v>1</v>
      </c>
      <c r="E63" s="92">
        <f t="shared" si="13"/>
        <v>77</v>
      </c>
      <c r="F63" s="26">
        <f>+'2016 Commercial'!C44</f>
        <v>52</v>
      </c>
      <c r="G63" s="13"/>
      <c r="H63" s="21">
        <f t="shared" si="8"/>
        <v>32032</v>
      </c>
      <c r="I63" s="37">
        <f>+$I$58*C63</f>
        <v>4</v>
      </c>
      <c r="K63" s="131">
        <f>D63*F63*I63</f>
        <v>208</v>
      </c>
      <c r="M63" s="37">
        <f>+$M$58*C63</f>
        <v>3.68</v>
      </c>
      <c r="N63" s="38">
        <f t="shared" si="11"/>
        <v>0.31999999999999984</v>
      </c>
      <c r="O63" s="40">
        <f t="shared" si="12"/>
        <v>0.08695652173913039</v>
      </c>
      <c r="S63" s="145"/>
    </row>
    <row r="64" spans="1:19" ht="15">
      <c r="A64" s="39" t="str">
        <f>+'2016 Commercial'!A45</f>
        <v>9 - 90 gallon totes</v>
      </c>
      <c r="B64" s="129" t="s">
        <v>101</v>
      </c>
      <c r="C64" s="13">
        <v>9</v>
      </c>
      <c r="D64" s="27">
        <f>+'2016 Commercial'!B45</f>
        <v>1</v>
      </c>
      <c r="E64" s="92">
        <v>77</v>
      </c>
      <c r="F64" s="26">
        <f>+'2016 Commercial'!C45</f>
        <v>52</v>
      </c>
      <c r="G64" s="13"/>
      <c r="H64" s="21">
        <f>IF(D64=0,"",D64*E64*F64*C64)</f>
        <v>36036</v>
      </c>
      <c r="I64" s="37">
        <f>+$I$58*C64</f>
        <v>4.5</v>
      </c>
      <c r="K64" s="131">
        <f>D64*F64*I64</f>
        <v>234</v>
      </c>
      <c r="M64" s="37">
        <f>+$M$58*C64</f>
        <v>4.140000000000001</v>
      </c>
      <c r="N64" s="38">
        <f>+I64-M64</f>
        <v>0.35999999999999943</v>
      </c>
      <c r="O64" s="40">
        <f>+N64/M64</f>
        <v>0.08695652173913028</v>
      </c>
      <c r="S64" s="145"/>
    </row>
    <row r="65" spans="1:19" ht="15">
      <c r="A65" s="39" t="str">
        <f>+'2016 Commercial'!A46</f>
        <v>15 yard box</v>
      </c>
      <c r="B65" s="129"/>
      <c r="C65" s="13">
        <v>1</v>
      </c>
      <c r="D65" s="27">
        <v>1</v>
      </c>
      <c r="E65" s="92">
        <f>120*15</f>
        <v>1800</v>
      </c>
      <c r="F65" s="26">
        <f>+'2016 Commercial'!C46</f>
        <v>7</v>
      </c>
      <c r="G65" s="13"/>
      <c r="H65" s="21">
        <f>IF(D65=0,"",E65*F65*C65)</f>
        <v>12600</v>
      </c>
      <c r="I65" s="37">
        <f>ROUND(($H$5*H65)/F65,2)</f>
        <v>11.62</v>
      </c>
      <c r="K65" s="131">
        <f aca="true" t="shared" si="14" ref="K65:K73">F65*I65</f>
        <v>81.33999999999999</v>
      </c>
      <c r="M65" s="37">
        <v>10.72</v>
      </c>
      <c r="N65" s="38">
        <f aca="true" t="shared" si="15" ref="N65:N73">+I65-M65</f>
        <v>0.8999999999999986</v>
      </c>
      <c r="O65" s="40">
        <f aca="true" t="shared" si="16" ref="O65:O73">+N65/M65</f>
        <v>0.08395522388059688</v>
      </c>
      <c r="S65" s="145"/>
    </row>
    <row r="66" spans="1:19" ht="15">
      <c r="A66" s="39" t="str">
        <f>+'2016 Commercial'!A47</f>
        <v>20 yard box</v>
      </c>
      <c r="B66" s="129"/>
      <c r="C66" s="13">
        <v>1</v>
      </c>
      <c r="D66" s="27">
        <v>1</v>
      </c>
      <c r="E66" s="92">
        <f>120*20</f>
        <v>2400</v>
      </c>
      <c r="F66" s="26">
        <f>+'2016 Commercial'!C47</f>
        <v>106</v>
      </c>
      <c r="G66" s="13"/>
      <c r="H66" s="21">
        <f aca="true" t="shared" si="17" ref="H66:H73">IF(D66=0,"",E66*F66*C66)</f>
        <v>254400</v>
      </c>
      <c r="I66" s="37">
        <f aca="true" t="shared" si="18" ref="I66:I73">ROUND(($H$5*H66)/F66,2)</f>
        <v>15.49</v>
      </c>
      <c r="K66" s="131">
        <f t="shared" si="14"/>
        <v>1641.94</v>
      </c>
      <c r="M66" s="37">
        <v>14.29</v>
      </c>
      <c r="N66" s="38">
        <f t="shared" si="15"/>
        <v>1.200000000000001</v>
      </c>
      <c r="O66" s="40">
        <f t="shared" si="16"/>
        <v>0.08397480755773276</v>
      </c>
      <c r="S66" s="145"/>
    </row>
    <row r="67" spans="1:19" ht="15">
      <c r="A67" s="39" t="str">
        <f>+'2016 Commercial'!A48</f>
        <v>25 yard box</v>
      </c>
      <c r="B67" s="129"/>
      <c r="C67" s="13">
        <v>1</v>
      </c>
      <c r="D67" s="27">
        <v>1</v>
      </c>
      <c r="E67" s="92">
        <f>120*25</f>
        <v>3000</v>
      </c>
      <c r="F67" s="26">
        <f>+'2016 Commercial'!C48</f>
        <v>19</v>
      </c>
      <c r="G67" s="13"/>
      <c r="H67" s="21">
        <f t="shared" si="17"/>
        <v>57000</v>
      </c>
      <c r="I67" s="37">
        <f t="shared" si="18"/>
        <v>19.36</v>
      </c>
      <c r="K67" s="131">
        <f t="shared" si="14"/>
        <v>367.84</v>
      </c>
      <c r="M67" s="37">
        <v>17.86</v>
      </c>
      <c r="N67" s="38">
        <f t="shared" si="15"/>
        <v>1.5</v>
      </c>
      <c r="O67" s="40">
        <f t="shared" si="16"/>
        <v>0.083986562150056</v>
      </c>
      <c r="S67" s="145"/>
    </row>
    <row r="68" spans="1:19" ht="15">
      <c r="A68" s="39" t="str">
        <f>+'2016 Commercial'!A49</f>
        <v>30 yard box</v>
      </c>
      <c r="B68" s="129"/>
      <c r="C68" s="13">
        <v>1</v>
      </c>
      <c r="D68" s="27">
        <v>1</v>
      </c>
      <c r="E68" s="92">
        <f>120*30</f>
        <v>3600</v>
      </c>
      <c r="F68" s="26">
        <f>+'2016 Commercial'!C49</f>
        <v>456</v>
      </c>
      <c r="G68" s="13"/>
      <c r="H68" s="21">
        <f t="shared" si="17"/>
        <v>1641600</v>
      </c>
      <c r="I68" s="37">
        <f t="shared" si="18"/>
        <v>23.23</v>
      </c>
      <c r="K68" s="131">
        <f t="shared" si="14"/>
        <v>10592.880000000001</v>
      </c>
      <c r="M68" s="37">
        <v>21.44</v>
      </c>
      <c r="N68" s="38">
        <f t="shared" si="15"/>
        <v>1.7899999999999991</v>
      </c>
      <c r="O68" s="40">
        <f t="shared" si="16"/>
        <v>0.08348880597014921</v>
      </c>
      <c r="S68" s="145"/>
    </row>
    <row r="69" spans="1:19" ht="15">
      <c r="A69" s="39" t="str">
        <f>+'2016 Commercial'!A50</f>
        <v>40 yard box</v>
      </c>
      <c r="B69" s="129"/>
      <c r="C69" s="13">
        <v>1</v>
      </c>
      <c r="D69" s="27">
        <v>1</v>
      </c>
      <c r="E69" s="92">
        <f>120*40</f>
        <v>4800</v>
      </c>
      <c r="F69" s="26">
        <f>+'2016 Commercial'!C50</f>
        <v>19</v>
      </c>
      <c r="G69" s="13"/>
      <c r="H69" s="21">
        <f t="shared" si="17"/>
        <v>91200</v>
      </c>
      <c r="I69" s="37">
        <f t="shared" si="18"/>
        <v>30.98</v>
      </c>
      <c r="K69" s="131">
        <f t="shared" si="14"/>
        <v>588.62</v>
      </c>
      <c r="M69" s="37">
        <v>28.58</v>
      </c>
      <c r="N69" s="38">
        <f t="shared" si="15"/>
        <v>2.400000000000002</v>
      </c>
      <c r="O69" s="40">
        <f t="shared" si="16"/>
        <v>0.08397480755773276</v>
      </c>
      <c r="S69" s="145"/>
    </row>
    <row r="70" spans="1:19" ht="15">
      <c r="A70" s="39" t="str">
        <f>+'2016 Commercial'!A51</f>
        <v>50 yard box</v>
      </c>
      <c r="B70" s="129"/>
      <c r="C70" s="13">
        <v>1</v>
      </c>
      <c r="D70" s="27">
        <v>1</v>
      </c>
      <c r="E70" s="92">
        <f>+E69+1200</f>
        <v>6000</v>
      </c>
      <c r="F70" s="26">
        <f>+'2016 Commercial'!C51</f>
        <v>2</v>
      </c>
      <c r="G70" s="13"/>
      <c r="H70" s="21">
        <f t="shared" si="17"/>
        <v>12000</v>
      </c>
      <c r="I70" s="37">
        <f t="shared" si="18"/>
        <v>38.72</v>
      </c>
      <c r="K70" s="131">
        <f t="shared" si="14"/>
        <v>77.44</v>
      </c>
      <c r="M70" s="37">
        <v>35.73</v>
      </c>
      <c r="N70" s="38">
        <f t="shared" si="15"/>
        <v>2.990000000000002</v>
      </c>
      <c r="O70" s="40">
        <f t="shared" si="16"/>
        <v>0.0836831794010636</v>
      </c>
      <c r="S70" s="145"/>
    </row>
    <row r="71" spans="1:19" ht="15">
      <c r="A71" s="39" t="str">
        <f>+'2016 Commercial'!A52</f>
        <v>25 yard box (comp.)</v>
      </c>
      <c r="B71" s="129"/>
      <c r="C71" s="13">
        <v>1</v>
      </c>
      <c r="D71" s="27">
        <v>1</v>
      </c>
      <c r="E71" s="92">
        <v>9000</v>
      </c>
      <c r="F71" s="26">
        <f>+'2016 Commercial'!C52</f>
        <v>19</v>
      </c>
      <c r="G71" s="13"/>
      <c r="H71" s="21">
        <f t="shared" si="17"/>
        <v>171000</v>
      </c>
      <c r="I71" s="37">
        <f t="shared" si="18"/>
        <v>58.08</v>
      </c>
      <c r="K71" s="131">
        <f t="shared" si="14"/>
        <v>1103.52</v>
      </c>
      <c r="M71" s="37">
        <v>53.59</v>
      </c>
      <c r="N71" s="38">
        <f t="shared" si="15"/>
        <v>4.489999999999995</v>
      </c>
      <c r="O71" s="40">
        <f t="shared" si="16"/>
        <v>0.0837842881134539</v>
      </c>
      <c r="S71" s="145"/>
    </row>
    <row r="72" spans="1:19" ht="15">
      <c r="A72" s="39" t="str">
        <f>+'2016 Commercial'!A53</f>
        <v>30 yard box (comp.)</v>
      </c>
      <c r="B72" s="129"/>
      <c r="C72" s="13">
        <v>1</v>
      </c>
      <c r="D72" s="27">
        <v>1</v>
      </c>
      <c r="E72" s="92">
        <v>10800</v>
      </c>
      <c r="F72" s="26">
        <f>+'2016 Commercial'!C53</f>
        <v>48</v>
      </c>
      <c r="G72" s="13"/>
      <c r="H72" s="21">
        <f t="shared" si="17"/>
        <v>518400</v>
      </c>
      <c r="I72" s="37">
        <f>ROUND(($H$5*H72)/F72,2)</f>
        <v>69.7</v>
      </c>
      <c r="K72" s="131">
        <f>F72*I72</f>
        <v>3345.6000000000004</v>
      </c>
      <c r="M72" s="37">
        <v>64.31</v>
      </c>
      <c r="N72" s="38">
        <f>+I72-M72</f>
        <v>5.390000000000001</v>
      </c>
      <c r="O72" s="40">
        <f>+N72/M72</f>
        <v>0.08381278183797233</v>
      </c>
      <c r="S72" s="145"/>
    </row>
    <row r="73" spans="1:19" ht="15">
      <c r="A73" s="39" t="str">
        <f>+'2016 Commercial'!A54</f>
        <v>40 yard box (comp.)</v>
      </c>
      <c r="B73" s="129"/>
      <c r="C73" s="13">
        <v>1</v>
      </c>
      <c r="D73" s="27">
        <v>1</v>
      </c>
      <c r="E73" s="92">
        <v>14400</v>
      </c>
      <c r="F73" s="26">
        <f>+'2016 Commercial'!C54</f>
        <v>5</v>
      </c>
      <c r="G73" s="13"/>
      <c r="H73" s="87">
        <f t="shared" si="17"/>
        <v>72000</v>
      </c>
      <c r="I73" s="37">
        <f t="shared" si="18"/>
        <v>92.93</v>
      </c>
      <c r="K73" s="138">
        <f t="shared" si="14"/>
        <v>464.65000000000003</v>
      </c>
      <c r="M73" s="37">
        <v>85.74</v>
      </c>
      <c r="N73" s="38">
        <f t="shared" si="15"/>
        <v>7.190000000000012</v>
      </c>
      <c r="O73" s="40">
        <f t="shared" si="16"/>
        <v>0.0838581758805693</v>
      </c>
      <c r="S73" s="145"/>
    </row>
    <row r="74" spans="1:15" ht="15">
      <c r="A74" s="39"/>
      <c r="B74" s="26"/>
      <c r="C74" s="13"/>
      <c r="D74" s="86"/>
      <c r="E74" s="93"/>
      <c r="F74" s="101"/>
      <c r="G74" s="75"/>
      <c r="H74" s="87"/>
      <c r="I74" s="37"/>
      <c r="K74" s="138"/>
      <c r="M74" s="37"/>
      <c r="N74" s="38"/>
      <c r="O74" s="40"/>
    </row>
    <row r="75" spans="1:11" ht="15.75">
      <c r="A75" s="19" t="s">
        <v>18</v>
      </c>
      <c r="B75" s="25"/>
      <c r="C75" s="13"/>
      <c r="D75" s="88">
        <f>SUM(D29:D74)</f>
        <v>386</v>
      </c>
      <c r="E75" s="94"/>
      <c r="F75" s="100"/>
      <c r="G75" s="88"/>
      <c r="H75" s="88">
        <f>SUM(H29:H73)</f>
        <v>11085304</v>
      </c>
      <c r="I75" s="89"/>
      <c r="J75" s="72"/>
      <c r="K75" s="136">
        <f>SUM(K29:K73)</f>
        <v>76545.95</v>
      </c>
    </row>
    <row r="76" spans="1:11" ht="15">
      <c r="A76" s="16"/>
      <c r="B76" s="26"/>
      <c r="C76" s="13"/>
      <c r="D76" s="76"/>
      <c r="E76" s="93"/>
      <c r="F76" s="99"/>
      <c r="G76" s="75"/>
      <c r="H76" s="76"/>
      <c r="I76" s="82"/>
      <c r="J76" s="65"/>
      <c r="K76" s="137"/>
    </row>
    <row r="77" spans="1:11" ht="15.75">
      <c r="A77" s="19" t="s">
        <v>50</v>
      </c>
      <c r="B77" s="25"/>
      <c r="C77" s="13"/>
      <c r="D77" s="85">
        <f>D75+D26</f>
        <v>6043.000110000001</v>
      </c>
      <c r="E77" s="95"/>
      <c r="F77" s="102"/>
      <c r="G77" s="85"/>
      <c r="H77" s="85">
        <f>H75+H26</f>
        <v>28511336.58396</v>
      </c>
      <c r="I77" s="90"/>
      <c r="J77" s="91"/>
      <c r="K77" s="139">
        <f>+D5</f>
        <v>184003.27</v>
      </c>
    </row>
    <row r="78" spans="1:11" ht="15">
      <c r="A78" s="16"/>
      <c r="B78" s="26"/>
      <c r="C78" s="13"/>
      <c r="D78" s="76"/>
      <c r="E78" s="93"/>
      <c r="F78" s="99"/>
      <c r="G78" s="75"/>
      <c r="H78" s="76"/>
      <c r="I78" s="82"/>
      <c r="J78" s="65"/>
      <c r="K78" s="137"/>
    </row>
    <row r="79" spans="1:11" ht="15">
      <c r="A79" s="16"/>
      <c r="B79" s="26"/>
      <c r="C79" s="13"/>
      <c r="D79" s="76"/>
      <c r="E79" s="93"/>
      <c r="F79" s="99"/>
      <c r="G79" s="75"/>
      <c r="H79" s="76"/>
      <c r="I79" s="82"/>
      <c r="J79" s="65"/>
      <c r="K79" s="137"/>
    </row>
    <row r="80" spans="1:9" ht="15">
      <c r="A80" s="16"/>
      <c r="B80" s="26"/>
      <c r="C80" s="13"/>
      <c r="D80" s="21"/>
      <c r="E80" s="92"/>
      <c r="F80" s="103"/>
      <c r="G80" s="13"/>
      <c r="H80" s="13"/>
      <c r="I80" s="22"/>
    </row>
    <row r="81" ht="15">
      <c r="E81" s="96"/>
    </row>
    <row r="82" ht="15">
      <c r="E82" s="96"/>
    </row>
    <row r="83" spans="5:8" ht="15">
      <c r="E83" s="96"/>
      <c r="H83" s="28"/>
    </row>
    <row r="84" ht="15">
      <c r="E84" s="96"/>
    </row>
    <row r="85" spans="5:8" ht="15">
      <c r="E85" s="96"/>
      <c r="H85" s="28"/>
    </row>
    <row r="86" ht="15">
      <c r="E86" s="96"/>
    </row>
    <row r="87" spans="5:9" ht="15">
      <c r="E87" s="96"/>
      <c r="H87" s="29"/>
      <c r="I87" s="23"/>
    </row>
  </sheetData>
  <sheetProtection/>
  <printOptions/>
  <pageMargins left="0.5" right="0.25" top="0.5" bottom="0.5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8.00390625" style="0" bestFit="1" customWidth="1"/>
    <col min="3" max="3" width="13.28125" style="46" bestFit="1" customWidth="1"/>
    <col min="4" max="4" width="11.140625" style="46" bestFit="1" customWidth="1"/>
    <col min="5" max="5" width="11.28125" style="46" bestFit="1" customWidth="1"/>
    <col min="6" max="6" width="9.140625" style="51" customWidth="1"/>
    <col min="7" max="7" width="4.28125" style="0" customWidth="1"/>
    <col min="8" max="8" width="12.28125" style="0" bestFit="1" customWidth="1"/>
  </cols>
  <sheetData>
    <row r="1" spans="3:6" s="41" customFormat="1" ht="12.75">
      <c r="C1" s="44"/>
      <c r="D1" s="44"/>
      <c r="E1" s="44"/>
      <c r="F1" s="49"/>
    </row>
    <row r="2" spans="3:6" s="41" customFormat="1" ht="12.75">
      <c r="C2" s="44"/>
      <c r="D2" s="44"/>
      <c r="E2" s="44"/>
      <c r="F2" s="49"/>
    </row>
    <row r="3" spans="3:6" s="41" customFormat="1" ht="12.75">
      <c r="C3" s="44"/>
      <c r="D3" s="44"/>
      <c r="E3" s="44"/>
      <c r="F3" s="49"/>
    </row>
    <row r="4" spans="3:6" s="41" customFormat="1" ht="12.75">
      <c r="C4" s="44"/>
      <c r="D4" s="44"/>
      <c r="E4" s="44"/>
      <c r="F4" s="49"/>
    </row>
    <row r="5" spans="1:6" s="41" customFormat="1" ht="12.75">
      <c r="A5" s="42" t="s">
        <v>70</v>
      </c>
      <c r="C5" s="44"/>
      <c r="D5" s="44"/>
      <c r="E5" s="44"/>
      <c r="F5" s="49"/>
    </row>
    <row r="6" spans="3:8" s="41" customFormat="1" ht="12.75">
      <c r="C6" s="44"/>
      <c r="D6" s="44"/>
      <c r="E6" s="44"/>
      <c r="F6" s="49"/>
      <c r="H6" s="54" t="s">
        <v>29</v>
      </c>
    </row>
    <row r="7" spans="3:8" s="43" customFormat="1" ht="12.75">
      <c r="C7" s="45" t="s">
        <v>67</v>
      </c>
      <c r="D7" s="45" t="s">
        <v>68</v>
      </c>
      <c r="E7" s="45" t="s">
        <v>29</v>
      </c>
      <c r="F7" s="50" t="s">
        <v>69</v>
      </c>
      <c r="H7" s="43" t="s">
        <v>41</v>
      </c>
    </row>
    <row r="9" spans="1:8" ht="12.75">
      <c r="A9" t="s">
        <v>64</v>
      </c>
      <c r="C9" s="46">
        <v>40492</v>
      </c>
      <c r="E9" s="46">
        <f>+D9+C9</f>
        <v>40492</v>
      </c>
      <c r="F9" s="51">
        <f>+E9/E15</f>
        <v>0.001374777611251583</v>
      </c>
      <c r="H9" s="55">
        <f>+F9*H15</f>
        <v>270.09293383931976</v>
      </c>
    </row>
    <row r="10" ht="12.75">
      <c r="H10" s="55"/>
    </row>
    <row r="11" spans="1:8" ht="12.75">
      <c r="A11" t="s">
        <v>65</v>
      </c>
      <c r="C11" s="46">
        <v>10873367</v>
      </c>
      <c r="D11" s="46">
        <v>16712176</v>
      </c>
      <c r="E11" s="46">
        <f>+D11+C11</f>
        <v>27585543</v>
      </c>
      <c r="F11" s="51">
        <f>+E11/E15</f>
        <v>0.9365797419395887</v>
      </c>
      <c r="H11" s="55">
        <f>+F11*H15</f>
        <v>184003.26584067743</v>
      </c>
    </row>
    <row r="12" ht="12.75">
      <c r="H12" s="55"/>
    </row>
    <row r="13" spans="1:8" ht="15">
      <c r="A13" t="s">
        <v>66</v>
      </c>
      <c r="C13" s="48">
        <v>1338400</v>
      </c>
      <c r="D13" s="48">
        <v>489056</v>
      </c>
      <c r="E13" s="48">
        <f>+D13+C13</f>
        <v>1827456</v>
      </c>
      <c r="F13" s="52">
        <f>+E13/E15</f>
        <v>0.06204548044915966</v>
      </c>
      <c r="H13" s="56">
        <f>+F13*H15</f>
        <v>12189.641225483254</v>
      </c>
    </row>
    <row r="15" spans="3:8" ht="15">
      <c r="C15" s="47">
        <f>SUM(C9:C14)</f>
        <v>12252259</v>
      </c>
      <c r="D15" s="47">
        <f>SUM(D9:D14)</f>
        <v>17201232</v>
      </c>
      <c r="E15" s="47">
        <f>SUM(E9:E14)</f>
        <v>29453491</v>
      </c>
      <c r="F15" s="53">
        <f>SUM(F9:F14)</f>
        <v>1</v>
      </c>
      <c r="H15" s="57">
        <v>196463</v>
      </c>
    </row>
    <row r="18" ht="12.75">
      <c r="A18" s="42" t="s">
        <v>102</v>
      </c>
    </row>
    <row r="19" ht="12.75">
      <c r="A19" s="58"/>
    </row>
    <row r="20" ht="12.75">
      <c r="H20" s="54" t="s">
        <v>29</v>
      </c>
    </row>
    <row r="21" spans="1:8" ht="12.75">
      <c r="A21" s="43"/>
      <c r="B21" s="43"/>
      <c r="C21" s="45" t="s">
        <v>67</v>
      </c>
      <c r="D21" s="45" t="s">
        <v>68</v>
      </c>
      <c r="E21" s="45" t="s">
        <v>29</v>
      </c>
      <c r="F21" s="50" t="s">
        <v>69</v>
      </c>
      <c r="H21" s="43" t="s">
        <v>41</v>
      </c>
    </row>
    <row r="23" spans="1:8" ht="12.75">
      <c r="A23" t="s">
        <v>64</v>
      </c>
      <c r="C23" s="46">
        <f>+C9</f>
        <v>40492</v>
      </c>
      <c r="E23" s="46">
        <f>+D23+C23</f>
        <v>40492</v>
      </c>
      <c r="F23" s="51">
        <f>+E23/E29</f>
        <v>0.0013328819475024577</v>
      </c>
      <c r="H23" s="55">
        <f>+F23*H29</f>
        <v>261.8619860521754</v>
      </c>
    </row>
    <row r="24" ht="12.75">
      <c r="H24" s="55"/>
    </row>
    <row r="25" spans="1:8" ht="12.75">
      <c r="A25" t="s">
        <v>65</v>
      </c>
      <c r="C25" s="46">
        <f>+'2016 Fee'!H75</f>
        <v>11085304</v>
      </c>
      <c r="D25" s="46">
        <f>+'2016 Fee'!H26</f>
        <v>17426032.58396</v>
      </c>
      <c r="E25" s="46">
        <f>+D25+C25</f>
        <v>28511336.58396</v>
      </c>
      <c r="F25" s="51">
        <f>+E25/E29</f>
        <v>0.9385124427523135</v>
      </c>
      <c r="H25" s="55">
        <f>+F25*H29</f>
        <v>184382.97004044778</v>
      </c>
    </row>
    <row r="26" ht="12.75">
      <c r="H26" s="55"/>
    </row>
    <row r="27" spans="1:8" ht="15">
      <c r="A27" t="s">
        <v>66</v>
      </c>
      <c r="C27" s="48">
        <f>+C13</f>
        <v>1338400</v>
      </c>
      <c r="D27" s="48">
        <f>+D13</f>
        <v>489056</v>
      </c>
      <c r="E27" s="48">
        <f>+D27+C27</f>
        <v>1827456</v>
      </c>
      <c r="F27" s="52">
        <f>+E27/E29</f>
        <v>0.06015467530018403</v>
      </c>
      <c r="H27" s="56">
        <f>+F27*H29</f>
        <v>11818.167973500054</v>
      </c>
    </row>
    <row r="29" spans="3:8" ht="15">
      <c r="C29" s="47">
        <f>SUM(C23:C28)</f>
        <v>12464196</v>
      </c>
      <c r="D29" s="47">
        <f>SUM(D23:D28)</f>
        <v>17915088.58396</v>
      </c>
      <c r="E29" s="47">
        <f>SUM(E23:E28)</f>
        <v>30379284.58396</v>
      </c>
      <c r="F29" s="53">
        <f>SUM(F23:F28)</f>
        <v>1</v>
      </c>
      <c r="H29" s="57">
        <f>+H15</f>
        <v>196463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B13" sqref="B13:B14"/>
    </sheetView>
  </sheetViews>
  <sheetFormatPr defaultColWidth="9.140625" defaultRowHeight="12.75"/>
  <cols>
    <col min="1" max="1" width="23.28125" style="0" customWidth="1"/>
    <col min="2" max="2" width="20.00390625" style="0" customWidth="1"/>
    <col min="3" max="3" width="16.7109375" style="0" customWidth="1"/>
    <col min="4" max="4" width="8.7109375" style="0" customWidth="1"/>
    <col min="5" max="5" width="20.28125" style="0" customWidth="1"/>
    <col min="6" max="6" width="33.7109375" style="0" customWidth="1"/>
  </cols>
  <sheetData>
    <row r="1" ht="23.25">
      <c r="A1" s="106" t="s">
        <v>0</v>
      </c>
    </row>
    <row r="3" ht="12.75">
      <c r="C3" s="58" t="s">
        <v>104</v>
      </c>
    </row>
    <row r="5" spans="1:6" ht="12.75" customHeight="1">
      <c r="A5" s="140" t="s">
        <v>77</v>
      </c>
      <c r="B5" s="140"/>
      <c r="C5" s="140"/>
      <c r="D5" s="140"/>
      <c r="E5" s="140"/>
      <c r="F5" s="140"/>
    </row>
    <row r="7" spans="1:6" ht="12.75">
      <c r="A7" t="s">
        <v>105</v>
      </c>
      <c r="F7" s="30" t="s">
        <v>106</v>
      </c>
    </row>
    <row r="8" spans="1:6" ht="4.5" customHeight="1" thickBot="1">
      <c r="A8" s="2"/>
      <c r="B8" s="2"/>
      <c r="C8" s="2"/>
      <c r="D8" s="2"/>
      <c r="E8" s="2"/>
      <c r="F8" s="2"/>
    </row>
    <row r="9" spans="1:6" ht="14.25" thickBot="1" thickTop="1">
      <c r="A9" s="6" t="s">
        <v>1</v>
      </c>
      <c r="B9" s="7" t="s">
        <v>2</v>
      </c>
      <c r="C9" s="7" t="s">
        <v>3</v>
      </c>
      <c r="D9" s="7" t="s">
        <v>4</v>
      </c>
      <c r="E9" s="107" t="s">
        <v>78</v>
      </c>
      <c r="F9" s="8" t="s">
        <v>6</v>
      </c>
    </row>
    <row r="10" spans="1:6" ht="13.5" thickTop="1">
      <c r="A10" s="108" t="s">
        <v>79</v>
      </c>
      <c r="B10" s="109"/>
      <c r="C10" s="109"/>
      <c r="D10" s="109"/>
      <c r="E10" s="110">
        <v>131</v>
      </c>
      <c r="F10" s="111">
        <f aca="true" t="shared" si="0" ref="F10:F18">SUM(B10*C10*E10)</f>
        <v>0</v>
      </c>
    </row>
    <row r="11" spans="1:6" ht="12.75">
      <c r="A11" s="112" t="s">
        <v>20</v>
      </c>
      <c r="B11" s="111">
        <v>262</v>
      </c>
      <c r="C11" s="4">
        <v>52</v>
      </c>
      <c r="D11" s="4"/>
      <c r="E11" s="4">
        <v>34</v>
      </c>
      <c r="F11" s="113">
        <f t="shared" si="0"/>
        <v>463216</v>
      </c>
    </row>
    <row r="12" spans="1:6" ht="12.75">
      <c r="A12" s="114" t="s">
        <v>20</v>
      </c>
      <c r="B12" s="111">
        <v>13</v>
      </c>
      <c r="C12" s="4">
        <v>12</v>
      </c>
      <c r="D12" s="4"/>
      <c r="E12" s="4">
        <v>34</v>
      </c>
      <c r="F12" s="113">
        <f t="shared" si="0"/>
        <v>5304</v>
      </c>
    </row>
    <row r="13" spans="1:6" ht="12.75">
      <c r="A13" s="112" t="s">
        <v>21</v>
      </c>
      <c r="B13" s="111">
        <v>91</v>
      </c>
      <c r="C13" s="4">
        <v>52</v>
      </c>
      <c r="D13" s="4"/>
      <c r="E13" s="4">
        <v>51</v>
      </c>
      <c r="F13" s="113">
        <f t="shared" si="0"/>
        <v>241332</v>
      </c>
    </row>
    <row r="14" spans="1:6" ht="12.75">
      <c r="A14" s="112" t="s">
        <v>22</v>
      </c>
      <c r="B14" s="111">
        <v>1</v>
      </c>
      <c r="C14" s="4">
        <v>52</v>
      </c>
      <c r="D14" s="4"/>
      <c r="E14" s="4">
        <v>77</v>
      </c>
      <c r="F14" s="113">
        <f t="shared" si="0"/>
        <v>4004</v>
      </c>
    </row>
    <row r="15" spans="1:6" ht="12.75">
      <c r="A15" s="114" t="s">
        <v>80</v>
      </c>
      <c r="B15" s="111"/>
      <c r="C15" s="4">
        <v>52</v>
      </c>
      <c r="D15" s="4"/>
      <c r="E15" s="4">
        <v>97</v>
      </c>
      <c r="F15" s="113">
        <f t="shared" si="0"/>
        <v>0</v>
      </c>
    </row>
    <row r="16" spans="1:6" ht="12.75">
      <c r="A16" s="114" t="s">
        <v>107</v>
      </c>
      <c r="B16" s="111"/>
      <c r="C16" s="4">
        <v>52</v>
      </c>
      <c r="D16" s="4"/>
      <c r="E16" s="4">
        <f>+E15+20</f>
        <v>117</v>
      </c>
      <c r="F16" s="113">
        <f t="shared" si="0"/>
        <v>0</v>
      </c>
    </row>
    <row r="17" spans="1:6" ht="12.75">
      <c r="A17" s="114" t="s">
        <v>108</v>
      </c>
      <c r="B17" s="111"/>
      <c r="C17" s="4">
        <v>52</v>
      </c>
      <c r="D17" s="4"/>
      <c r="E17" s="4">
        <f>+E16+20</f>
        <v>137</v>
      </c>
      <c r="F17" s="113">
        <f t="shared" si="0"/>
        <v>0</v>
      </c>
    </row>
    <row r="18" spans="1:6" ht="12.75">
      <c r="A18" s="112" t="s">
        <v>62</v>
      </c>
      <c r="B18" s="111">
        <v>9</v>
      </c>
      <c r="C18" s="4">
        <v>52</v>
      </c>
      <c r="D18" s="4"/>
      <c r="E18" s="4">
        <v>20</v>
      </c>
      <c r="F18" s="111">
        <f t="shared" si="0"/>
        <v>9360</v>
      </c>
    </row>
    <row r="19" spans="1:6" ht="12.75">
      <c r="A19" s="114" t="s">
        <v>109</v>
      </c>
      <c r="B19" s="111"/>
      <c r="C19" s="4"/>
      <c r="D19" s="4"/>
      <c r="E19" s="4">
        <v>34</v>
      </c>
      <c r="F19" s="113">
        <f aca="true" t="shared" si="1" ref="F19:F26">SUM(B19*C19*E19)</f>
        <v>0</v>
      </c>
    </row>
    <row r="20" spans="1:6" ht="12.75">
      <c r="A20" s="112" t="s">
        <v>26</v>
      </c>
      <c r="B20" s="111">
        <v>1030</v>
      </c>
      <c r="C20" s="4">
        <v>52</v>
      </c>
      <c r="D20" s="4"/>
      <c r="E20" s="4">
        <v>34</v>
      </c>
      <c r="F20" s="113">
        <f t="shared" si="1"/>
        <v>1821040</v>
      </c>
    </row>
    <row r="21" spans="1:6" ht="12.75">
      <c r="A21" s="112" t="s">
        <v>63</v>
      </c>
      <c r="B21" s="111">
        <v>2</v>
      </c>
      <c r="C21" s="4">
        <v>52</v>
      </c>
      <c r="D21" s="4"/>
      <c r="E21" s="4">
        <v>68</v>
      </c>
      <c r="F21" s="113">
        <f t="shared" si="1"/>
        <v>7072</v>
      </c>
    </row>
    <row r="22" spans="1:6" ht="12.75">
      <c r="A22" s="112" t="s">
        <v>27</v>
      </c>
      <c r="B22" s="111">
        <v>1772</v>
      </c>
      <c r="C22" s="4">
        <v>52</v>
      </c>
      <c r="D22" s="4"/>
      <c r="E22" s="4">
        <v>51</v>
      </c>
      <c r="F22" s="113">
        <f t="shared" si="1"/>
        <v>4699344</v>
      </c>
    </row>
    <row r="23" spans="1:6" ht="12.75">
      <c r="A23" s="112" t="s">
        <v>52</v>
      </c>
      <c r="B23" s="111">
        <v>4</v>
      </c>
      <c r="C23" s="4">
        <v>52</v>
      </c>
      <c r="D23" s="4"/>
      <c r="E23" s="4">
        <f>+E22*2</f>
        <v>102</v>
      </c>
      <c r="F23" s="113">
        <f t="shared" si="1"/>
        <v>21216</v>
      </c>
    </row>
    <row r="24" spans="1:6" ht="12.75">
      <c r="A24" s="112" t="s">
        <v>23</v>
      </c>
      <c r="B24" s="111">
        <v>2412</v>
      </c>
      <c r="C24" s="4">
        <v>52</v>
      </c>
      <c r="D24" s="4"/>
      <c r="E24" s="4">
        <v>77</v>
      </c>
      <c r="F24" s="113">
        <f t="shared" si="1"/>
        <v>9657648</v>
      </c>
    </row>
    <row r="25" spans="1:6" ht="12.75">
      <c r="A25" s="115" t="s">
        <v>53</v>
      </c>
      <c r="B25" s="116">
        <v>59</v>
      </c>
      <c r="C25" s="10">
        <v>52</v>
      </c>
      <c r="D25" s="4"/>
      <c r="E25" s="10">
        <f>+E24*2</f>
        <v>154</v>
      </c>
      <c r="F25" s="117">
        <f t="shared" si="1"/>
        <v>472472</v>
      </c>
    </row>
    <row r="26" spans="1:6" ht="12.75">
      <c r="A26" s="115" t="s">
        <v>54</v>
      </c>
      <c r="B26" s="116">
        <v>2</v>
      </c>
      <c r="C26" s="10">
        <v>52</v>
      </c>
      <c r="D26" s="4"/>
      <c r="E26" s="10">
        <f>+E24*3</f>
        <v>231</v>
      </c>
      <c r="F26" s="117">
        <f t="shared" si="1"/>
        <v>24024</v>
      </c>
    </row>
    <row r="27" spans="1:6" ht="19.5" customHeight="1" thickBot="1">
      <c r="A27" s="141" t="s">
        <v>24</v>
      </c>
      <c r="B27" s="118">
        <f>SUM(B11:B26)</f>
        <v>5657</v>
      </c>
      <c r="C27" s="118">
        <f>SUM(C18:C26)</f>
        <v>416</v>
      </c>
      <c r="D27" s="5"/>
      <c r="E27" s="5"/>
      <c r="F27" s="5"/>
    </row>
    <row r="28" spans="5:6" ht="19.5" customHeight="1" thickBot="1" thickTop="1">
      <c r="E28" s="119" t="s">
        <v>25</v>
      </c>
      <c r="F28" s="120">
        <f>SUM(F11:F26)</f>
        <v>17426032</v>
      </c>
    </row>
    <row r="29" ht="13.5" thickTop="1"/>
  </sheetData>
  <sheetProtection/>
  <mergeCells count="1">
    <mergeCell ref="A5:F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25">
      <selection activeCell="A5" sqref="A5:F5"/>
    </sheetView>
  </sheetViews>
  <sheetFormatPr defaultColWidth="9.140625" defaultRowHeight="12.75"/>
  <cols>
    <col min="1" max="1" width="24.8515625" style="0" customWidth="1"/>
    <col min="2" max="2" width="24.57421875" style="0" customWidth="1"/>
    <col min="3" max="3" width="16.7109375" style="0" customWidth="1"/>
    <col min="5" max="5" width="17.57421875" style="0" customWidth="1"/>
    <col min="6" max="6" width="30.28125" style="0" customWidth="1"/>
    <col min="9" max="9" width="22.57421875" style="0" bestFit="1" customWidth="1"/>
  </cols>
  <sheetData>
    <row r="1" ht="23.25">
      <c r="A1" s="106" t="s">
        <v>0</v>
      </c>
    </row>
    <row r="3" ht="12.75">
      <c r="C3" t="s">
        <v>110</v>
      </c>
    </row>
    <row r="5" spans="1:6" ht="15.75">
      <c r="A5" s="140" t="s">
        <v>81</v>
      </c>
      <c r="B5" s="140"/>
      <c r="C5" s="140"/>
      <c r="D5" s="140"/>
      <c r="E5" s="140"/>
      <c r="F5" s="140"/>
    </row>
    <row r="7" spans="1:6" ht="12.75">
      <c r="A7" t="s">
        <v>105</v>
      </c>
      <c r="F7" s="30" t="s">
        <v>106</v>
      </c>
    </row>
    <row r="8" spans="1:6" ht="4.5" customHeight="1" thickBot="1">
      <c r="A8" s="2"/>
      <c r="B8" s="2"/>
      <c r="C8" s="2"/>
      <c r="D8" s="2"/>
      <c r="E8" s="2"/>
      <c r="F8" s="2"/>
    </row>
    <row r="9" spans="1:6" ht="14.25" thickBot="1" thickTop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13.5" thickTop="1">
      <c r="A10" s="121" t="s">
        <v>7</v>
      </c>
      <c r="B10" s="10">
        <v>12</v>
      </c>
      <c r="C10" s="10">
        <v>26</v>
      </c>
      <c r="D10" s="10"/>
      <c r="E10" s="122">
        <v>175</v>
      </c>
      <c r="F10" s="9">
        <f>SUM(B10*C10*E10)</f>
        <v>54600</v>
      </c>
    </row>
    <row r="11" spans="1:6" ht="12.75">
      <c r="A11" s="121" t="s">
        <v>7</v>
      </c>
      <c r="B11" s="10">
        <v>35</v>
      </c>
      <c r="C11" s="10">
        <v>52</v>
      </c>
      <c r="D11" s="10"/>
      <c r="E11" s="122">
        <v>175</v>
      </c>
      <c r="F11" s="9">
        <f>SUM(B11*C11*E11)</f>
        <v>318500</v>
      </c>
    </row>
    <row r="12" spans="1:6" ht="12.75">
      <c r="A12" s="121" t="s">
        <v>82</v>
      </c>
      <c r="B12" s="10">
        <f>8+2+1</f>
        <v>11</v>
      </c>
      <c r="C12" s="10">
        <v>26</v>
      </c>
      <c r="D12" s="10"/>
      <c r="E12" s="122">
        <v>250</v>
      </c>
      <c r="F12" s="9">
        <f aca="true" t="shared" si="0" ref="F12:F45">SUM(B12*C12*E12)</f>
        <v>71500</v>
      </c>
    </row>
    <row r="13" spans="1:6" ht="12.75">
      <c r="A13" s="121" t="s">
        <v>82</v>
      </c>
      <c r="B13" s="10">
        <f>22+1+23</f>
        <v>46</v>
      </c>
      <c r="C13" s="10">
        <v>52</v>
      </c>
      <c r="D13" s="10"/>
      <c r="E13" s="122">
        <v>250</v>
      </c>
      <c r="F13" s="9">
        <f t="shared" si="0"/>
        <v>598000</v>
      </c>
    </row>
    <row r="14" spans="1:6" ht="12.75">
      <c r="A14" s="121" t="s">
        <v>83</v>
      </c>
      <c r="B14" s="10">
        <v>1</v>
      </c>
      <c r="C14" s="10">
        <v>52</v>
      </c>
      <c r="D14" s="10"/>
      <c r="E14" s="122">
        <f>+E13*2</f>
        <v>500</v>
      </c>
      <c r="F14" s="9">
        <f>SUM(B14*C14*E14)</f>
        <v>26000</v>
      </c>
    </row>
    <row r="15" spans="1:6" ht="12.75">
      <c r="A15" s="121" t="s">
        <v>8</v>
      </c>
      <c r="B15" s="10">
        <v>32</v>
      </c>
      <c r="C15" s="10">
        <v>26</v>
      </c>
      <c r="D15" s="10"/>
      <c r="E15" s="122">
        <v>324</v>
      </c>
      <c r="F15" s="9">
        <f>SUM(B15*C15*E15)</f>
        <v>269568</v>
      </c>
    </row>
    <row r="16" spans="1:6" ht="12.75">
      <c r="A16" s="121" t="s">
        <v>8</v>
      </c>
      <c r="B16" s="10">
        <v>41</v>
      </c>
      <c r="C16" s="10">
        <v>52</v>
      </c>
      <c r="D16" s="10"/>
      <c r="E16" s="122">
        <f>+E15</f>
        <v>324</v>
      </c>
      <c r="F16" s="9">
        <f t="shared" si="0"/>
        <v>690768</v>
      </c>
    </row>
    <row r="17" spans="1:6" ht="12.75">
      <c r="A17" s="121" t="s">
        <v>84</v>
      </c>
      <c r="B17" s="10">
        <v>1</v>
      </c>
      <c r="C17" s="10">
        <v>52</v>
      </c>
      <c r="D17" s="10"/>
      <c r="E17" s="122">
        <f>+E16*4</f>
        <v>1296</v>
      </c>
      <c r="F17" s="9">
        <f t="shared" si="0"/>
        <v>67392</v>
      </c>
    </row>
    <row r="18" spans="1:6" ht="12.75">
      <c r="A18" s="121" t="s">
        <v>9</v>
      </c>
      <c r="B18" s="10">
        <v>11</v>
      </c>
      <c r="C18" s="10">
        <v>26</v>
      </c>
      <c r="D18" s="10"/>
      <c r="E18" s="122">
        <v>473</v>
      </c>
      <c r="F18" s="9">
        <f t="shared" si="0"/>
        <v>135278</v>
      </c>
    </row>
    <row r="19" spans="1:6" ht="12.75">
      <c r="A19" s="121" t="s">
        <v>9</v>
      </c>
      <c r="B19" s="10">
        <v>25</v>
      </c>
      <c r="C19" s="10">
        <v>52</v>
      </c>
      <c r="D19" s="10"/>
      <c r="E19" s="122">
        <f>+E18</f>
        <v>473</v>
      </c>
      <c r="F19" s="9">
        <f t="shared" si="0"/>
        <v>614900</v>
      </c>
    </row>
    <row r="20" spans="1:6" ht="12.75">
      <c r="A20" s="121" t="s">
        <v>111</v>
      </c>
      <c r="B20" s="10">
        <v>1</v>
      </c>
      <c r="C20" s="10">
        <v>52</v>
      </c>
      <c r="D20" s="10"/>
      <c r="E20" s="122">
        <f>+E18*2</f>
        <v>946</v>
      </c>
      <c r="F20" s="9">
        <f>SUM(B20*C20*E20)</f>
        <v>49192</v>
      </c>
    </row>
    <row r="21" spans="1:6" ht="12.75">
      <c r="A21" s="121" t="s">
        <v>10</v>
      </c>
      <c r="B21" s="10">
        <v>13</v>
      </c>
      <c r="C21" s="10">
        <v>26</v>
      </c>
      <c r="D21" s="10"/>
      <c r="E21" s="122">
        <v>613</v>
      </c>
      <c r="F21" s="9">
        <f t="shared" si="0"/>
        <v>207194</v>
      </c>
    </row>
    <row r="22" spans="1:6" ht="12.75">
      <c r="A22" s="121" t="s">
        <v>10</v>
      </c>
      <c r="B22" s="10">
        <v>29</v>
      </c>
      <c r="C22" s="10">
        <v>52</v>
      </c>
      <c r="D22" s="10"/>
      <c r="E22" s="122">
        <f>+E21</f>
        <v>613</v>
      </c>
      <c r="F22" s="9">
        <f t="shared" si="0"/>
        <v>924404</v>
      </c>
    </row>
    <row r="23" spans="1:6" ht="12.75">
      <c r="A23" s="121" t="s">
        <v>10</v>
      </c>
      <c r="B23" s="10">
        <v>1</v>
      </c>
      <c r="C23" s="10">
        <f>52*2</f>
        <v>104</v>
      </c>
      <c r="D23" s="10"/>
      <c r="E23" s="122">
        <f>+E22</f>
        <v>613</v>
      </c>
      <c r="F23" s="9">
        <f>SUM(B23*C23*E23)</f>
        <v>63752</v>
      </c>
    </row>
    <row r="24" spans="1:6" ht="12.75">
      <c r="A24" s="121" t="s">
        <v>85</v>
      </c>
      <c r="B24" s="10">
        <v>1</v>
      </c>
      <c r="C24" s="10">
        <v>52</v>
      </c>
      <c r="D24" s="10"/>
      <c r="E24" s="122">
        <f>+E23*2</f>
        <v>1226</v>
      </c>
      <c r="F24" s="9">
        <f>SUM(B24*C24*E24)</f>
        <v>63752</v>
      </c>
    </row>
    <row r="25" spans="1:6" ht="12.75">
      <c r="A25" s="121" t="s">
        <v>11</v>
      </c>
      <c r="B25" s="10">
        <v>3</v>
      </c>
      <c r="C25" s="10">
        <v>26</v>
      </c>
      <c r="D25" s="10"/>
      <c r="E25" s="122">
        <v>840</v>
      </c>
      <c r="F25" s="9">
        <f t="shared" si="0"/>
        <v>65520</v>
      </c>
    </row>
    <row r="26" spans="1:6" ht="12.75">
      <c r="A26" s="121" t="s">
        <v>11</v>
      </c>
      <c r="B26" s="10">
        <v>29</v>
      </c>
      <c r="C26" s="10">
        <v>52</v>
      </c>
      <c r="D26" s="10"/>
      <c r="E26" s="122">
        <f>+E25</f>
        <v>840</v>
      </c>
      <c r="F26" s="9">
        <f t="shared" si="0"/>
        <v>1266720</v>
      </c>
    </row>
    <row r="27" spans="1:6" ht="12.75">
      <c r="A27" s="121" t="s">
        <v>86</v>
      </c>
      <c r="B27" s="10">
        <v>2</v>
      </c>
      <c r="C27" s="10">
        <v>52</v>
      </c>
      <c r="D27" s="10"/>
      <c r="E27" s="122">
        <f>+E25*2</f>
        <v>1680</v>
      </c>
      <c r="F27" s="9">
        <f t="shared" si="0"/>
        <v>174720</v>
      </c>
    </row>
    <row r="28" spans="1:6" ht="12.75">
      <c r="A28" s="121" t="s">
        <v>86</v>
      </c>
      <c r="B28" s="10">
        <v>1</v>
      </c>
      <c r="C28" s="10">
        <v>104</v>
      </c>
      <c r="D28" s="10"/>
      <c r="E28" s="122">
        <f>+E27</f>
        <v>1680</v>
      </c>
      <c r="F28" s="9">
        <f t="shared" si="0"/>
        <v>174720</v>
      </c>
    </row>
    <row r="29" spans="1:6" ht="12.75">
      <c r="A29" s="121" t="s">
        <v>87</v>
      </c>
      <c r="B29" s="10">
        <v>1</v>
      </c>
      <c r="C29" s="10">
        <v>52</v>
      </c>
      <c r="D29" s="10"/>
      <c r="E29" s="122">
        <f>+E26*4</f>
        <v>3360</v>
      </c>
      <c r="F29" s="9">
        <f t="shared" si="0"/>
        <v>174720</v>
      </c>
    </row>
    <row r="30" spans="1:6" ht="12.75">
      <c r="A30" s="121" t="s">
        <v>12</v>
      </c>
      <c r="B30" s="10">
        <v>4</v>
      </c>
      <c r="C30" s="10">
        <v>26</v>
      </c>
      <c r="D30" s="10"/>
      <c r="E30" s="122">
        <v>980</v>
      </c>
      <c r="F30" s="9">
        <f t="shared" si="0"/>
        <v>101920</v>
      </c>
    </row>
    <row r="31" spans="1:6" ht="12.75">
      <c r="A31" s="121" t="s">
        <v>12</v>
      </c>
      <c r="B31" s="10">
        <v>19</v>
      </c>
      <c r="C31" s="10">
        <v>52</v>
      </c>
      <c r="D31" s="10"/>
      <c r="E31" s="122">
        <f>+E30</f>
        <v>980</v>
      </c>
      <c r="F31" s="9">
        <f t="shared" si="0"/>
        <v>968240</v>
      </c>
    </row>
    <row r="32" spans="1:6" ht="12.75">
      <c r="A32" s="121" t="s">
        <v>12</v>
      </c>
      <c r="B32" s="10">
        <v>1</v>
      </c>
      <c r="C32" s="10">
        <v>104</v>
      </c>
      <c r="D32" s="10"/>
      <c r="E32" s="122">
        <f>+E31</f>
        <v>980</v>
      </c>
      <c r="F32" s="9">
        <f t="shared" si="0"/>
        <v>101920</v>
      </c>
    </row>
    <row r="33" spans="1:6" ht="12.75">
      <c r="A33" s="121" t="s">
        <v>12</v>
      </c>
      <c r="B33" s="10">
        <v>2</v>
      </c>
      <c r="C33" s="10">
        <v>156</v>
      </c>
      <c r="D33" s="10"/>
      <c r="E33" s="122">
        <f>+E32</f>
        <v>980</v>
      </c>
      <c r="F33" s="9">
        <f t="shared" si="0"/>
        <v>305760</v>
      </c>
    </row>
    <row r="34" spans="1:6" ht="12.75">
      <c r="A34" s="121" t="s">
        <v>88</v>
      </c>
      <c r="B34" s="10">
        <v>3</v>
      </c>
      <c r="C34" s="10">
        <v>52</v>
      </c>
      <c r="D34" s="10"/>
      <c r="E34" s="122">
        <f>+E30*2</f>
        <v>1960</v>
      </c>
      <c r="F34" s="9">
        <f t="shared" si="0"/>
        <v>305760</v>
      </c>
    </row>
    <row r="35" spans="1:6" ht="12.75">
      <c r="A35" s="121" t="s">
        <v>89</v>
      </c>
      <c r="B35" s="10">
        <v>1</v>
      </c>
      <c r="C35" s="10">
        <v>52</v>
      </c>
      <c r="D35" s="10"/>
      <c r="E35" s="122">
        <f>+E30*3</f>
        <v>2940</v>
      </c>
      <c r="F35" s="9">
        <f t="shared" si="0"/>
        <v>152880</v>
      </c>
    </row>
    <row r="36" spans="1:6" ht="12.75">
      <c r="A36" s="4" t="s">
        <v>20</v>
      </c>
      <c r="B36" s="111">
        <v>1</v>
      </c>
      <c r="C36" s="4">
        <v>52</v>
      </c>
      <c r="D36" s="4"/>
      <c r="E36" s="4">
        <v>29</v>
      </c>
      <c r="F36" s="9">
        <f t="shared" si="0"/>
        <v>1508</v>
      </c>
    </row>
    <row r="37" spans="1:6" ht="12.75">
      <c r="A37" s="121" t="s">
        <v>26</v>
      </c>
      <c r="B37" s="10">
        <v>2</v>
      </c>
      <c r="C37" s="10">
        <v>52</v>
      </c>
      <c r="D37" s="10"/>
      <c r="E37" s="123">
        <v>29</v>
      </c>
      <c r="F37" s="9">
        <f t="shared" si="0"/>
        <v>3016</v>
      </c>
    </row>
    <row r="38" spans="1:6" ht="12.75">
      <c r="A38" s="121" t="s">
        <v>27</v>
      </c>
      <c r="B38" s="10">
        <v>4</v>
      </c>
      <c r="C38" s="10">
        <v>52</v>
      </c>
      <c r="D38" s="10"/>
      <c r="E38" s="124">
        <v>51</v>
      </c>
      <c r="F38" s="9">
        <f t="shared" si="0"/>
        <v>10608</v>
      </c>
    </row>
    <row r="39" spans="1:6" ht="12.75">
      <c r="A39" s="121" t="s">
        <v>23</v>
      </c>
      <c r="B39" s="10">
        <v>36</v>
      </c>
      <c r="C39" s="10">
        <v>52</v>
      </c>
      <c r="D39" s="10"/>
      <c r="E39" s="124">
        <v>77</v>
      </c>
      <c r="F39" s="9">
        <f t="shared" si="0"/>
        <v>144144</v>
      </c>
    </row>
    <row r="40" spans="1:6" ht="12.75">
      <c r="A40" s="121" t="s">
        <v>90</v>
      </c>
      <c r="B40" s="10">
        <v>2</v>
      </c>
      <c r="C40" s="10">
        <v>52</v>
      </c>
      <c r="D40" s="10"/>
      <c r="E40" s="124">
        <f>+E39*2</f>
        <v>154</v>
      </c>
      <c r="F40" s="9">
        <f t="shared" si="0"/>
        <v>16016</v>
      </c>
    </row>
    <row r="41" spans="1:6" ht="12.75">
      <c r="A41" s="121" t="s">
        <v>91</v>
      </c>
      <c r="B41" s="10">
        <v>2</v>
      </c>
      <c r="C41" s="10">
        <v>52</v>
      </c>
      <c r="D41" s="10"/>
      <c r="E41" s="124">
        <f>+E39*3</f>
        <v>231</v>
      </c>
      <c r="F41" s="9">
        <f t="shared" si="0"/>
        <v>24024</v>
      </c>
    </row>
    <row r="42" spans="1:6" ht="12.75">
      <c r="A42" s="121" t="s">
        <v>92</v>
      </c>
      <c r="B42" s="10">
        <v>1</v>
      </c>
      <c r="C42" s="10">
        <v>52</v>
      </c>
      <c r="D42" s="10"/>
      <c r="E42" s="124">
        <f>+E39*4</f>
        <v>308</v>
      </c>
      <c r="F42" s="9">
        <f t="shared" si="0"/>
        <v>16016</v>
      </c>
    </row>
    <row r="43" spans="1:6" ht="12.75">
      <c r="A43" s="121" t="s">
        <v>93</v>
      </c>
      <c r="B43" s="10">
        <v>1</v>
      </c>
      <c r="C43" s="10">
        <v>52</v>
      </c>
      <c r="D43" s="10"/>
      <c r="E43" s="124">
        <f>+E39*6</f>
        <v>462</v>
      </c>
      <c r="F43" s="9">
        <f t="shared" si="0"/>
        <v>24024</v>
      </c>
    </row>
    <row r="44" spans="1:6" ht="12.75">
      <c r="A44" s="121" t="s">
        <v>94</v>
      </c>
      <c r="B44" s="10">
        <v>1</v>
      </c>
      <c r="C44" s="10">
        <v>52</v>
      </c>
      <c r="D44" s="10"/>
      <c r="E44" s="124">
        <f>+E39*8</f>
        <v>616</v>
      </c>
      <c r="F44" s="9">
        <f t="shared" si="0"/>
        <v>32032</v>
      </c>
    </row>
    <row r="45" spans="1:6" ht="12.75">
      <c r="A45" s="121" t="s">
        <v>95</v>
      </c>
      <c r="B45" s="10">
        <v>1</v>
      </c>
      <c r="C45" s="10">
        <v>52</v>
      </c>
      <c r="D45" s="10"/>
      <c r="E45" s="124">
        <f>+E39*9</f>
        <v>693</v>
      </c>
      <c r="F45" s="9">
        <f t="shared" si="0"/>
        <v>36036</v>
      </c>
    </row>
    <row r="46" spans="1:6" ht="12.75">
      <c r="A46" s="31" t="s">
        <v>72</v>
      </c>
      <c r="B46" s="10"/>
      <c r="C46" s="10">
        <v>7</v>
      </c>
      <c r="D46" s="4"/>
      <c r="E46" s="125">
        <v>1800</v>
      </c>
      <c r="F46" s="9">
        <f>SUM(C46*E46)</f>
        <v>12600</v>
      </c>
    </row>
    <row r="47" spans="1:6" ht="12.75">
      <c r="A47" s="31" t="s">
        <v>13</v>
      </c>
      <c r="B47" s="10"/>
      <c r="C47" s="121">
        <v>106</v>
      </c>
      <c r="D47" s="4"/>
      <c r="E47" s="125">
        <v>2400</v>
      </c>
      <c r="F47" s="9">
        <f aca="true" t="shared" si="1" ref="F47:F53">SUM(C47*E47)</f>
        <v>254400</v>
      </c>
    </row>
    <row r="48" spans="1:6" ht="12.75">
      <c r="A48" s="31" t="s">
        <v>14</v>
      </c>
      <c r="B48" s="10"/>
      <c r="C48" s="10">
        <v>19</v>
      </c>
      <c r="D48" s="4"/>
      <c r="E48" s="125">
        <v>3000</v>
      </c>
      <c r="F48" s="9">
        <f>SUM(C48*E48)</f>
        <v>57000</v>
      </c>
    </row>
    <row r="49" spans="1:6" ht="12.75">
      <c r="A49" s="31" t="s">
        <v>15</v>
      </c>
      <c r="B49" s="10"/>
      <c r="C49" s="10">
        <v>456</v>
      </c>
      <c r="D49" s="4"/>
      <c r="E49" s="125">
        <v>3600</v>
      </c>
      <c r="F49" s="9">
        <f t="shared" si="1"/>
        <v>1641600</v>
      </c>
    </row>
    <row r="50" spans="1:6" ht="12.75">
      <c r="A50" s="31" t="s">
        <v>96</v>
      </c>
      <c r="B50" s="10"/>
      <c r="C50" s="10">
        <v>19</v>
      </c>
      <c r="D50" s="4"/>
      <c r="E50" s="125">
        <v>4800</v>
      </c>
      <c r="F50" s="9">
        <f>SUM(C50*E50)</f>
        <v>91200</v>
      </c>
    </row>
    <row r="51" spans="1:6" ht="12.75">
      <c r="A51" s="31" t="s">
        <v>97</v>
      </c>
      <c r="B51" s="10"/>
      <c r="C51" s="10">
        <v>2</v>
      </c>
      <c r="D51" s="4"/>
      <c r="E51" s="125">
        <v>6000</v>
      </c>
      <c r="F51" s="9">
        <f>SUM(C51*E51)</f>
        <v>12000</v>
      </c>
    </row>
    <row r="52" spans="1:6" ht="12.75">
      <c r="A52" s="31" t="s">
        <v>16</v>
      </c>
      <c r="B52" s="10"/>
      <c r="C52" s="10">
        <v>19</v>
      </c>
      <c r="D52" s="4"/>
      <c r="E52" s="125">
        <v>9000</v>
      </c>
      <c r="F52" s="9">
        <f t="shared" si="1"/>
        <v>171000</v>
      </c>
    </row>
    <row r="53" spans="1:6" ht="12.75">
      <c r="A53" s="31" t="s">
        <v>17</v>
      </c>
      <c r="B53" s="10"/>
      <c r="C53" s="10">
        <v>48</v>
      </c>
      <c r="D53" s="4"/>
      <c r="E53" s="125">
        <v>10800</v>
      </c>
      <c r="F53" s="9">
        <f t="shared" si="1"/>
        <v>518400</v>
      </c>
    </row>
    <row r="54" spans="1:6" ht="12.75">
      <c r="A54" s="31" t="s">
        <v>51</v>
      </c>
      <c r="B54" s="10"/>
      <c r="C54" s="10">
        <v>5</v>
      </c>
      <c r="D54" s="4"/>
      <c r="E54" s="125">
        <f>+E53/30*40</f>
        <v>14400</v>
      </c>
      <c r="F54" s="9">
        <f>SUM(C54*E54)</f>
        <v>72000</v>
      </c>
    </row>
    <row r="55" spans="1:6" ht="13.5" thickBot="1">
      <c r="A55" s="142" t="s">
        <v>18</v>
      </c>
      <c r="B55" s="5">
        <f>SUM(B10:B54)</f>
        <v>377</v>
      </c>
      <c r="C55" s="5">
        <f>SUM(C10:C54)</f>
        <v>2631</v>
      </c>
      <c r="D55" s="5"/>
      <c r="E55" s="143"/>
      <c r="F55" s="144"/>
    </row>
    <row r="56" spans="5:6" ht="14.25" thickBot="1" thickTop="1">
      <c r="E56" s="119" t="s">
        <v>19</v>
      </c>
      <c r="F56" s="120">
        <f>SUM(F10:F55)</f>
        <v>11085304</v>
      </c>
    </row>
    <row r="57" ht="13.5" thickTop="1"/>
  </sheetData>
  <sheetProtection/>
  <mergeCells count="1">
    <mergeCell ref="A5:F5"/>
  </mergeCells>
  <printOptions/>
  <pageMargins left="0.45" right="0.2" top="0.5" bottom="0.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WMX Technologies, Inc.</dc:creator>
  <cp:keywords/>
  <dc:description/>
  <cp:lastModifiedBy>Weinstein, Mike</cp:lastModifiedBy>
  <cp:lastPrinted>2017-02-07T19:35:18Z</cp:lastPrinted>
  <dcterms:created xsi:type="dcterms:W3CDTF">2000-01-25T20:04:16Z</dcterms:created>
  <dcterms:modified xsi:type="dcterms:W3CDTF">2017-02-07T19:35:39Z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CaseCompanyNam">
    <vt:lpwstr>Waste Management of Washington,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170086</vt:lpwstr>
  </property>
  <property fmtid="{D5CDD505-2E9C-101B-9397-08002B2CF9AE}" pid="9" name="Dat">
    <vt:lpwstr>2017-02-07T00:00:00Z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2017-02-07T00:00:00Z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