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 tabRatio="601"/>
  </bookViews>
  <sheets>
    <sheet name="References" sheetId="19" r:id="rId1"/>
    <sheet name="DF Calculation" sheetId="20" r:id="rId2"/>
    <sheet name="Proposed Rates" sheetId="21" r:id="rId3"/>
    <sheet name="DF Tons" sheetId="22" r:id="rId4"/>
    <sheet name="Vashon Total 16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[5]ControlPanel!$Z$2:$Z$5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'[6]Vashon BS'!#REF!</definedName>
    <definedName name="DistrictNum">#REF!</definedName>
    <definedName name="drlFilter">[1]Settings!$D$27</definedName>
    <definedName name="End">#REF!</definedName>
    <definedName name="ExcludeIC">'[6]Vashon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1">'DF Calculation'!$A$1:$R$59</definedName>
    <definedName name="_xlnm.Print_Area" localSheetId="2">'Proposed Rates'!$A$1:$F$69</definedName>
    <definedName name="_xlnm.Print_Area" localSheetId="4">'Vashon Total 16'!$A$1:$F$109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1">'DF Calculation'!$C:$C,'DF Calculation'!$1:$6</definedName>
    <definedName name="_xlnm.Print_Titles" localSheetId="2">'Proposed Rates'!$5:$5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[8]ControlPanel!$S$2:$S$16</definedName>
    <definedName name="ReportVersion">[1]Settings!$D$5</definedName>
    <definedName name="RetainedEarnings">#REF!</definedName>
    <definedName name="RevCust">[9]RevenuesCust!#REF!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'[6]Vashon BS'!#REF!</definedName>
    <definedName name="YWMedWasteDisp">#N/A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M31" i="20" l="1"/>
  <c r="M24" i="20"/>
  <c r="M23" i="20"/>
  <c r="M22" i="20"/>
  <c r="M21" i="20"/>
  <c r="M50" i="20"/>
  <c r="M49" i="20"/>
  <c r="D63" i="19"/>
  <c r="D62" i="19"/>
  <c r="E50" i="20"/>
  <c r="E49" i="20"/>
  <c r="E48" i="20"/>
  <c r="E46" i="20"/>
  <c r="G50" i="20"/>
  <c r="G49" i="20"/>
  <c r="G48" i="20"/>
  <c r="G47" i="20"/>
  <c r="G46" i="20"/>
  <c r="E11" i="20" l="1"/>
  <c r="E10" i="20"/>
  <c r="C22" i="22"/>
  <c r="D25" i="13" l="1"/>
  <c r="C55" i="19"/>
  <c r="R49" i="20" l="1"/>
  <c r="D104" i="13" l="1"/>
  <c r="D103" i="13"/>
  <c r="D102" i="13"/>
  <c r="D106" i="13" s="1"/>
  <c r="M46" i="20" l="1"/>
  <c r="M48" i="20"/>
  <c r="M47" i="20"/>
  <c r="H48" i="20"/>
  <c r="G21" i="22"/>
  <c r="G20" i="22"/>
  <c r="G19" i="22"/>
  <c r="G18" i="22"/>
  <c r="G17" i="22"/>
  <c r="G16" i="22"/>
  <c r="G15" i="22"/>
  <c r="G14" i="22"/>
  <c r="G13" i="22"/>
  <c r="G12" i="22"/>
  <c r="G11" i="22"/>
  <c r="G10" i="22"/>
  <c r="F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G22" i="22" l="1"/>
  <c r="C69" i="19"/>
  <c r="D55" i="20"/>
  <c r="F24" i="22"/>
  <c r="F26" i="22" s="1"/>
  <c r="F28" i="22" s="1"/>
  <c r="D22" i="22"/>
  <c r="H46" i="20"/>
  <c r="M39" i="20"/>
  <c r="M38" i="20"/>
  <c r="M37" i="20"/>
  <c r="M30" i="20"/>
  <c r="M29" i="20"/>
  <c r="E28" i="20"/>
  <c r="E26" i="20"/>
  <c r="E25" i="20"/>
  <c r="M28" i="20"/>
  <c r="M27" i="20"/>
  <c r="M26" i="20"/>
  <c r="M25" i="20"/>
  <c r="E33" i="20"/>
  <c r="E32" i="20"/>
  <c r="M18" i="20"/>
  <c r="D34" i="21"/>
  <c r="M10" i="20"/>
  <c r="M20" i="20"/>
  <c r="C24" i="22" l="1"/>
  <c r="C26" i="22" s="1"/>
  <c r="Q49" i="20"/>
  <c r="D56" i="20"/>
  <c r="G37" i="20" l="1"/>
  <c r="E37" i="20"/>
  <c r="M36" i="20"/>
  <c r="M35" i="20"/>
  <c r="M34" i="20"/>
  <c r="M32" i="20"/>
  <c r="M33" i="20"/>
  <c r="M19" i="20"/>
  <c r="M15" i="20"/>
  <c r="M14" i="20"/>
  <c r="M13" i="20"/>
  <c r="M12" i="20"/>
  <c r="M11" i="20"/>
  <c r="M9" i="20"/>
  <c r="M8" i="20"/>
  <c r="G38" i="20"/>
  <c r="G24" i="20"/>
  <c r="G23" i="20"/>
  <c r="G22" i="20"/>
  <c r="G21" i="20"/>
  <c r="G20" i="20"/>
  <c r="G15" i="20"/>
  <c r="G14" i="20"/>
  <c r="G13" i="20"/>
  <c r="G12" i="20"/>
  <c r="G11" i="20"/>
  <c r="G10" i="20"/>
  <c r="G8" i="20"/>
  <c r="G9" i="20"/>
  <c r="G36" i="20"/>
  <c r="G35" i="20"/>
  <c r="G34" i="20"/>
  <c r="G33" i="20"/>
  <c r="G32" i="20"/>
  <c r="G31" i="20"/>
  <c r="G30" i="20"/>
  <c r="G29" i="20"/>
  <c r="G27" i="20"/>
  <c r="G28" i="20"/>
  <c r="G26" i="20"/>
  <c r="G25" i="20"/>
  <c r="G18" i="20"/>
  <c r="G19" i="20"/>
  <c r="E38" i="20"/>
  <c r="E27" i="20"/>
  <c r="E24" i="20"/>
  <c r="E23" i="20"/>
  <c r="E22" i="20"/>
  <c r="E21" i="20"/>
  <c r="E20" i="20"/>
  <c r="E39" i="20"/>
  <c r="E36" i="20"/>
  <c r="E35" i="20"/>
  <c r="E34" i="20"/>
  <c r="E31" i="20"/>
  <c r="E30" i="20"/>
  <c r="E29" i="20"/>
  <c r="E19" i="20"/>
  <c r="E18" i="20"/>
  <c r="E8" i="20"/>
  <c r="E15" i="20"/>
  <c r="E14" i="20"/>
  <c r="E13" i="20"/>
  <c r="E12" i="20"/>
  <c r="E9" i="20"/>
  <c r="E34" i="21"/>
  <c r="H49" i="20"/>
  <c r="G39" i="20"/>
  <c r="C64" i="19"/>
  <c r="C67" i="19" s="1"/>
  <c r="C68" i="19" s="1"/>
  <c r="C70" i="19" s="1"/>
  <c r="H63" i="19"/>
  <c r="H65" i="19" s="1"/>
  <c r="H67" i="19" s="1"/>
  <c r="H62" i="19"/>
  <c r="C57" i="19"/>
  <c r="C56" i="19"/>
  <c r="C53" i="19"/>
  <c r="C52" i="19"/>
  <c r="C51" i="19"/>
  <c r="C49" i="19"/>
  <c r="C48" i="19"/>
  <c r="C47" i="19"/>
  <c r="C46" i="19"/>
  <c r="C44" i="19"/>
  <c r="C43" i="19"/>
  <c r="C42" i="19"/>
  <c r="I13" i="19"/>
  <c r="H13" i="19"/>
  <c r="E13" i="19"/>
  <c r="D13" i="19"/>
  <c r="C13" i="19"/>
  <c r="G13" i="19" s="1"/>
  <c r="C12" i="19"/>
  <c r="F12" i="19" s="1"/>
  <c r="F11" i="19"/>
  <c r="C11" i="19"/>
  <c r="I11" i="19" s="1"/>
  <c r="I10" i="19"/>
  <c r="H10" i="19"/>
  <c r="F10" i="19"/>
  <c r="E10" i="19"/>
  <c r="D10" i="19"/>
  <c r="C10" i="19"/>
  <c r="G10" i="19" s="1"/>
  <c r="I9" i="19"/>
  <c r="H9" i="19"/>
  <c r="E9" i="19"/>
  <c r="D9" i="19"/>
  <c r="C9" i="19"/>
  <c r="G9" i="19" s="1"/>
  <c r="C8" i="19"/>
  <c r="F8" i="19" s="1"/>
  <c r="F7" i="19"/>
  <c r="C7" i="19"/>
  <c r="I7" i="19" s="1"/>
  <c r="E64" i="19" l="1"/>
  <c r="D64" i="19"/>
  <c r="H50" i="20"/>
  <c r="H47" i="20"/>
  <c r="G7" i="19"/>
  <c r="H8" i="19"/>
  <c r="D12" i="19"/>
  <c r="D7" i="19"/>
  <c r="H7" i="19"/>
  <c r="E8" i="19"/>
  <c r="I8" i="19"/>
  <c r="F9" i="19"/>
  <c r="D11" i="19"/>
  <c r="H11" i="19"/>
  <c r="E12" i="19"/>
  <c r="I12" i="19"/>
  <c r="F13" i="19"/>
  <c r="G8" i="19"/>
  <c r="G12" i="19"/>
  <c r="D8" i="19"/>
  <c r="G11" i="19"/>
  <c r="H12" i="19"/>
  <c r="E7" i="19"/>
  <c r="E11" i="19"/>
  <c r="D97" i="13" l="1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4" i="13"/>
  <c r="F23" i="13"/>
  <c r="F22" i="13"/>
  <c r="F21" i="13"/>
  <c r="F20" i="13"/>
  <c r="F19" i="13"/>
  <c r="F16" i="13"/>
  <c r="F14" i="13"/>
  <c r="F13" i="13"/>
  <c r="F12" i="13"/>
  <c r="F11" i="13"/>
  <c r="F10" i="13"/>
  <c r="F9" i="13"/>
  <c r="F8" i="13"/>
  <c r="F7" i="13"/>
  <c r="F18" i="13" l="1"/>
  <c r="D87" i="13"/>
  <c r="D58" i="13"/>
  <c r="F28" i="13"/>
  <c r="F6" i="13"/>
  <c r="F15" i="13"/>
  <c r="D98" i="13"/>
  <c r="E7" i="13"/>
  <c r="E9" i="13"/>
  <c r="E11" i="13"/>
  <c r="E13" i="13"/>
  <c r="E15" i="13"/>
  <c r="E18" i="13"/>
  <c r="D9" i="20" s="1"/>
  <c r="F9" i="20" s="1"/>
  <c r="E20" i="13"/>
  <c r="D10" i="20" s="1"/>
  <c r="F10" i="20" s="1"/>
  <c r="E22" i="13"/>
  <c r="D13" i="20" s="1"/>
  <c r="F13" i="20" s="1"/>
  <c r="E24" i="13"/>
  <c r="D15" i="20" s="1"/>
  <c r="F15" i="20" s="1"/>
  <c r="E6" i="13"/>
  <c r="D8" i="20" s="1"/>
  <c r="E8" i="13"/>
  <c r="E10" i="13"/>
  <c r="E12" i="13"/>
  <c r="E14" i="13"/>
  <c r="E16" i="13"/>
  <c r="E19" i="13"/>
  <c r="D11" i="20" s="1"/>
  <c r="F11" i="20" s="1"/>
  <c r="E21" i="13"/>
  <c r="D12" i="20" s="1"/>
  <c r="F12" i="20" s="1"/>
  <c r="E23" i="13"/>
  <c r="D14" i="20" s="1"/>
  <c r="F14" i="20" s="1"/>
  <c r="D16" i="20" l="1"/>
  <c r="D95" i="13"/>
  <c r="D96" i="13"/>
  <c r="H12" i="20"/>
  <c r="P12" i="20"/>
  <c r="H14" i="20"/>
  <c r="P14" i="20"/>
  <c r="F8" i="20"/>
  <c r="P8" i="20"/>
  <c r="P9" i="20"/>
  <c r="H9" i="20"/>
  <c r="P11" i="20"/>
  <c r="H11" i="20"/>
  <c r="P13" i="20"/>
  <c r="H13" i="20"/>
  <c r="H15" i="20"/>
  <c r="P15" i="20"/>
  <c r="P10" i="20"/>
  <c r="H10" i="20"/>
  <c r="D94" i="13"/>
  <c r="D89" i="13"/>
  <c r="P16" i="20" l="1"/>
  <c r="F16" i="20"/>
  <c r="D99" i="13"/>
  <c r="D108" i="13" s="1"/>
  <c r="H8" i="20"/>
  <c r="H16" i="20" s="1"/>
  <c r="E99" i="13" l="1"/>
  <c r="E40" i="13"/>
  <c r="E39" i="13"/>
  <c r="E38" i="13"/>
  <c r="E63" i="13"/>
  <c r="E64" i="13"/>
  <c r="E67" i="13"/>
  <c r="E68" i="13"/>
  <c r="E69" i="13"/>
  <c r="E72" i="13"/>
  <c r="E73" i="13"/>
  <c r="E74" i="13"/>
  <c r="E75" i="13"/>
  <c r="E76" i="13"/>
  <c r="E77" i="13"/>
  <c r="E80" i="13"/>
  <c r="E81" i="13"/>
  <c r="E82" i="13"/>
  <c r="E83" i="13"/>
  <c r="E85" i="13"/>
  <c r="E29" i="13"/>
  <c r="D22" i="20" s="1"/>
  <c r="F22" i="20" s="1"/>
  <c r="E30" i="13"/>
  <c r="D23" i="20" s="1"/>
  <c r="F23" i="20" s="1"/>
  <c r="E31" i="13"/>
  <c r="D24" i="20" s="1"/>
  <c r="F24" i="20" s="1"/>
  <c r="E37" i="13"/>
  <c r="E41" i="13"/>
  <c r="D37" i="20" s="1"/>
  <c r="E42" i="13"/>
  <c r="D25" i="20" s="1"/>
  <c r="E43" i="13"/>
  <c r="E44" i="13"/>
  <c r="E45" i="13"/>
  <c r="D38" i="20" s="1"/>
  <c r="E46" i="13"/>
  <c r="D26" i="20" s="1"/>
  <c r="E47" i="13"/>
  <c r="D27" i="20" s="1"/>
  <c r="F27" i="20" s="1"/>
  <c r="E48" i="13"/>
  <c r="D28" i="20" s="1"/>
  <c r="E49" i="13"/>
  <c r="D29" i="20" s="1"/>
  <c r="F29" i="20" s="1"/>
  <c r="E50" i="13"/>
  <c r="D30" i="20" s="1"/>
  <c r="F30" i="20" s="1"/>
  <c r="E51" i="13"/>
  <c r="D31" i="20" s="1"/>
  <c r="F31" i="20" s="1"/>
  <c r="E52" i="13"/>
  <c r="D32" i="20" s="1"/>
  <c r="F32" i="20" s="1"/>
  <c r="E53" i="13"/>
  <c r="D33" i="20" s="1"/>
  <c r="F33" i="20" s="1"/>
  <c r="E54" i="13"/>
  <c r="D34" i="20" s="1"/>
  <c r="F34" i="20" s="1"/>
  <c r="E55" i="13"/>
  <c r="D35" i="20" s="1"/>
  <c r="F35" i="20" s="1"/>
  <c r="E57" i="13"/>
  <c r="D39" i="20" s="1"/>
  <c r="E62" i="13"/>
  <c r="E84" i="13"/>
  <c r="P34" i="20" l="1"/>
  <c r="H34" i="20"/>
  <c r="P25" i="20"/>
  <c r="F25" i="20"/>
  <c r="H25" i="20" s="1"/>
  <c r="H35" i="20"/>
  <c r="P35" i="20"/>
  <c r="H31" i="20"/>
  <c r="P31" i="20"/>
  <c r="P27" i="20"/>
  <c r="H27" i="20"/>
  <c r="P24" i="20"/>
  <c r="H24" i="20"/>
  <c r="H30" i="20"/>
  <c r="P30" i="20"/>
  <c r="F26" i="20"/>
  <c r="H26" i="20" s="1"/>
  <c r="P26" i="20"/>
  <c r="P29" i="20"/>
  <c r="H29" i="20"/>
  <c r="F38" i="20"/>
  <c r="H38" i="20" s="1"/>
  <c r="P38" i="20"/>
  <c r="P37" i="20"/>
  <c r="F37" i="20"/>
  <c r="H37" i="20" s="1"/>
  <c r="P22" i="20"/>
  <c r="H22" i="20"/>
  <c r="H23" i="20"/>
  <c r="P23" i="20"/>
  <c r="H33" i="20"/>
  <c r="P33" i="20"/>
  <c r="F39" i="20"/>
  <c r="H39" i="20" s="1"/>
  <c r="P39" i="20"/>
  <c r="H32" i="20"/>
  <c r="P32" i="20"/>
  <c r="F28" i="20"/>
  <c r="H28" i="20" s="1"/>
  <c r="P28" i="20"/>
  <c r="E32" i="13"/>
  <c r="D20" i="20" s="1"/>
  <c r="E56" i="13"/>
  <c r="D36" i="20" s="1"/>
  <c r="F36" i="20" s="1"/>
  <c r="E35" i="13"/>
  <c r="E36" i="13"/>
  <c r="E33" i="13"/>
  <c r="D18" i="20" s="1"/>
  <c r="E34" i="13"/>
  <c r="D19" i="20" s="1"/>
  <c r="F19" i="20" s="1"/>
  <c r="E28" i="13"/>
  <c r="D21" i="20" s="1"/>
  <c r="F21" i="20" s="1"/>
  <c r="D40" i="20" l="1"/>
  <c r="D42" i="20" s="1"/>
  <c r="P19" i="20"/>
  <c r="H19" i="20"/>
  <c r="H36" i="20"/>
  <c r="P36" i="20"/>
  <c r="F18" i="20"/>
  <c r="F20" i="20"/>
  <c r="H20" i="20" s="1"/>
  <c r="P20" i="20"/>
  <c r="P21" i="20"/>
  <c r="H21" i="20"/>
  <c r="F40" i="20" l="1"/>
  <c r="P18" i="20"/>
  <c r="P40" i="20" s="1"/>
  <c r="P42" i="20" s="1"/>
  <c r="H18" i="20"/>
  <c r="F42" i="20" l="1"/>
  <c r="D57" i="20" s="1"/>
  <c r="H40" i="20"/>
  <c r="H42" i="20" l="1"/>
  <c r="D58" i="20" s="1"/>
  <c r="I10" i="20" l="1"/>
  <c r="J10" i="20" s="1"/>
  <c r="K10" i="20" s="1"/>
  <c r="L10" i="20" s="1"/>
  <c r="D10" i="21" s="1"/>
  <c r="I9" i="20"/>
  <c r="J9" i="20" s="1"/>
  <c r="K9" i="20" s="1"/>
  <c r="L9" i="20" s="1"/>
  <c r="N9" i="20" s="1"/>
  <c r="I24" i="20"/>
  <c r="J24" i="20" s="1"/>
  <c r="K24" i="20" s="1"/>
  <c r="L24" i="20" s="1"/>
  <c r="N24" i="20" s="1"/>
  <c r="Q24" i="20" s="1"/>
  <c r="R24" i="20" s="1"/>
  <c r="I12" i="20"/>
  <c r="J12" i="20" s="1"/>
  <c r="K12" i="20" s="1"/>
  <c r="L12" i="20" s="1"/>
  <c r="N12" i="20" s="1"/>
  <c r="I49" i="20"/>
  <c r="J49" i="20" s="1"/>
  <c r="K49" i="20" s="1"/>
  <c r="L49" i="20" s="1"/>
  <c r="I20" i="20"/>
  <c r="J20" i="20" s="1"/>
  <c r="K20" i="20" s="1"/>
  <c r="L20" i="20" s="1"/>
  <c r="I22" i="20"/>
  <c r="J22" i="20" s="1"/>
  <c r="K22" i="20" s="1"/>
  <c r="L22" i="20" s="1"/>
  <c r="N22" i="20" s="1"/>
  <c r="Q22" i="20" s="1"/>
  <c r="R22" i="20" s="1"/>
  <c r="I18" i="20"/>
  <c r="J18" i="20" s="1"/>
  <c r="K18" i="20" s="1"/>
  <c r="I36" i="20"/>
  <c r="J36" i="20" s="1"/>
  <c r="K36" i="20" s="1"/>
  <c r="L36" i="20" s="1"/>
  <c r="I47" i="20"/>
  <c r="J47" i="20" s="1"/>
  <c r="K47" i="20" s="1"/>
  <c r="L47" i="20" s="1"/>
  <c r="N47" i="20" s="1"/>
  <c r="I32" i="20"/>
  <c r="J32" i="20" s="1"/>
  <c r="K32" i="20" s="1"/>
  <c r="L32" i="20" s="1"/>
  <c r="D53" i="21" s="1"/>
  <c r="E53" i="21" s="1"/>
  <c r="O32" i="20" s="1"/>
  <c r="I8" i="20"/>
  <c r="J8" i="20" s="1"/>
  <c r="K8" i="20" s="1"/>
  <c r="I34" i="20"/>
  <c r="J34" i="20" s="1"/>
  <c r="K34" i="20" s="1"/>
  <c r="L34" i="20" s="1"/>
  <c r="D38" i="21" s="1"/>
  <c r="E38" i="21" s="1"/>
  <c r="O34" i="20" s="1"/>
  <c r="I15" i="20"/>
  <c r="J15" i="20" s="1"/>
  <c r="K15" i="20" s="1"/>
  <c r="L15" i="20" s="1"/>
  <c r="I23" i="20"/>
  <c r="J23" i="20" s="1"/>
  <c r="K23" i="20" s="1"/>
  <c r="L23" i="20" s="1"/>
  <c r="N23" i="20" s="1"/>
  <c r="Q23" i="20" s="1"/>
  <c r="R23" i="20" s="1"/>
  <c r="I37" i="20"/>
  <c r="J37" i="20" s="1"/>
  <c r="K37" i="20" s="1"/>
  <c r="L37" i="20" s="1"/>
  <c r="D48" i="21" s="1"/>
  <c r="E48" i="21" s="1"/>
  <c r="O37" i="20" s="1"/>
  <c r="I31" i="20"/>
  <c r="J31" i="20" s="1"/>
  <c r="K31" i="20" s="1"/>
  <c r="L31" i="20" s="1"/>
  <c r="N31" i="20" s="1"/>
  <c r="Q31" i="20" s="1"/>
  <c r="R31" i="20" s="1"/>
  <c r="I48" i="20"/>
  <c r="J48" i="20" s="1"/>
  <c r="K48" i="20" s="1"/>
  <c r="L48" i="20" s="1"/>
  <c r="N48" i="20" s="1"/>
  <c r="I50" i="20"/>
  <c r="J50" i="20" s="1"/>
  <c r="K50" i="20" s="1"/>
  <c r="L50" i="20" s="1"/>
  <c r="I25" i="20"/>
  <c r="J25" i="20" s="1"/>
  <c r="K25" i="20" s="1"/>
  <c r="L25" i="20" s="1"/>
  <c r="D43" i="21" s="1"/>
  <c r="E43" i="21" s="1"/>
  <c r="O25" i="20" s="1"/>
  <c r="I39" i="20"/>
  <c r="J39" i="20" s="1"/>
  <c r="K39" i="20" s="1"/>
  <c r="L39" i="20" s="1"/>
  <c r="I46" i="20"/>
  <c r="J46" i="20" s="1"/>
  <c r="K46" i="20" s="1"/>
  <c r="L46" i="20" s="1"/>
  <c r="D7" i="21" s="1"/>
  <c r="I14" i="20"/>
  <c r="J14" i="20" s="1"/>
  <c r="K14" i="20" s="1"/>
  <c r="L14" i="20" s="1"/>
  <c r="N14" i="20" s="1"/>
  <c r="I21" i="20"/>
  <c r="J21" i="20" s="1"/>
  <c r="K21" i="20" s="1"/>
  <c r="I35" i="20"/>
  <c r="J35" i="20" s="1"/>
  <c r="K35" i="20" s="1"/>
  <c r="L35" i="20" s="1"/>
  <c r="N35" i="20" s="1"/>
  <c r="Q35" i="20" s="1"/>
  <c r="R35" i="20" s="1"/>
  <c r="I33" i="20"/>
  <c r="J33" i="20" s="1"/>
  <c r="K33" i="20" s="1"/>
  <c r="L33" i="20" s="1"/>
  <c r="N33" i="20" s="1"/>
  <c r="Q33" i="20" s="1"/>
  <c r="R33" i="20" s="1"/>
  <c r="I11" i="20"/>
  <c r="J11" i="20" s="1"/>
  <c r="K11" i="20" s="1"/>
  <c r="L11" i="20" s="1"/>
  <c r="N11" i="20" s="1"/>
  <c r="I19" i="20"/>
  <c r="J19" i="20" s="1"/>
  <c r="K19" i="20" s="1"/>
  <c r="I29" i="20"/>
  <c r="J29" i="20" s="1"/>
  <c r="K29" i="20" s="1"/>
  <c r="L29" i="20" s="1"/>
  <c r="N29" i="20" s="1"/>
  <c r="Q29" i="20" s="1"/>
  <c r="R29" i="20" s="1"/>
  <c r="I26" i="20"/>
  <c r="J26" i="20" s="1"/>
  <c r="K26" i="20" s="1"/>
  <c r="L26" i="20" s="1"/>
  <c r="I30" i="20"/>
  <c r="J30" i="20" s="1"/>
  <c r="K30" i="20" s="1"/>
  <c r="L30" i="20" s="1"/>
  <c r="N30" i="20" s="1"/>
  <c r="Q30" i="20" s="1"/>
  <c r="R30" i="20" s="1"/>
  <c r="I38" i="20"/>
  <c r="J38" i="20" s="1"/>
  <c r="K38" i="20" s="1"/>
  <c r="L38" i="20" s="1"/>
  <c r="D49" i="21" s="1"/>
  <c r="E49" i="21" s="1"/>
  <c r="O38" i="20" s="1"/>
  <c r="I13" i="20"/>
  <c r="J13" i="20" s="1"/>
  <c r="K13" i="20" s="1"/>
  <c r="L13" i="20" s="1"/>
  <c r="I28" i="20"/>
  <c r="J28" i="20" s="1"/>
  <c r="K28" i="20" s="1"/>
  <c r="L28" i="20" s="1"/>
  <c r="D45" i="21" s="1"/>
  <c r="E45" i="21" s="1"/>
  <c r="I27" i="20"/>
  <c r="J27" i="20" s="1"/>
  <c r="K27" i="20" s="1"/>
  <c r="L27" i="20" s="1"/>
  <c r="N27" i="20" s="1"/>
  <c r="Q27" i="20" s="1"/>
  <c r="R27" i="20" s="1"/>
  <c r="D39" i="21"/>
  <c r="E39" i="21" s="1"/>
  <c r="D55" i="21"/>
  <c r="E55" i="21" s="1"/>
  <c r="O33" i="20" s="1"/>
  <c r="D16" i="21"/>
  <c r="E16" i="21" s="1"/>
  <c r="O15" i="20" s="1"/>
  <c r="N34" i="20"/>
  <c r="Q34" i="20" s="1"/>
  <c r="R34" i="20" s="1"/>
  <c r="N25" i="20" l="1"/>
  <c r="Q25" i="20" s="1"/>
  <c r="R25" i="20" s="1"/>
  <c r="N50" i="20"/>
  <c r="D69" i="21"/>
  <c r="E69" i="21" s="1"/>
  <c r="O50" i="20" s="1"/>
  <c r="N49" i="20"/>
  <c r="D66" i="21"/>
  <c r="E66" i="21" s="1"/>
  <c r="O49" i="20" s="1"/>
  <c r="N28" i="20"/>
  <c r="Q28" i="20" s="1"/>
  <c r="R28" i="20" s="1"/>
  <c r="D54" i="21"/>
  <c r="E54" i="21" s="1"/>
  <c r="O48" i="20" s="1"/>
  <c r="N38" i="20"/>
  <c r="Q38" i="20" s="1"/>
  <c r="R38" i="20" s="1"/>
  <c r="N37" i="20"/>
  <c r="Q37" i="20" s="1"/>
  <c r="R37" i="20" s="1"/>
  <c r="N15" i="20"/>
  <c r="Q15" i="20" s="1"/>
  <c r="R15" i="20" s="1"/>
  <c r="D14" i="21"/>
  <c r="E14" i="21" s="1"/>
  <c r="O13" i="20" s="1"/>
  <c r="N13" i="20"/>
  <c r="Q13" i="20" s="1"/>
  <c r="R13" i="20" s="1"/>
  <c r="N10" i="20"/>
  <c r="Q10" i="20" s="1"/>
  <c r="R10" i="20" s="1"/>
  <c r="I16" i="20"/>
  <c r="J40" i="20"/>
  <c r="I40" i="20"/>
  <c r="I42" i="20" s="1"/>
  <c r="L19" i="20"/>
  <c r="L21" i="20"/>
  <c r="D13" i="21"/>
  <c r="E13" i="21" s="1"/>
  <c r="O12" i="20" s="1"/>
  <c r="Q12" i="20"/>
  <c r="R12" i="20" s="1"/>
  <c r="Q14" i="20"/>
  <c r="R14" i="20" s="1"/>
  <c r="D15" i="21"/>
  <c r="E15" i="21" s="1"/>
  <c r="O14" i="20" s="1"/>
  <c r="J16" i="20"/>
  <c r="D11" i="21"/>
  <c r="E11" i="21" s="1"/>
  <c r="O11" i="20" s="1"/>
  <c r="Q11" i="20"/>
  <c r="R11" i="20" s="1"/>
  <c r="K40" i="20"/>
  <c r="L18" i="20"/>
  <c r="N18" i="20" s="1"/>
  <c r="K16" i="20"/>
  <c r="L8" i="20"/>
  <c r="N8" i="20" s="1"/>
  <c r="N32" i="20"/>
  <c r="Q32" i="20" s="1"/>
  <c r="R32" i="20" s="1"/>
  <c r="N26" i="20"/>
  <c r="Q26" i="20" s="1"/>
  <c r="R26" i="20" s="1"/>
  <c r="D44" i="21"/>
  <c r="E44" i="21" s="1"/>
  <c r="O26" i="20" s="1"/>
  <c r="N46" i="20"/>
  <c r="D61" i="21"/>
  <c r="E61" i="21" s="1"/>
  <c r="O20" i="20" s="1"/>
  <c r="N20" i="20"/>
  <c r="Q20" i="20" s="1"/>
  <c r="R20" i="20" s="1"/>
  <c r="Q9" i="20"/>
  <c r="R9" i="20" s="1"/>
  <c r="D12" i="21"/>
  <c r="E12" i="21" s="1"/>
  <c r="O9" i="20" s="1"/>
  <c r="N39" i="20"/>
  <c r="Q39" i="20" s="1"/>
  <c r="R39" i="20" s="1"/>
  <c r="D50" i="21"/>
  <c r="E50" i="21" s="1"/>
  <c r="O39" i="20" s="1"/>
  <c r="D40" i="21"/>
  <c r="E40" i="21" s="1"/>
  <c r="O30" i="20" s="1"/>
  <c r="N36" i="20"/>
  <c r="Q36" i="20" s="1"/>
  <c r="R36" i="20" s="1"/>
  <c r="O35" i="20"/>
  <c r="O27" i="20"/>
  <c r="D58" i="21" l="1"/>
  <c r="E58" i="21" s="1"/>
  <c r="D60" i="21"/>
  <c r="E60" i="21" s="1"/>
  <c r="D59" i="21"/>
  <c r="E59" i="21" s="1"/>
  <c r="D31" i="21"/>
  <c r="E31" i="21" s="1"/>
  <c r="D25" i="21"/>
  <c r="E25" i="21" s="1"/>
  <c r="D28" i="21"/>
  <c r="E28" i="21" s="1"/>
  <c r="D24" i="21"/>
  <c r="E24" i="21" s="1"/>
  <c r="D27" i="21"/>
  <c r="E27" i="21" s="1"/>
  <c r="O19" i="20" s="1"/>
  <c r="D23" i="21"/>
  <c r="D26" i="21"/>
  <c r="E26" i="21" s="1"/>
  <c r="E7" i="21"/>
  <c r="O46" i="20" s="1"/>
  <c r="O28" i="20"/>
  <c r="O31" i="20"/>
  <c r="O36" i="20"/>
  <c r="O29" i="20"/>
  <c r="J42" i="20"/>
  <c r="E23" i="21"/>
  <c r="O47" i="20" s="1"/>
  <c r="N19" i="20"/>
  <c r="Q19" i="20" s="1"/>
  <c r="R19" i="20" s="1"/>
  <c r="K42" i="20"/>
  <c r="N21" i="20"/>
  <c r="Q21" i="20" s="1"/>
  <c r="R21" i="20" s="1"/>
  <c r="D20" i="21"/>
  <c r="E20" i="21" s="1"/>
  <c r="Q8" i="20"/>
  <c r="Q16" i="20" s="1"/>
  <c r="D19" i="21"/>
  <c r="E19" i="21" s="1"/>
  <c r="O8" i="20" s="1"/>
  <c r="D63" i="21"/>
  <c r="E63" i="21" s="1"/>
  <c r="O18" i="20" s="1"/>
  <c r="Q18" i="20"/>
  <c r="D62" i="21"/>
  <c r="E62" i="21" s="1"/>
  <c r="E10" i="21" l="1"/>
  <c r="O10" i="20" s="1"/>
  <c r="Q40" i="20"/>
  <c r="Q42" i="20" s="1"/>
  <c r="O24" i="20"/>
  <c r="O21" i="20"/>
  <c r="O22" i="20"/>
  <c r="O23" i="20"/>
  <c r="R18" i="20"/>
  <c r="R40" i="20" s="1"/>
  <c r="R8" i="20"/>
  <c r="R16" i="20" s="1"/>
  <c r="Q45" i="20" s="1"/>
  <c r="R42" i="20" l="1"/>
  <c r="Q46" i="20"/>
  <c r="R46" i="20" s="1"/>
  <c r="R45" i="20" l="1"/>
  <c r="Q47" i="20"/>
  <c r="Q51" i="20" s="1"/>
  <c r="C75" i="19"/>
  <c r="C76" i="19" s="1"/>
  <c r="C78" i="19" s="1"/>
</calcChain>
</file>

<file path=xl/comments1.xml><?xml version="1.0" encoding="utf-8"?>
<comments xmlns="http://schemas.openxmlformats.org/spreadsheetml/2006/main">
  <authors>
    <author>Ben Thompson</author>
  </authors>
  <commentList>
    <comment ref="F46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7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  <comment ref="F50" author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Hard coded.</t>
        </r>
      </text>
    </comment>
  </commentList>
</comments>
</file>

<file path=xl/sharedStrings.xml><?xml version="1.0" encoding="utf-8"?>
<sst xmlns="http://schemas.openxmlformats.org/spreadsheetml/2006/main" count="462" uniqueCount="340">
  <si>
    <t>RATE</t>
  </si>
  <si>
    <t>REVENUE</t>
  </si>
  <si>
    <t>CEX</t>
  </si>
  <si>
    <t>CEXYD</t>
  </si>
  <si>
    <t>R1.5YD2W</t>
  </si>
  <si>
    <t>R1YD1W</t>
  </si>
  <si>
    <t>R2YD1W</t>
  </si>
  <si>
    <t>R2YD2W</t>
  </si>
  <si>
    <t>R2YD3W</t>
  </si>
  <si>
    <t>R1.5YDEX</t>
  </si>
  <si>
    <t>R2YDEX</t>
  </si>
  <si>
    <t>TRIPRCANS</t>
  </si>
  <si>
    <t>RECYONLY</t>
  </si>
  <si>
    <t>RECYR</t>
  </si>
  <si>
    <t>REXTRA</t>
  </si>
  <si>
    <t>DRVNRW1</t>
  </si>
  <si>
    <t>PACKR</t>
  </si>
  <si>
    <t>20RW1</t>
  </si>
  <si>
    <t>32RM1</t>
  </si>
  <si>
    <t>32RW1</t>
  </si>
  <si>
    <t>32RW2</t>
  </si>
  <si>
    <t>32RW3</t>
  </si>
  <si>
    <t>32RW4</t>
  </si>
  <si>
    <t>Total</t>
  </si>
  <si>
    <t>Commercial</t>
  </si>
  <si>
    <t>R2YD4W</t>
  </si>
  <si>
    <t>R1YDEX</t>
  </si>
  <si>
    <t xml:space="preserve">Roll-off Hauls </t>
  </si>
  <si>
    <t>Permanent Drop Box</t>
  </si>
  <si>
    <t>20 yard</t>
  </si>
  <si>
    <t>25 yard</t>
  </si>
  <si>
    <t>30 yard</t>
  </si>
  <si>
    <t>Temporary Drop Box</t>
  </si>
  <si>
    <t>Temporary DB (rent)</t>
  </si>
  <si>
    <t>Other Charges:</t>
  </si>
  <si>
    <t>Temp DB delivery</t>
  </si>
  <si>
    <t>Tandem Axle</t>
  </si>
  <si>
    <t>Tipping Fee</t>
  </si>
  <si>
    <t>R1.5YD1M</t>
  </si>
  <si>
    <t>R1.5YD1W</t>
  </si>
  <si>
    <t>R1YDEOW</t>
  </si>
  <si>
    <t>Rorent20D</t>
  </si>
  <si>
    <t>Rorent20M</t>
  </si>
  <si>
    <t>Rorent25D</t>
  </si>
  <si>
    <t>Rorent25M</t>
  </si>
  <si>
    <t>Rorent30M</t>
  </si>
  <si>
    <t>Rorent30D</t>
  </si>
  <si>
    <t>DRVNRE1</t>
  </si>
  <si>
    <t>DRVNRW2</t>
  </si>
  <si>
    <t>32RE1</t>
  </si>
  <si>
    <t>Standby</t>
  </si>
  <si>
    <t>CTDEL</t>
  </si>
  <si>
    <t>R1.5YDEOW</t>
  </si>
  <si>
    <t>CTRIP</t>
  </si>
  <si>
    <t>Adjro</t>
  </si>
  <si>
    <t>Relocate</t>
  </si>
  <si>
    <t>Tipping Fee-Asbestos</t>
  </si>
  <si>
    <t>OBSTRUCTION</t>
  </si>
  <si>
    <t>STEPSR</t>
  </si>
  <si>
    <t>R1YD2W</t>
  </si>
  <si>
    <t>R2YDTPU</t>
  </si>
  <si>
    <t>RESTART FEE</t>
  </si>
  <si>
    <t>32CW1</t>
  </si>
  <si>
    <t>32CW2</t>
  </si>
  <si>
    <t>32CW3</t>
  </si>
  <si>
    <t>32CW4</t>
  </si>
  <si>
    <t>32CE1</t>
  </si>
  <si>
    <t>R2YDEOW</t>
  </si>
  <si>
    <t>R1YDTPU</t>
  </si>
  <si>
    <t>DRIVEDWAY-COMM</t>
  </si>
  <si>
    <t>DRIVEPVT-COMM</t>
  </si>
  <si>
    <t>PACKC</t>
  </si>
  <si>
    <t>Residential</t>
  </si>
  <si>
    <t>October 2015</t>
  </si>
  <si>
    <t xml:space="preserve">Drive-in </t>
  </si>
  <si>
    <t xml:space="preserve">Drive in </t>
  </si>
  <si>
    <t>Carry-outs</t>
  </si>
  <si>
    <t>Obstruction</t>
  </si>
  <si>
    <t>Steps</t>
  </si>
  <si>
    <t>Restart Fee</t>
  </si>
  <si>
    <t>Recycling</t>
  </si>
  <si>
    <t>Recycling-only</t>
  </si>
  <si>
    <t>Mini wkly</t>
  </si>
  <si>
    <t>1-32 gal every-other-wk</t>
  </si>
  <si>
    <t>1-32 gal once per month</t>
  </si>
  <si>
    <t>2-32 gal weerkly</t>
  </si>
  <si>
    <t>3-32 gal weerkly</t>
  </si>
  <si>
    <t>4-32 gal weerkly</t>
  </si>
  <si>
    <t>1-32 gal weerkly</t>
  </si>
  <si>
    <t>1-32 gal minimum</t>
  </si>
  <si>
    <t>Extra unit</t>
  </si>
  <si>
    <t>ReturnedtTrip</t>
  </si>
  <si>
    <t>Extra yard</t>
  </si>
  <si>
    <t>Container delivery</t>
  </si>
  <si>
    <t>Returned trip</t>
  </si>
  <si>
    <t>Drive-in</t>
  </si>
  <si>
    <t>Drive-in over 125'</t>
  </si>
  <si>
    <t>Packout</t>
  </si>
  <si>
    <t>1 yad weekly</t>
  </si>
  <si>
    <t>1 yd twice a week</t>
  </si>
  <si>
    <t>1.5 yd once per month</t>
  </si>
  <si>
    <t>1 yd every-other-week</t>
  </si>
  <si>
    <t>1.5 yd every-other-week</t>
  </si>
  <si>
    <t>1.5 yad weekly</t>
  </si>
  <si>
    <t>1.5 yd twice a week</t>
  </si>
  <si>
    <t>2 yad weekly</t>
  </si>
  <si>
    <t>2 yd twice a week</t>
  </si>
  <si>
    <t>2 yad 3X weekly</t>
  </si>
  <si>
    <t>2 yad 4X weekly</t>
  </si>
  <si>
    <t>1 yd extra</t>
  </si>
  <si>
    <t>1.5 yd extra</t>
  </si>
  <si>
    <t>2 yard extra</t>
  </si>
  <si>
    <t>2 yd every-other-week</t>
  </si>
  <si>
    <t>1 yd temp weekly</t>
  </si>
  <si>
    <t>2 yd temp weekly</t>
  </si>
  <si>
    <t>Residential Garbage</t>
  </si>
  <si>
    <t>Commercial Garbage</t>
  </si>
  <si>
    <t>Roll-Off</t>
  </si>
  <si>
    <t>Disposal</t>
  </si>
  <si>
    <t xml:space="preserve">Total 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</si>
  <si>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</si>
  <si>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</si>
  <si>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</si>
  <si>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</si>
  <si>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</si>
  <si>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</si>
  <si>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</si>
  <si>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</si>
  <si>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</si>
  <si>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</si>
  <si>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</si>
  <si>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</si>
  <si>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</si>
  <si>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</si>
  <si>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</si>
  <si>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</si>
  <si>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</si>
  <si>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</si>
  <si>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</si>
  <si>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</si>
  <si>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</si>
  <si>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</si>
  <si>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</si>
  <si>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</si>
  <si>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</si>
  <si>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</si>
  <si>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</si>
  <si>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</si>
  <si>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</si>
  <si>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</si>
  <si>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Annual</t>
  </si>
  <si>
    <t>40 gallon Can</t>
  </si>
  <si>
    <t>*</t>
  </si>
  <si>
    <t>Supercan 60</t>
  </si>
  <si>
    <t>Supercan 90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</si>
  <si>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</si>
  <si>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</si>
  <si>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</si>
  <si>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</si>
  <si>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</si>
  <si>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</si>
  <si>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</si>
  <si>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</si>
  <si>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</si>
  <si>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</si>
  <si>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</si>
  <si>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</si>
  <si>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</si>
  <si>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</si>
  <si>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</si>
  <si>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</si>
  <si>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</si>
  <si>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</si>
  <si>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</si>
  <si>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</si>
  <si>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* not on meeks - calculated</t>
  </si>
  <si>
    <t>Pierce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</si>
  <si>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</si>
  <si>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</si>
  <si>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</si>
  <si>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</si>
  <si>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</si>
  <si>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</si>
  <si>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</si>
  <si>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</si>
  <si>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</si>
  <si>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</si>
  <si>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</si>
  <si>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</si>
  <si>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</si>
  <si>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</si>
  <si>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</si>
  <si>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</si>
  <si>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</si>
  <si>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</si>
  <si>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</si>
  <si>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Difference</t>
  </si>
  <si>
    <t>Tariff Page</t>
  </si>
  <si>
    <t>Scheduled Service</t>
  </si>
  <si>
    <t>Annual Customers</t>
  </si>
  <si>
    <t>Monthly Frequency</t>
  </si>
  <si>
    <t>Annual PU's</t>
  </si>
  <si>
    <t>Calculated Annual Pounds</t>
  </si>
  <si>
    <t>Adjusted Annual Pounds</t>
  </si>
  <si>
    <t>Gross Up</t>
  </si>
  <si>
    <t>Tariff Rate Increase</t>
  </si>
  <si>
    <t>Company Current Tariff</t>
  </si>
  <si>
    <t xml:space="preserve"> Calculated Rate</t>
  </si>
  <si>
    <t>Company Proposed Tariff</t>
  </si>
  <si>
    <t>Company Current Revenue</t>
  </si>
  <si>
    <t>Proposed Revenue</t>
  </si>
  <si>
    <t>Revised Revenue Increase</t>
  </si>
  <si>
    <t>EXTRA UNITS</t>
  </si>
  <si>
    <t>1-20 GAL CAN WEEKLY</t>
  </si>
  <si>
    <t>1-32 GAL CAN MONTHLY</t>
  </si>
  <si>
    <t>1-32 GAL CAN WEEKLY</t>
  </si>
  <si>
    <t>2-32 GAL CANS WEEKLY</t>
  </si>
  <si>
    <t>3-32 GAL CANS WEEKLY</t>
  </si>
  <si>
    <t>4-32 GAL CANS WEEKLY</t>
  </si>
  <si>
    <t>na</t>
  </si>
  <si>
    <t>COMMERICAL EXTRA CAN</t>
  </si>
  <si>
    <t>COMMERICAL EXTRA YARD</t>
  </si>
  <si>
    <t>2-32 GAL CANS WKLY</t>
  </si>
  <si>
    <t>3-32 GAL CANS WKLY</t>
  </si>
  <si>
    <t>4-32 GAL CANS WKLY</t>
  </si>
  <si>
    <t>2YD CONT 2X WEEKLY</t>
  </si>
  <si>
    <t>2YD CONT 3X WEEKLY</t>
  </si>
  <si>
    <t>1.5YD TEMP CONTAINER</t>
  </si>
  <si>
    <t>No Current Customers</t>
  </si>
  <si>
    <t>2YD COMP 1X WEEK 3:1</t>
  </si>
  <si>
    <t>Adjustment Factor Calculation</t>
  </si>
  <si>
    <t>Total Tonnage</t>
  </si>
  <si>
    <t>Total Pounds</t>
  </si>
  <si>
    <t>Total Pick Ups</t>
  </si>
  <si>
    <t>Adjustment factor</t>
  </si>
  <si>
    <t>American Disposal Co., Inc. G-87</t>
  </si>
  <si>
    <t>Item 55, Pg 16</t>
  </si>
  <si>
    <t>Over size</t>
  </si>
  <si>
    <t>WG-R</t>
  </si>
  <si>
    <t>Item 100, pg 21</t>
  </si>
  <si>
    <t xml:space="preserve">Mini can </t>
  </si>
  <si>
    <t>One can</t>
  </si>
  <si>
    <t>Two cans</t>
  </si>
  <si>
    <t>Three cans</t>
  </si>
  <si>
    <t>Four cans</t>
  </si>
  <si>
    <t>MG</t>
  </si>
  <si>
    <t>Item 100, pg 22</t>
  </si>
  <si>
    <t>Each</t>
  </si>
  <si>
    <t>On Call</t>
  </si>
  <si>
    <t>1 yard</t>
  </si>
  <si>
    <t>1.5 yard</t>
  </si>
  <si>
    <t>2 yard</t>
  </si>
  <si>
    <t>Temporary Service</t>
  </si>
  <si>
    <t>Bulky</t>
  </si>
  <si>
    <t>Loose material</t>
  </si>
  <si>
    <t>Additional</t>
  </si>
  <si>
    <t>Minimum</t>
  </si>
  <si>
    <t>Garbage</t>
  </si>
  <si>
    <t>Ton</t>
  </si>
  <si>
    <t>Special pickups, p/can</t>
  </si>
  <si>
    <t>1-32 GAL EOW</t>
  </si>
  <si>
    <t>EOWG</t>
  </si>
  <si>
    <t>Item 150, pg 28</t>
  </si>
  <si>
    <t>Item 207, pg 32</t>
  </si>
  <si>
    <t>Overfilled</t>
  </si>
  <si>
    <t>Item 230, pg 34</t>
  </si>
  <si>
    <t>Item 240, pg 35</t>
  </si>
  <si>
    <t>Flat Monthly Charge</t>
  </si>
  <si>
    <t>M</t>
  </si>
  <si>
    <t>First/Additional</t>
  </si>
  <si>
    <t>Minimum Monthly Charge</t>
  </si>
  <si>
    <t>Item 245, pg 36</t>
  </si>
  <si>
    <t>Each additional unit</t>
  </si>
  <si>
    <t>Occasional extra</t>
  </si>
  <si>
    <t>Item 255, pg 38  3:1 compaction</t>
  </si>
  <si>
    <t>Item 255, pg 38  5:1 compaction</t>
  </si>
  <si>
    <t>dba Vashon Disposal</t>
  </si>
  <si>
    <t>2YD CONT 4X WEEKLY</t>
  </si>
  <si>
    <t>1YD CONT 1xWEEKLY Temp</t>
  </si>
  <si>
    <t>2YD CONT 1xWEEKLY Temp</t>
  </si>
  <si>
    <t>1.5YD CONT 2X WEEKLY</t>
  </si>
  <si>
    <t>1YD EXTRA</t>
  </si>
  <si>
    <t>1.5YD EXTRA</t>
  </si>
  <si>
    <t>2YD EXTRA</t>
  </si>
  <si>
    <t>2YD CONT EOW</t>
  </si>
  <si>
    <t>1-32 GAL CAN WEEKLY  MINIMUM</t>
  </si>
  <si>
    <t>1.5YD CONT EOW</t>
  </si>
  <si>
    <t>Monthly minimum</t>
  </si>
  <si>
    <t>Note: Temporary container</t>
  </si>
  <si>
    <t>no revenue</t>
  </si>
  <si>
    <t>1 32 gal can (grouped)</t>
  </si>
  <si>
    <t>Units (not grouped together)</t>
  </si>
  <si>
    <t>1YD CONT 1X WEEKLY (FMC)</t>
  </si>
  <si>
    <t>1.5YD CONT 1X WEEKLY  (FMC)</t>
  </si>
  <si>
    <t>2YD CONT 1X WEEKLY (FMC)</t>
  </si>
  <si>
    <t>1YD CONT EOW  (Minimum)</t>
  </si>
  <si>
    <t>2YD COMP 1X WEEK 5:1</t>
  </si>
  <si>
    <t>Tons</t>
  </si>
  <si>
    <t>Oct 1, 2015 through Sept 30, 2016</t>
  </si>
  <si>
    <t>November</t>
  </si>
  <si>
    <t>December</t>
  </si>
  <si>
    <t>January 2016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</si>
  <si>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</si>
  <si>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</si>
  <si>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</si>
  <si>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</si>
  <si>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</si>
  <si>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</si>
  <si>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</si>
  <si>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</si>
  <si>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Pass Thru</t>
  </si>
  <si>
    <t>Proposed Rate per Ton</t>
  </si>
  <si>
    <t>Proposed DF</t>
  </si>
  <si>
    <t>Oversize</t>
  </si>
  <si>
    <t>Total Company</t>
  </si>
  <si>
    <t>RO Hauling</t>
  </si>
  <si>
    <t>PT</t>
  </si>
  <si>
    <t>IS:</t>
  </si>
  <si>
    <t>Billing:</t>
  </si>
  <si>
    <t>October 2015 - September 2016</t>
  </si>
  <si>
    <t>Commerical</t>
  </si>
  <si>
    <t>Roll-off</t>
  </si>
  <si>
    <t>Total Residential</t>
  </si>
  <si>
    <t>Total Commercial</t>
  </si>
  <si>
    <t>Vashon Revenue-Customer Count</t>
  </si>
  <si>
    <t>Source: Billing Records</t>
  </si>
  <si>
    <t xml:space="preserve">   weight times compaction ratio</t>
  </si>
  <si>
    <t>Total Roll-off Hauls</t>
  </si>
  <si>
    <t xml:space="preserve">Packer </t>
  </si>
  <si>
    <t>Current Tariff Rate</t>
  </si>
  <si>
    <t>Proposed Increase</t>
  </si>
  <si>
    <t>New 1/1/2017 Rate</t>
  </si>
  <si>
    <t>ANNUAL CUSTOMERS</t>
  </si>
  <si>
    <t>MONTHLY CUSTOMERS</t>
  </si>
  <si>
    <t>Dump Fee Calc References</t>
  </si>
  <si>
    <t>Dump Fee Calculation</t>
  </si>
  <si>
    <t>Effective 1-1-2017</t>
  </si>
  <si>
    <t>Proposed Rates Effective 1/1/2017</t>
  </si>
  <si>
    <t>Dump Fee Rates:</t>
  </si>
  <si>
    <t>Current Rate per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</si>
</sst>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0.0%"/>
    <numFmt numFmtId="171" formatCode="_(&quot;$&quot;* #,##0_);_(&quot;$&quot;* \(#,##0\);_(&quot;$&quot;* &quot;-&quot;??_);_(@_)"/>
    <numFmt numFmtId="172" formatCode="&quot;$&quot;#,##0"/>
    <numFmt numFmtId="173" formatCode="_(* #,##0.00_);_(* \(#,##0.00\);_(* &quot;-&quot;_);_(@_)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73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7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12" fillId="28" borderId="10" applyNumberFormat="0" applyAlignment="0" applyProtection="0"/>
    <xf numFmtId="0" fontId="13" fillId="28" borderId="10" applyNumberFormat="0" applyAlignment="0" applyProtection="0"/>
    <xf numFmtId="0" fontId="14" fillId="28" borderId="10" applyNumberFormat="0" applyAlignment="0" applyProtection="0"/>
    <xf numFmtId="0" fontId="13" fillId="6" borderId="10" applyNumberFormat="0" applyAlignment="0" applyProtection="0"/>
    <xf numFmtId="0" fontId="15" fillId="29" borderId="11" applyNumberFormat="0" applyAlignment="0" applyProtection="0"/>
    <xf numFmtId="0" fontId="15" fillId="30" borderId="12" applyNumberFormat="0" applyAlignment="0" applyProtection="0"/>
    <xf numFmtId="0" fontId="3" fillId="31" borderId="0">
      <alignment horizont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7" fillId="0" borderId="0"/>
    <xf numFmtId="0" fontId="18" fillId="0" borderId="0"/>
    <xf numFmtId="0" fontId="18" fillId="0" borderId="0"/>
    <xf numFmtId="0" fontId="19" fillId="32" borderId="1" applyAlignment="0">
      <alignment horizontal="right"/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33" borderId="0">
      <alignment horizontal="right"/>
      <protection locked="0"/>
    </xf>
    <xf numFmtId="14" fontId="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" fontId="22" fillId="33" borderId="0">
      <alignment horizontal="right"/>
      <protection locked="0"/>
    </xf>
    <xf numFmtId="1" fontId="3" fillId="0" borderId="0">
      <alignment horizontal="center"/>
    </xf>
    <xf numFmtId="0" fontId="24" fillId="34" borderId="0" applyNumberFormat="0" applyBorder="0" applyAlignment="0" applyProtection="0"/>
    <xf numFmtId="0" fontId="24" fillId="12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8" applyNumberFormat="0" applyFill="0" applyAlignment="0" applyProtection="0"/>
    <xf numFmtId="0" fontId="30" fillId="0" borderId="17" applyNumberFormat="0" applyFill="0" applyAlignment="0" applyProtection="0"/>
    <xf numFmtId="0" fontId="31" fillId="0" borderId="19" applyNumberFormat="0" applyFill="0" applyAlignment="0" applyProtection="0"/>
    <xf numFmtId="0" fontId="32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13" borderId="10" applyNumberFormat="0" applyAlignment="0" applyProtection="0"/>
    <xf numFmtId="0" fontId="38" fillId="13" borderId="10" applyNumberFormat="0" applyAlignment="0" applyProtection="0"/>
    <xf numFmtId="3" fontId="4" fillId="35" borderId="0">
      <protection locked="0"/>
    </xf>
    <xf numFmtId="4" fontId="4" fillId="35" borderId="0">
      <protection locked="0"/>
    </xf>
    <xf numFmtId="0" fontId="39" fillId="0" borderId="23" applyNumberFormat="0" applyFill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42" fillId="13" borderId="0" applyNumberFormat="0" applyBorder="0" applyAlignment="0" applyProtection="0"/>
    <xf numFmtId="0" fontId="43" fillId="13" borderId="0" applyNumberFormat="0" applyBorder="0" applyAlignment="0" applyProtection="0"/>
    <xf numFmtId="0" fontId="44" fillId="13" borderId="0" applyNumberFormat="0" applyBorder="0" applyAlignment="0" applyProtection="0"/>
    <xf numFmtId="43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5" fillId="0" borderId="0"/>
    <xf numFmtId="0" fontId="1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0" borderId="26" applyNumberFormat="0" applyFont="0" applyAlignment="0" applyProtection="0"/>
    <xf numFmtId="0" fontId="9" fillId="10" borderId="26" applyNumberFormat="0" applyFont="0" applyAlignment="0" applyProtection="0"/>
    <xf numFmtId="0" fontId="45" fillId="10" borderId="26" applyNumberFormat="0" applyFont="0" applyAlignment="0" applyProtection="0"/>
    <xf numFmtId="0" fontId="16" fillId="10" borderId="26" applyNumberFormat="0" applyFont="0" applyAlignment="0" applyProtection="0"/>
    <xf numFmtId="170" fontId="47" fillId="0" borderId="0" applyNumberFormat="0"/>
    <xf numFmtId="0" fontId="32" fillId="28" borderId="27" applyNumberFormat="0" applyAlignment="0" applyProtection="0"/>
    <xf numFmtId="0" fontId="48" fillId="28" borderId="28" applyNumberForma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38" fontId="49" fillId="0" borderId="0" applyNumberFormat="0" applyFont="0" applyFill="0" applyBorder="0">
      <alignment horizontal="left" indent="4"/>
      <protection locked="0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1" fillId="0" borderId="8">
      <alignment horizontal="center"/>
    </xf>
    <xf numFmtId="3" fontId="50" fillId="0" borderId="0" applyFont="0" applyFill="0" applyBorder="0" applyAlignment="0" applyProtection="0"/>
    <xf numFmtId="0" fontId="50" fillId="36" borderId="0" applyNumberFormat="0" applyFont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 applyNumberFormat="0" applyBorder="0" applyAlignment="0"/>
    <xf numFmtId="37" fontId="53" fillId="0" borderId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9" applyNumberFormat="0" applyFill="0" applyAlignment="0" applyProtection="0"/>
    <xf numFmtId="0" fontId="56" fillId="0" borderId="30" applyNumberFormat="0" applyFill="0" applyAlignment="0" applyProtection="0"/>
    <xf numFmtId="0" fontId="56" fillId="0" borderId="31" applyNumberFormat="0" applyFill="0" applyAlignment="0" applyProtection="0"/>
    <xf numFmtId="0" fontId="56" fillId="0" borderId="3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46" fillId="37" borderId="0" applyFont="0" applyFill="0" applyBorder="0" applyAlignment="0" applyProtection="0">
      <alignment wrapText="1"/>
    </xf>
    <xf numFmtId="44" fontId="59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2" applyFont="1"/>
    <xf numFmtId="0" fontId="7" fillId="0" borderId="0" xfId="2" applyFont="1" applyFill="1"/>
    <xf numFmtId="0" fontId="7" fillId="4" borderId="0" xfId="2" applyFont="1" applyFill="1" applyAlignment="1">
      <alignment horizontal="right"/>
    </xf>
    <xf numFmtId="0" fontId="8" fillId="0" borderId="0" xfId="2" applyFont="1" applyFill="1"/>
    <xf numFmtId="0" fontId="8" fillId="0" borderId="0" xfId="2" applyFont="1" applyFill="1" applyAlignment="1">
      <alignment horizontal="center"/>
    </xf>
    <xf numFmtId="43" fontId="6" fillId="0" borderId="0" xfId="2" applyNumberFormat="1" applyFont="1"/>
    <xf numFmtId="0" fontId="6" fillId="0" borderId="0" xfId="2" applyFont="1" applyAlignment="1">
      <alignment horizontal="left" indent="1"/>
    </xf>
    <xf numFmtId="0" fontId="6" fillId="3" borderId="1" xfId="2" applyFont="1" applyFill="1" applyBorder="1"/>
    <xf numFmtId="42" fontId="6" fillId="0" borderId="0" xfId="2" applyNumberFormat="1" applyFont="1"/>
    <xf numFmtId="0" fontId="6" fillId="0" borderId="2" xfId="2" applyFont="1" applyBorder="1"/>
    <xf numFmtId="0" fontId="6" fillId="0" borderId="3" xfId="2" applyFont="1" applyBorder="1"/>
    <xf numFmtId="0" fontId="6" fillId="0" borderId="7" xfId="2" applyFont="1" applyBorder="1"/>
    <xf numFmtId="0" fontId="6" fillId="0" borderId="8" xfId="2" applyFont="1" applyBorder="1"/>
    <xf numFmtId="0" fontId="6" fillId="3" borderId="1" xfId="191" applyFont="1" applyFill="1" applyBorder="1"/>
    <xf numFmtId="0" fontId="6" fillId="3" borderId="1" xfId="191" applyFont="1" applyFill="1" applyBorder="1" applyAlignment="1">
      <alignment horizontal="center" wrapText="1"/>
    </xf>
    <xf numFmtId="0" fontId="7" fillId="0" borderId="0" xfId="312" applyFont="1" applyBorder="1"/>
    <xf numFmtId="164" fontId="7" fillId="0" borderId="0" xfId="98" applyNumberFormat="1" applyFont="1" applyFill="1" applyBorder="1"/>
    <xf numFmtId="3" fontId="6" fillId="3" borderId="34" xfId="191" applyNumberFormat="1" applyFont="1" applyFill="1" applyBorder="1" applyAlignment="1">
      <alignment horizontal="right"/>
    </xf>
    <xf numFmtId="164" fontId="6" fillId="3" borderId="34" xfId="191" applyNumberFormat="1" applyFont="1" applyFill="1" applyBorder="1"/>
    <xf numFmtId="4" fontId="6" fillId="0" borderId="0" xfId="191" applyNumberFormat="1" applyFont="1" applyFill="1" applyBorder="1"/>
    <xf numFmtId="3" fontId="6" fillId="0" borderId="0" xfId="191" applyNumberFormat="1" applyFont="1" applyFill="1" applyBorder="1"/>
    <xf numFmtId="0" fontId="7" fillId="0" borderId="0" xfId="312" applyFont="1" applyFill="1" applyBorder="1"/>
    <xf numFmtId="0" fontId="6" fillId="39" borderId="0" xfId="191" applyFont="1" applyFill="1" applyBorder="1"/>
    <xf numFmtId="0" fontId="8" fillId="0" borderId="0" xfId="309" applyFont="1" applyBorder="1" applyAlignment="1">
      <alignment horizontal="left"/>
    </xf>
    <xf numFmtId="164" fontId="6" fillId="0" borderId="1" xfId="98" applyNumberFormat="1" applyFont="1" applyBorder="1" applyAlignment="1">
      <alignment horizontal="center"/>
    </xf>
    <xf numFmtId="0" fontId="6" fillId="0" borderId="0" xfId="191" applyFont="1" applyBorder="1" applyAlignment="1">
      <alignment horizontal="center"/>
    </xf>
    <xf numFmtId="164" fontId="7" fillId="0" borderId="0" xfId="98" applyNumberFormat="1" applyFont="1" applyFill="1" applyBorder="1" applyAlignment="1">
      <alignment horizontal="left"/>
    </xf>
    <xf numFmtId="0" fontId="8" fillId="0" borderId="0" xfId="313" applyFont="1" applyFill="1" applyBorder="1" applyAlignment="1">
      <alignment horizontal="left"/>
    </xf>
    <xf numFmtId="0" fontId="58" fillId="0" borderId="0" xfId="98" applyNumberFormat="1" applyFont="1" applyFill="1" applyBorder="1" applyAlignment="1">
      <alignment horizontal="left"/>
    </xf>
    <xf numFmtId="0" fontId="7" fillId="0" borderId="0" xfId="313" applyFont="1" applyFill="1" applyBorder="1" applyAlignment="1">
      <alignment horizontal="left"/>
    </xf>
    <xf numFmtId="164" fontId="6" fillId="0" borderId="0" xfId="191" applyNumberFormat="1" applyFont="1" applyBorder="1"/>
    <xf numFmtId="0" fontId="6" fillId="0" borderId="1" xfId="191" applyFont="1" applyFill="1" applyBorder="1" applyAlignment="1">
      <alignment horizontal="center" wrapText="1"/>
    </xf>
    <xf numFmtId="0" fontId="6" fillId="0" borderId="0" xfId="191" applyFont="1" applyFill="1" applyBorder="1" applyAlignment="1">
      <alignment horizontal="center" wrapText="1"/>
    </xf>
    <xf numFmtId="3" fontId="6" fillId="0" borderId="0" xfId="191" applyNumberFormat="1" applyFont="1" applyFill="1" applyBorder="1" applyAlignment="1">
      <alignment horizontal="center" wrapText="1"/>
    </xf>
    <xf numFmtId="0" fontId="57" fillId="3" borderId="34" xfId="313" applyFont="1" applyFill="1" applyBorder="1" applyAlignment="1">
      <alignment horizontal="left"/>
    </xf>
    <xf numFmtId="3" fontId="6" fillId="3" borderId="34" xfId="191" applyNumberFormat="1" applyFont="1" applyFill="1" applyBorder="1"/>
    <xf numFmtId="164" fontId="6" fillId="3" borderId="34" xfId="98" applyNumberFormat="1" applyFont="1" applyFill="1" applyBorder="1"/>
    <xf numFmtId="44" fontId="6" fillId="3" borderId="34" xfId="128" applyFont="1" applyFill="1" applyBorder="1"/>
    <xf numFmtId="0" fontId="6" fillId="0" borderId="0" xfId="191" applyFont="1" applyBorder="1"/>
    <xf numFmtId="3" fontId="6" fillId="0" borderId="0" xfId="191" applyNumberFormat="1" applyFont="1" applyFill="1" applyBorder="1" applyAlignment="1">
      <alignment horizontal="center"/>
    </xf>
    <xf numFmtId="3" fontId="6" fillId="3" borderId="34" xfId="98" applyNumberFormat="1" applyFont="1" applyFill="1" applyBorder="1" applyAlignment="1">
      <alignment horizontal="right"/>
    </xf>
    <xf numFmtId="164" fontId="6" fillId="3" borderId="34" xfId="98" applyNumberFormat="1" applyFont="1" applyFill="1" applyBorder="1" applyAlignment="1">
      <alignment horizontal="right"/>
    </xf>
    <xf numFmtId="0" fontId="2" fillId="0" borderId="0" xfId="2" applyFont="1"/>
    <xf numFmtId="0" fontId="2" fillId="0" borderId="0" xfId="191" applyFont="1"/>
    <xf numFmtId="2" fontId="2" fillId="0" borderId="0" xfId="191" applyNumberFormat="1" applyFont="1"/>
    <xf numFmtId="0" fontId="2" fillId="0" borderId="0" xfId="191" applyFont="1" applyBorder="1"/>
    <xf numFmtId="0" fontId="2" fillId="0" borderId="0" xfId="191" applyFont="1" applyBorder="1" applyAlignment="1">
      <alignment horizontal="center"/>
    </xf>
    <xf numFmtId="0" fontId="2" fillId="0" borderId="0" xfId="191" applyFont="1" applyBorder="1" applyAlignment="1">
      <alignment horizontal="right"/>
    </xf>
    <xf numFmtId="44" fontId="2" fillId="0" borderId="0" xfId="191" applyNumberFormat="1" applyFont="1" applyBorder="1"/>
    <xf numFmtId="0" fontId="2" fillId="0" borderId="0" xfId="191" applyFont="1" applyBorder="1" applyAlignment="1">
      <alignment horizontal="left"/>
    </xf>
    <xf numFmtId="3" fontId="2" fillId="0" borderId="0" xfId="191" applyNumberFormat="1" applyFont="1" applyBorder="1"/>
    <xf numFmtId="4" fontId="2" fillId="0" borderId="0" xfId="191" applyNumberFormat="1" applyFont="1" applyBorder="1"/>
    <xf numFmtId="0" fontId="2" fillId="0" borderId="0" xfId="191" applyFont="1" applyFill="1" applyBorder="1"/>
    <xf numFmtId="3" fontId="2" fillId="0" borderId="0" xfId="191" applyNumberFormat="1" applyFont="1" applyFill="1" applyBorder="1"/>
    <xf numFmtId="4" fontId="2" fillId="0" borderId="0" xfId="191" applyNumberFormat="1" applyFont="1" applyFill="1" applyBorder="1"/>
    <xf numFmtId="2" fontId="2" fillId="0" borderId="0" xfId="191" applyNumberFormat="1" applyFont="1" applyFill="1" applyBorder="1"/>
    <xf numFmtId="0" fontId="2" fillId="0" borderId="0" xfId="191" applyFont="1" applyFill="1" applyBorder="1" applyAlignment="1">
      <alignment horizontal="center" vertical="center"/>
    </xf>
    <xf numFmtId="0" fontId="2" fillId="3" borderId="34" xfId="191" applyFont="1" applyFill="1" applyBorder="1" applyAlignment="1">
      <alignment horizontal="center" vertical="center"/>
    </xf>
    <xf numFmtId="43" fontId="2" fillId="3" borderId="34" xfId="191" applyNumberFormat="1" applyFont="1" applyFill="1" applyBorder="1"/>
    <xf numFmtId="10" fontId="2" fillId="0" borderId="0" xfId="191" applyNumberFormat="1" applyFont="1" applyFill="1" applyBorder="1"/>
    <xf numFmtId="0" fontId="2" fillId="0" borderId="0" xfId="191" applyFont="1" applyFill="1" applyBorder="1" applyAlignment="1">
      <alignment vertical="center" textRotation="90"/>
    </xf>
    <xf numFmtId="43" fontId="2" fillId="0" borderId="0" xfId="191" applyNumberFormat="1" applyFont="1" applyFill="1" applyBorder="1"/>
    <xf numFmtId="0" fontId="2" fillId="3" borderId="34" xfId="191" applyFont="1" applyFill="1" applyBorder="1"/>
    <xf numFmtId="0" fontId="2" fillId="3" borderId="34" xfId="191" applyFont="1" applyFill="1" applyBorder="1" applyAlignment="1">
      <alignment horizontal="center"/>
    </xf>
    <xf numFmtId="3" fontId="2" fillId="0" borderId="0" xfId="191" applyNumberFormat="1" applyFont="1" applyBorder="1" applyAlignment="1">
      <alignment horizontal="right"/>
    </xf>
    <xf numFmtId="171" fontId="2" fillId="0" borderId="0" xfId="191" applyNumberFormat="1" applyFont="1" applyBorder="1"/>
    <xf numFmtId="0" fontId="2" fillId="39" borderId="0" xfId="191" applyFont="1" applyFill="1" applyBorder="1"/>
    <xf numFmtId="0" fontId="2" fillId="39" borderId="0" xfId="191" applyFont="1" applyFill="1" applyBorder="1" applyAlignment="1">
      <alignment horizontal="center"/>
    </xf>
    <xf numFmtId="3" fontId="2" fillId="39" borderId="0" xfId="191" applyNumberFormat="1" applyFont="1" applyFill="1" applyBorder="1" applyAlignment="1">
      <alignment horizontal="right"/>
    </xf>
    <xf numFmtId="0" fontId="2" fillId="0" borderId="0" xfId="191" applyFont="1" applyFill="1" applyBorder="1" applyAlignment="1">
      <alignment horizontal="right"/>
    </xf>
    <xf numFmtId="4" fontId="2" fillId="0" borderId="0" xfId="191" applyNumberFormat="1" applyFont="1" applyFill="1" applyBorder="1" applyAlignment="1">
      <alignment horizontal="right"/>
    </xf>
    <xf numFmtId="0" fontId="2" fillId="0" borderId="0" xfId="191" applyFont="1" applyFill="1" applyBorder="1" applyAlignment="1">
      <alignment horizontal="center"/>
    </xf>
    <xf numFmtId="3" fontId="2" fillId="0" borderId="0" xfId="191" applyNumberFormat="1" applyFont="1" applyFill="1" applyBorder="1" applyAlignment="1">
      <alignment horizontal="right"/>
    </xf>
    <xf numFmtId="0" fontId="2" fillId="0" borderId="0" xfId="191" applyFont="1" applyFill="1" applyBorder="1" applyAlignment="1"/>
    <xf numFmtId="0" fontId="2" fillId="0" borderId="0" xfId="191" applyFont="1" applyFill="1" applyBorder="1" applyAlignment="1">
      <alignment horizontal="left"/>
    </xf>
    <xf numFmtId="0" fontId="2" fillId="0" borderId="0" xfId="191" applyFont="1" applyBorder="1" applyAlignment="1">
      <alignment horizontal="right" wrapText="1"/>
    </xf>
    <xf numFmtId="0" fontId="2" fillId="0" borderId="0" xfId="191" applyFont="1" applyBorder="1" applyAlignment="1">
      <alignment horizontal="center" wrapText="1"/>
    </xf>
    <xf numFmtId="43" fontId="2" fillId="0" borderId="0" xfId="191" applyNumberFormat="1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43" fontId="2" fillId="0" borderId="0" xfId="2" applyNumberFormat="1" applyFont="1" applyBorder="1" applyAlignment="1">
      <alignment horizontal="center"/>
    </xf>
    <xf numFmtId="43" fontId="2" fillId="0" borderId="0" xfId="2" applyNumberFormat="1" applyFont="1"/>
    <xf numFmtId="44" fontId="2" fillId="0" borderId="0" xfId="372" applyFont="1"/>
    <xf numFmtId="0" fontId="2" fillId="0" borderId="0" xfId="2" applyFont="1" applyAlignment="1">
      <alignment horizontal="left" indent="1"/>
    </xf>
    <xf numFmtId="0" fontId="2" fillId="2" borderId="0" xfId="2" applyFont="1" applyFill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0" borderId="0" xfId="2" applyFont="1" applyAlignment="1">
      <alignment horizontal="left"/>
    </xf>
    <xf numFmtId="10" fontId="2" fillId="0" borderId="0" xfId="2" applyNumberFormat="1" applyFont="1"/>
    <xf numFmtId="167" fontId="2" fillId="0" borderId="0" xfId="2" applyNumberFormat="1" applyFont="1"/>
    <xf numFmtId="168" fontId="2" fillId="0" borderId="0" xfId="2" applyNumberFormat="1" applyFont="1"/>
    <xf numFmtId="166" fontId="2" fillId="0" borderId="0" xfId="2" applyNumberFormat="1" applyFont="1"/>
    <xf numFmtId="44" fontId="2" fillId="0" borderId="0" xfId="2" applyNumberFormat="1" applyFont="1"/>
    <xf numFmtId="169" fontId="2" fillId="0" borderId="0" xfId="2" applyNumberFormat="1" applyFont="1"/>
    <xf numFmtId="3" fontId="2" fillId="0" borderId="0" xfId="2" applyNumberFormat="1" applyFont="1"/>
    <xf numFmtId="37" fontId="2" fillId="0" borderId="0" xfId="2" applyNumberFormat="1" applyFont="1"/>
    <xf numFmtId="0" fontId="2" fillId="3" borderId="4" xfId="2" applyFont="1" applyFill="1" applyBorder="1" applyAlignment="1">
      <alignment horizontal="center"/>
    </xf>
    <xf numFmtId="41" fontId="2" fillId="0" borderId="0" xfId="2" applyNumberFormat="1" applyFont="1"/>
    <xf numFmtId="0" fontId="2" fillId="0" borderId="5" xfId="2" applyFont="1" applyBorder="1"/>
    <xf numFmtId="0" fontId="2" fillId="0" borderId="0" xfId="2" applyFont="1" applyBorder="1"/>
    <xf numFmtId="0" fontId="2" fillId="0" borderId="6" xfId="2" applyFont="1" applyBorder="1"/>
    <xf numFmtId="10" fontId="2" fillId="3" borderId="9" xfId="2" applyNumberFormat="1" applyFont="1" applyFill="1" applyBorder="1" applyAlignment="1">
      <alignment horizontal="right"/>
    </xf>
    <xf numFmtId="0" fontId="7" fillId="0" borderId="0" xfId="0" applyFont="1"/>
    <xf numFmtId="44" fontId="7" fillId="0" borderId="0" xfId="0" applyNumberFormat="1" applyFont="1"/>
    <xf numFmtId="43" fontId="57" fillId="0" borderId="0" xfId="1" applyFont="1" applyBorder="1"/>
    <xf numFmtId="43" fontId="7" fillId="0" borderId="0" xfId="1" applyFont="1" applyBorder="1"/>
    <xf numFmtId="0" fontId="7" fillId="0" borderId="0" xfId="0" applyFont="1" applyBorder="1"/>
    <xf numFmtId="0" fontId="57" fillId="0" borderId="0" xfId="0" applyFont="1"/>
    <xf numFmtId="0" fontId="7" fillId="0" borderId="0" xfId="0" quotePrefix="1" applyFont="1"/>
    <xf numFmtId="17" fontId="7" fillId="0" borderId="0" xfId="0" quotePrefix="1" applyNumberFormat="1" applyFont="1"/>
    <xf numFmtId="172" fontId="7" fillId="0" borderId="0" xfId="0" applyNumberFormat="1" applyFont="1"/>
    <xf numFmtId="0" fontId="57" fillId="0" borderId="0" xfId="311" applyFont="1" applyBorder="1"/>
    <xf numFmtId="2" fontId="7" fillId="0" borderId="0" xfId="311" applyNumberFormat="1" applyFont="1" applyFill="1" applyBorder="1"/>
    <xf numFmtId="0" fontId="7" fillId="0" borderId="0" xfId="314" applyFont="1"/>
    <xf numFmtId="0" fontId="57" fillId="0" borderId="0" xfId="314" applyFont="1"/>
    <xf numFmtId="2" fontId="7" fillId="0" borderId="0" xfId="314" applyNumberFormat="1" applyFont="1" applyFill="1"/>
    <xf numFmtId="0" fontId="7" fillId="0" borderId="0" xfId="314" applyFont="1" applyAlignment="1">
      <alignment horizontal="center"/>
    </xf>
    <xf numFmtId="0" fontId="57" fillId="0" borderId="0" xfId="314" applyFont="1" applyAlignment="1">
      <alignment horizontal="center"/>
    </xf>
    <xf numFmtId="4" fontId="7" fillId="0" borderId="0" xfId="314" applyNumberFormat="1" applyFont="1" applyFill="1"/>
    <xf numFmtId="4" fontId="7" fillId="0" borderId="0" xfId="314" applyNumberFormat="1" applyFont="1"/>
    <xf numFmtId="2" fontId="7" fillId="0" borderId="0" xfId="314" applyNumberFormat="1" applyFont="1"/>
    <xf numFmtId="43" fontId="7" fillId="0" borderId="0" xfId="314" applyNumberFormat="1" applyFont="1"/>
    <xf numFmtId="0" fontId="7" fillId="0" borderId="0" xfId="314" applyFont="1" applyFill="1"/>
    <xf numFmtId="164" fontId="7" fillId="0" borderId="0" xfId="98" applyNumberFormat="1" applyFont="1" applyBorder="1"/>
    <xf numFmtId="43" fontId="7" fillId="0" borderId="0" xfId="98" applyNumberFormat="1" applyFont="1" applyFill="1" applyBorder="1"/>
    <xf numFmtId="44" fontId="7" fillId="0" borderId="0" xfId="128" applyNumberFormat="1" applyFont="1" applyFill="1" applyBorder="1"/>
    <xf numFmtId="44" fontId="7" fillId="0" borderId="0" xfId="128" applyFont="1" applyFill="1" applyBorder="1"/>
    <xf numFmtId="44" fontId="7" fillId="38" borderId="0" xfId="128" applyFont="1" applyFill="1" applyBorder="1"/>
    <xf numFmtId="164" fontId="7" fillId="0" borderId="0" xfId="98" applyNumberFormat="1" applyFont="1" applyFill="1" applyBorder="1" applyAlignment="1">
      <alignment horizontal="center" wrapText="1"/>
    </xf>
    <xf numFmtId="4" fontId="7" fillId="38" borderId="0" xfId="128" applyNumberFormat="1" applyFont="1" applyFill="1" applyBorder="1"/>
    <xf numFmtId="43" fontId="7" fillId="3" borderId="34" xfId="98" applyFont="1" applyFill="1" applyBorder="1"/>
    <xf numFmtId="44" fontId="7" fillId="3" borderId="34" xfId="128" applyFont="1" applyFill="1" applyBorder="1"/>
    <xf numFmtId="43" fontId="7" fillId="0" borderId="0" xfId="98" applyFont="1" applyFill="1" applyBorder="1"/>
    <xf numFmtId="3" fontId="7" fillId="0" borderId="0" xfId="98" applyNumberFormat="1" applyFont="1" applyBorder="1"/>
    <xf numFmtId="3" fontId="7" fillId="0" borderId="0" xfId="98" applyNumberFormat="1" applyFont="1" applyFill="1" applyBorder="1"/>
    <xf numFmtId="44" fontId="7" fillId="0" borderId="0" xfId="98" applyNumberFormat="1" applyFont="1" applyFill="1" applyBorder="1"/>
    <xf numFmtId="164" fontId="7" fillId="39" borderId="0" xfId="98" applyNumberFormat="1" applyFont="1" applyFill="1" applyBorder="1"/>
    <xf numFmtId="44" fontId="7" fillId="39" borderId="0" xfId="98" applyNumberFormat="1" applyFont="1" applyFill="1" applyBorder="1"/>
    <xf numFmtId="44" fontId="7" fillId="0" borderId="0" xfId="128" applyFont="1" applyFill="1" applyBorder="1" applyAlignment="1">
      <alignment horizontal="right"/>
    </xf>
    <xf numFmtId="3" fontId="57" fillId="0" borderId="0" xfId="128" applyNumberFormat="1" applyFont="1" applyFill="1" applyBorder="1"/>
    <xf numFmtId="3" fontId="7" fillId="0" borderId="0" xfId="128" applyNumberFormat="1" applyFont="1" applyFill="1" applyBorder="1"/>
    <xf numFmtId="10" fontId="7" fillId="0" borderId="0" xfId="128" applyNumberFormat="1" applyFont="1" applyFill="1" applyBorder="1"/>
    <xf numFmtId="44" fontId="7" fillId="0" borderId="0" xfId="128" applyFont="1" applyBorder="1"/>
    <xf numFmtId="164" fontId="7" fillId="0" borderId="0" xfId="98" applyNumberFormat="1" applyFont="1" applyBorder="1" applyAlignment="1">
      <alignment horizontal="right"/>
    </xf>
    <xf numFmtId="0" fontId="7" fillId="0" borderId="0" xfId="98" applyNumberFormat="1" applyFont="1" applyFill="1" applyBorder="1"/>
    <xf numFmtId="10" fontId="7" fillId="0" borderId="0" xfId="323" applyNumberFormat="1" applyFont="1" applyBorder="1" applyAlignment="1">
      <alignment horizontal="right"/>
    </xf>
    <xf numFmtId="10" fontId="7" fillId="0" borderId="0" xfId="323" applyNumberFormat="1" applyFont="1" applyFill="1" applyBorder="1"/>
    <xf numFmtId="171" fontId="7" fillId="0" borderId="0" xfId="128" applyNumberFormat="1" applyFont="1" applyBorder="1"/>
    <xf numFmtId="44" fontId="7" fillId="0" borderId="0" xfId="128" applyFont="1" applyBorder="1" applyAlignment="1">
      <alignment horizontal="right"/>
    </xf>
    <xf numFmtId="165" fontId="7" fillId="0" borderId="0" xfId="128" applyNumberFormat="1" applyFont="1" applyBorder="1"/>
    <xf numFmtId="43" fontId="7" fillId="0" borderId="0" xfId="98" applyFont="1" applyBorder="1"/>
    <xf numFmtId="43" fontId="7" fillId="0" borderId="0" xfId="3" applyFont="1"/>
    <xf numFmtId="43" fontId="7" fillId="0" borderId="0" xfId="3" applyNumberFormat="1" applyFont="1"/>
    <xf numFmtId="43" fontId="7" fillId="0" borderId="0" xfId="3" applyFont="1" applyAlignment="1">
      <alignment horizontal="center"/>
    </xf>
    <xf numFmtId="164" fontId="7" fillId="0" borderId="0" xfId="3" applyNumberFormat="1" applyFont="1"/>
    <xf numFmtId="41" fontId="7" fillId="0" borderId="0" xfId="3" applyNumberFormat="1" applyFont="1"/>
    <xf numFmtId="44" fontId="7" fillId="0" borderId="0" xfId="4" applyFont="1" applyFill="1"/>
    <xf numFmtId="165" fontId="7" fillId="0" borderId="0" xfId="4" applyNumberFormat="1" applyFont="1" applyFill="1"/>
    <xf numFmtId="166" fontId="7" fillId="0" borderId="0" xfId="3" applyNumberFormat="1" applyFont="1"/>
    <xf numFmtId="166" fontId="7" fillId="0" borderId="0" xfId="3" applyNumberFormat="1" applyFont="1" applyBorder="1"/>
    <xf numFmtId="166" fontId="7" fillId="0" borderId="1" xfId="3" applyNumberFormat="1" applyFont="1" applyBorder="1"/>
    <xf numFmtId="42" fontId="7" fillId="0" borderId="6" xfId="4" applyNumberFormat="1" applyFont="1" applyBorder="1"/>
    <xf numFmtId="0" fontId="57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57" fillId="0" borderId="0" xfId="0" applyNumberFormat="1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60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43" fontId="7" fillId="0" borderId="0" xfId="0" applyNumberFormat="1" applyFont="1" applyBorder="1"/>
    <xf numFmtId="44" fontId="7" fillId="0" borderId="0" xfId="0" applyNumberFormat="1" applyFont="1" applyBorder="1"/>
    <xf numFmtId="0" fontId="7" fillId="0" borderId="0" xfId="0" applyFont="1" applyFill="1" applyBorder="1"/>
    <xf numFmtId="3" fontId="7" fillId="0" borderId="0" xfId="1" applyNumberFormat="1" applyFont="1" applyBorder="1"/>
    <xf numFmtId="2" fontId="7" fillId="0" borderId="0" xfId="0" applyNumberFormat="1" applyFont="1" applyBorder="1"/>
    <xf numFmtId="0" fontId="57" fillId="0" borderId="0" xfId="0" applyFont="1" applyBorder="1" applyAlignment="1"/>
    <xf numFmtId="43" fontId="7" fillId="0" borderId="0" xfId="1" applyFont="1" applyBorder="1" applyAlignment="1"/>
    <xf numFmtId="0" fontId="7" fillId="0" borderId="0" xfId="0" applyFont="1" applyBorder="1" applyAlignment="1"/>
    <xf numFmtId="43" fontId="57" fillId="0" borderId="0" xfId="1" applyFont="1" applyBorder="1" applyAlignment="1">
      <alignment horizontal="center"/>
    </xf>
    <xf numFmtId="10" fontId="7" fillId="0" borderId="0" xfId="0" applyNumberFormat="1" applyFont="1" applyBorder="1"/>
    <xf numFmtId="43" fontId="7" fillId="0" borderId="0" xfId="0" applyNumberFormat="1" applyFont="1" applyBorder="1" applyAlignment="1"/>
    <xf numFmtId="43" fontId="57" fillId="0" borderId="0" xfId="1" applyFont="1" applyBorder="1" applyAlignment="1"/>
    <xf numFmtId="173" fontId="7" fillId="0" borderId="0" xfId="0" applyNumberFormat="1" applyFont="1" applyBorder="1"/>
    <xf numFmtId="41" fontId="7" fillId="0" borderId="0" xfId="0" applyNumberFormat="1" applyFont="1" applyBorder="1"/>
    <xf numFmtId="10" fontId="57" fillId="0" borderId="0" xfId="0" applyNumberFormat="1" applyFont="1" applyBorder="1"/>
    <xf numFmtId="43" fontId="57" fillId="0" borderId="33" xfId="1" applyFont="1" applyBorder="1"/>
    <xf numFmtId="43" fontId="57" fillId="0" borderId="35" xfId="1" applyFont="1" applyBorder="1"/>
    <xf numFmtId="43" fontId="7" fillId="0" borderId="0" xfId="1" applyFont="1"/>
    <xf numFmtId="43" fontId="57" fillId="0" borderId="0" xfId="1" applyFont="1"/>
    <xf numFmtId="0" fontId="57" fillId="0" borderId="0" xfId="313" applyFont="1" applyFill="1" applyBorder="1" applyAlignment="1">
      <alignment horizontal="left"/>
    </xf>
    <xf numFmtId="3" fontId="6" fillId="0" borderId="0" xfId="191" applyNumberFormat="1" applyFont="1" applyFill="1" applyBorder="1" applyAlignment="1">
      <alignment horizontal="right"/>
    </xf>
    <xf numFmtId="164" fontId="6" fillId="0" borderId="0" xfId="191" applyNumberFormat="1" applyFont="1" applyFill="1" applyBorder="1"/>
    <xf numFmtId="164" fontId="6" fillId="0" borderId="0" xfId="98" applyNumberFormat="1" applyFont="1" applyFill="1" applyBorder="1"/>
    <xf numFmtId="44" fontId="6" fillId="0" borderId="0" xfId="128" applyFont="1" applyFill="1" applyBorder="1"/>
    <xf numFmtId="4" fontId="6" fillId="0" borderId="0" xfId="128" applyNumberFormat="1" applyFont="1" applyFill="1" applyBorder="1"/>
    <xf numFmtId="3" fontId="57" fillId="0" borderId="33" xfId="128" applyNumberFormat="1" applyFont="1" applyFill="1" applyBorder="1"/>
    <xf numFmtId="44" fontId="7" fillId="0" borderId="0" xfId="4" applyFont="1" applyFill="1" applyBorder="1"/>
    <xf numFmtId="44" fontId="7" fillId="0" borderId="33" xfId="4" applyFont="1" applyFill="1" applyBorder="1"/>
    <xf numFmtId="167" fontId="7" fillId="0" borderId="33" xfId="4" applyNumberFormat="1" applyFont="1" applyFill="1" applyBorder="1"/>
    <xf numFmtId="164" fontId="7" fillId="0" borderId="0" xfId="98" applyNumberFormat="1" applyFont="1" applyFill="1" applyBorder="1" applyAlignment="1">
      <alignment horizontal="right"/>
    </xf>
    <xf numFmtId="164" fontId="7" fillId="0" borderId="1" xfId="3" applyNumberFormat="1" applyFont="1" applyFill="1" applyBorder="1"/>
    <xf numFmtId="0" fontId="57" fillId="3" borderId="0" xfId="0" applyFont="1" applyFill="1" applyAlignment="1">
      <alignment horizontal="center"/>
    </xf>
    <xf numFmtId="2" fontId="57" fillId="3" borderId="0" xfId="314" applyNumberFormat="1" applyFont="1" applyFill="1" applyAlignment="1">
      <alignment horizontal="center" wrapText="1"/>
    </xf>
    <xf numFmtId="0" fontId="57" fillId="3" borderId="0" xfId="314" applyFont="1" applyFill="1" applyAlignment="1">
      <alignment horizontal="center" wrapText="1"/>
    </xf>
    <xf numFmtId="0" fontId="57" fillId="3" borderId="1" xfId="0" applyFont="1" applyFill="1" applyBorder="1" applyAlignment="1">
      <alignment horizontal="center"/>
    </xf>
    <xf numFmtId="3" fontId="57" fillId="3" borderId="1" xfId="0" applyNumberFormat="1" applyFont="1" applyFill="1" applyBorder="1" applyAlignment="1">
      <alignment horizontal="center" wrapText="1"/>
    </xf>
    <xf numFmtId="0" fontId="2" fillId="3" borderId="0" xfId="2" applyFont="1" applyFill="1" applyAlignment="1">
      <alignment horizontal="center"/>
    </xf>
    <xf numFmtId="0" fontId="2" fillId="0" borderId="0" xfId="2" applyFont="1" applyAlignment="1">
      <alignment horizontal="left"/>
    </xf>
    <xf numFmtId="0" fontId="6" fillId="3" borderId="1" xfId="2" applyFont="1" applyFill="1" applyBorder="1" applyAlignment="1">
      <alignment horizontal="center"/>
    </xf>
    <xf numFmtId="0" fontId="2" fillId="0" borderId="33" xfId="191" applyFont="1" applyFill="1" applyBorder="1" applyAlignment="1">
      <alignment horizontal="center" vertical="center" textRotation="90"/>
    </xf>
    <xf numFmtId="0" fontId="2" fillId="0" borderId="0" xfId="191" applyFont="1" applyFill="1" applyBorder="1" applyAlignment="1">
      <alignment horizontal="center" vertical="center" textRotation="90"/>
    </xf>
    <xf numFmtId="0" fontId="2" fillId="0" borderId="1" xfId="191" applyFont="1" applyFill="1" applyBorder="1" applyAlignment="1">
      <alignment horizontal="center" vertical="center" textRotation="90"/>
    </xf>
    <xf numFmtId="0" fontId="2" fillId="3" borderId="0" xfId="191" applyFont="1" applyFill="1" applyBorder="1" applyAlignment="1">
      <alignment horizontal="center"/>
    </xf>
    <xf numFmtId="0" fontId="1" fillId="0" borderId="0" xfId="191" applyFont="1" applyBorder="1"/>
    <xf numFmtId="171" fontId="6" fillId="0" borderId="0" xfId="128" applyNumberFormat="1" applyFont="1" applyBorder="1" applyAlignment="1">
      <alignment horizontal="right"/>
    </xf>
  </cellXfs>
  <cellStyles count="373">
    <cellStyle name="20% - Accent1 2" xfId="5"/>
    <cellStyle name="20% - Accent1 2 2" xfId="6"/>
    <cellStyle name="20% - Accent1 3" xfId="7"/>
    <cellStyle name="20% - Accent1 3 2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2 2" xfId="14"/>
    <cellStyle name="20% - Accent4 3" xfId="15"/>
    <cellStyle name="20% - Accent4 3 2" xfId="16"/>
    <cellStyle name="20% - Accent5 2" xfId="17"/>
    <cellStyle name="20% - Accent5 3" xfId="18"/>
    <cellStyle name="20% - Accent6 2" xfId="19"/>
    <cellStyle name="20% - Accent6 3" xfId="20"/>
    <cellStyle name="40% - Accent1 2" xfId="21"/>
    <cellStyle name="40% - Accent1 3" xfId="22"/>
    <cellStyle name="40% - Accent1 3 2" xfId="23"/>
    <cellStyle name="40% - Accent2 2" xfId="24"/>
    <cellStyle name="40% - Accent2 3" xfId="25"/>
    <cellStyle name="40% - Accent3 2" xfId="26"/>
    <cellStyle name="40% - Accent3 3" xfId="27"/>
    <cellStyle name="40% - Accent4 2" xfId="28"/>
    <cellStyle name="40% - Accent4 3" xfId="29"/>
    <cellStyle name="40% - Accent4 3 2" xfId="30"/>
    <cellStyle name="40% - Accent5 2" xfId="31"/>
    <cellStyle name="40% - Accent5 3" xfId="32"/>
    <cellStyle name="40% - Accent6 2" xfId="33"/>
    <cellStyle name="40% - Accent6 3" xfId="34"/>
    <cellStyle name="40% - Accent6 3 2" xfId="35"/>
    <cellStyle name="60% - Accent1 2" xfId="36"/>
    <cellStyle name="60% - Accent1 2 2" xfId="37"/>
    <cellStyle name="60% - Accent1 3" xfId="38"/>
    <cellStyle name="60% - Accent1 3 2" xfId="39"/>
    <cellStyle name="60% - Accent2 2" xfId="40"/>
    <cellStyle name="60% - Accent2 3" xfId="41"/>
    <cellStyle name="60% - Accent3 2" xfId="42"/>
    <cellStyle name="60% - Accent3 3" xfId="43"/>
    <cellStyle name="60% - Accent3 3 2" xfId="44"/>
    <cellStyle name="60% - Accent4 2" xfId="45"/>
    <cellStyle name="60% - Accent4 3" xfId="46"/>
    <cellStyle name="60% - Accent4 3 2" xfId="47"/>
    <cellStyle name="60% - Accent5 2" xfId="48"/>
    <cellStyle name="60% - Accent5 2 2" xfId="49"/>
    <cellStyle name="60% - Accent5 3" xfId="50"/>
    <cellStyle name="60% - Accent6 2" xfId="51"/>
    <cellStyle name="60% - Accent6 3" xfId="52"/>
    <cellStyle name="Accent1 2" xfId="53"/>
    <cellStyle name="Accent1 2 2" xfId="54"/>
    <cellStyle name="Accent1 3" xfId="55"/>
    <cellStyle name="Accent1 3 2" xfId="56"/>
    <cellStyle name="Accent2 2" xfId="57"/>
    <cellStyle name="Accent2 3" xfId="58"/>
    <cellStyle name="Accent3 2" xfId="59"/>
    <cellStyle name="Accent3 2 2" xfId="60"/>
    <cellStyle name="Accent3 3" xfId="61"/>
    <cellStyle name="Accent4 2" xfId="62"/>
    <cellStyle name="Accent4 3" xfId="63"/>
    <cellStyle name="Accent5 2" xfId="64"/>
    <cellStyle name="Accent5 3" xfId="65"/>
    <cellStyle name="Accent6 2" xfId="66"/>
    <cellStyle name="Accent6 2 2" xfId="67"/>
    <cellStyle name="Accent6 3" xfId="68"/>
    <cellStyle name="Accounting" xfId="69"/>
    <cellStyle name="Accounting 2" xfId="70"/>
    <cellStyle name="Accounting 3" xfId="71"/>
    <cellStyle name="Accounting_2011-11" xfId="72"/>
    <cellStyle name="Bad 2" xfId="73"/>
    <cellStyle name="Bad 3" xfId="74"/>
    <cellStyle name="Budget" xfId="75"/>
    <cellStyle name="Budget 2" xfId="76"/>
    <cellStyle name="Budget 3" xfId="77"/>
    <cellStyle name="Budget_2011-11" xfId="78"/>
    <cellStyle name="Calculation 2" xfId="79"/>
    <cellStyle name="Calculation 2 2" xfId="80"/>
    <cellStyle name="Calculation 3" xfId="81"/>
    <cellStyle name="Calculation 3 2" xfId="82"/>
    <cellStyle name="Check Cell 2" xfId="83"/>
    <cellStyle name="Check Cell 3" xfId="84"/>
    <cellStyle name="combo" xfId="85"/>
    <cellStyle name="Comma" xfId="1" builtinId="3"/>
    <cellStyle name="Comma 10" xfId="86"/>
    <cellStyle name="Comma 11" xfId="87"/>
    <cellStyle name="Comma 12" xfId="88"/>
    <cellStyle name="Comma 12 2" xfId="89"/>
    <cellStyle name="Comma 12 3" xfId="90"/>
    <cellStyle name="Comma 13" xfId="91"/>
    <cellStyle name="Comma 14" xfId="92"/>
    <cellStyle name="Comma 15" xfId="93"/>
    <cellStyle name="Comma 16" xfId="94"/>
    <cellStyle name="Comma 17" xfId="95"/>
    <cellStyle name="Comma 18" xfId="96"/>
    <cellStyle name="Comma 18 2" xfId="97"/>
    <cellStyle name="Comma 19" xfId="98"/>
    <cellStyle name="Comma 2" xfId="3"/>
    <cellStyle name="Comma 2 2" xfId="99"/>
    <cellStyle name="Comma 2 2 2" xfId="100"/>
    <cellStyle name="Comma 2 3" xfId="101"/>
    <cellStyle name="Comma 2 4" xfId="102"/>
    <cellStyle name="Comma 2 6" xfId="103"/>
    <cellStyle name="Comma 2 6 2" xfId="104"/>
    <cellStyle name="Comma 3" xfId="105"/>
    <cellStyle name="Comma 3 2" xfId="106"/>
    <cellStyle name="Comma 3 2 2" xfId="107"/>
    <cellStyle name="Comma 3 3" xfId="108"/>
    <cellStyle name="Comma 3 4" xfId="109"/>
    <cellStyle name="Comma 4" xfId="110"/>
    <cellStyle name="Comma 4 2" xfId="111"/>
    <cellStyle name="Comma 4 2 2" xfId="112"/>
    <cellStyle name="Comma 4 3" xfId="113"/>
    <cellStyle name="Comma 4 3 2" xfId="114"/>
    <cellStyle name="Comma 4 4" xfId="115"/>
    <cellStyle name="Comma 4 5" xfId="116"/>
    <cellStyle name="Comma 4 6" xfId="117"/>
    <cellStyle name="Comma 5" xfId="118"/>
    <cellStyle name="Comma 6" xfId="119"/>
    <cellStyle name="Comma 6 2" xfId="120"/>
    <cellStyle name="Comma 7" xfId="121"/>
    <cellStyle name="Comma 8" xfId="122"/>
    <cellStyle name="Comma 9" xfId="123"/>
    <cellStyle name="Comma(2)" xfId="124"/>
    <cellStyle name="Comma0 - Style2" xfId="125"/>
    <cellStyle name="Comma1 - Style1" xfId="126"/>
    <cellStyle name="Comments" xfId="127"/>
    <cellStyle name="Currency" xfId="372" builtinId="4"/>
    <cellStyle name="Currency 10" xfId="128"/>
    <cellStyle name="Currency 2" xfId="4"/>
    <cellStyle name="Currency 2 2" xfId="129"/>
    <cellStyle name="Currency 2 2 2" xfId="130"/>
    <cellStyle name="Currency 2 3" xfId="131"/>
    <cellStyle name="Currency 2 3 2" xfId="132"/>
    <cellStyle name="Currency 2 6" xfId="133"/>
    <cellStyle name="Currency 2 6 2" xfId="134"/>
    <cellStyle name="Currency 3" xfId="135"/>
    <cellStyle name="Currency 3 2" xfId="136"/>
    <cellStyle name="Currency 3 3" xfId="137"/>
    <cellStyle name="Currency 3 4" xfId="138"/>
    <cellStyle name="Currency 4" xfId="139"/>
    <cellStyle name="Currency 4 2" xfId="140"/>
    <cellStyle name="Currency 5" xfId="141"/>
    <cellStyle name="Currency 5 2" xfId="142"/>
    <cellStyle name="Currency 5 3" xfId="143"/>
    <cellStyle name="Currency 6" xfId="144"/>
    <cellStyle name="Currency 7" xfId="145"/>
    <cellStyle name="Currency 8" xfId="146"/>
    <cellStyle name="Currency 9" xfId="147"/>
    <cellStyle name="Data Enter" xfId="148"/>
    <cellStyle name="date" xfId="149"/>
    <cellStyle name="Explanatory Text 2" xfId="150"/>
    <cellStyle name="Explanatory Text 3" xfId="151"/>
    <cellStyle name="FactSheet" xfId="152"/>
    <cellStyle name="fish" xfId="153"/>
    <cellStyle name="Good 2" xfId="154"/>
    <cellStyle name="Good 3" xfId="155"/>
    <cellStyle name="Heading 1 2" xfId="156"/>
    <cellStyle name="Heading 1 2 2" xfId="157"/>
    <cellStyle name="Heading 1 3" xfId="158"/>
    <cellStyle name="Heading 1 3 2" xfId="159"/>
    <cellStyle name="Heading 2 2" xfId="160"/>
    <cellStyle name="Heading 2 2 2" xfId="161"/>
    <cellStyle name="Heading 2 3" xfId="162"/>
    <cellStyle name="Heading 2 3 2" xfId="163"/>
    <cellStyle name="Heading 3 2" xfId="164"/>
    <cellStyle name="Heading 3 2 2" xfId="165"/>
    <cellStyle name="Heading 3 3" xfId="166"/>
    <cellStyle name="Heading 3 3 2" xfId="167"/>
    <cellStyle name="Heading 4 2" xfId="168"/>
    <cellStyle name="Heading 4 3" xfId="169"/>
    <cellStyle name="Hyperlink 2" xfId="170"/>
    <cellStyle name="Hyperlink 3" xfId="171"/>
    <cellStyle name="Hyperlink 3 2" xfId="172"/>
    <cellStyle name="Input 2" xfId="173"/>
    <cellStyle name="Input 3" xfId="174"/>
    <cellStyle name="input(0)" xfId="175"/>
    <cellStyle name="Input(2)" xfId="176"/>
    <cellStyle name="Linked Cell 2" xfId="177"/>
    <cellStyle name="Linked Cell 2 2" xfId="178"/>
    <cellStyle name="Linked Cell 3" xfId="179"/>
    <cellStyle name="Neutral 2" xfId="180"/>
    <cellStyle name="Neutral 2 2" xfId="181"/>
    <cellStyle name="Neutral 3" xfId="182"/>
    <cellStyle name="New_normal" xfId="183"/>
    <cellStyle name="Normal" xfId="0" builtinId="0"/>
    <cellStyle name="Normal - Style1" xfId="184"/>
    <cellStyle name="Normal - Style2" xfId="185"/>
    <cellStyle name="Normal - Style3" xfId="186"/>
    <cellStyle name="Normal - Style4" xfId="187"/>
    <cellStyle name="Normal - Style5" xfId="188"/>
    <cellStyle name="Normal 10" xfId="189"/>
    <cellStyle name="Normal 10 2" xfId="190"/>
    <cellStyle name="Normal 10 2 2" xfId="191"/>
    <cellStyle name="Normal 10 2 3" xfId="192"/>
    <cellStyle name="Normal 10_2112 DF Schedule" xfId="193"/>
    <cellStyle name="Normal 11" xfId="194"/>
    <cellStyle name="Normal 12" xfId="195"/>
    <cellStyle name="Normal 12 2" xfId="196"/>
    <cellStyle name="Normal 13" xfId="197"/>
    <cellStyle name="Normal 13 2" xfId="198"/>
    <cellStyle name="Normal 14" xfId="199"/>
    <cellStyle name="Normal 14 2" xfId="200"/>
    <cellStyle name="Normal 15" xfId="201"/>
    <cellStyle name="Normal 15 2" xfId="202"/>
    <cellStyle name="Normal 16" xfId="203"/>
    <cellStyle name="Normal 16 2" xfId="204"/>
    <cellStyle name="Normal 17" xfId="205"/>
    <cellStyle name="Normal 17 2" xfId="206"/>
    <cellStyle name="Normal 18" xfId="207"/>
    <cellStyle name="Normal 18 2" xfId="208"/>
    <cellStyle name="Normal 19" xfId="209"/>
    <cellStyle name="Normal 19 2" xfId="210"/>
    <cellStyle name="Normal 2" xfId="2"/>
    <cellStyle name="Normal 2 2" xfId="211"/>
    <cellStyle name="Normal 2 2 2" xfId="212"/>
    <cellStyle name="Normal 2 2 3" xfId="213"/>
    <cellStyle name="Normal 2 2_Actual_Fuel" xfId="214"/>
    <cellStyle name="Normal 2 3" xfId="215"/>
    <cellStyle name="Normal 2 3 2" xfId="216"/>
    <cellStyle name="Normal 2 3 3" xfId="217"/>
    <cellStyle name="Normal 2 4" xfId="218"/>
    <cellStyle name="Normal 2 5" xfId="219"/>
    <cellStyle name="Normal 2_2012-10" xfId="220"/>
    <cellStyle name="Normal 20" xfId="221"/>
    <cellStyle name="Normal 21" xfId="222"/>
    <cellStyle name="Normal 22" xfId="223"/>
    <cellStyle name="Normal 23" xfId="224"/>
    <cellStyle name="Normal 24" xfId="225"/>
    <cellStyle name="Normal 25" xfId="226"/>
    <cellStyle name="Normal 26" xfId="227"/>
    <cellStyle name="Normal 27" xfId="228"/>
    <cellStyle name="Normal 28" xfId="229"/>
    <cellStyle name="Normal 29" xfId="230"/>
    <cellStyle name="Normal 3" xfId="231"/>
    <cellStyle name="Normal 3 2" xfId="232"/>
    <cellStyle name="Normal 3 3" xfId="233"/>
    <cellStyle name="Normal 3 4" xfId="234"/>
    <cellStyle name="Normal 3_2012 PR" xfId="235"/>
    <cellStyle name="Normal 30" xfId="236"/>
    <cellStyle name="Normal 31" xfId="237"/>
    <cellStyle name="Normal 32" xfId="238"/>
    <cellStyle name="Normal 33" xfId="239"/>
    <cellStyle name="Normal 34" xfId="240"/>
    <cellStyle name="Normal 35" xfId="241"/>
    <cellStyle name="Normal 36" xfId="242"/>
    <cellStyle name="Normal 37" xfId="243"/>
    <cellStyle name="Normal 38" xfId="244"/>
    <cellStyle name="Normal 39" xfId="245"/>
    <cellStyle name="Normal 4" xfId="246"/>
    <cellStyle name="Normal 4 2" xfId="247"/>
    <cellStyle name="Normal 40" xfId="248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47" xfId="255"/>
    <cellStyle name="Normal 48" xfId="256"/>
    <cellStyle name="Normal 49" xfId="257"/>
    <cellStyle name="Normal 5" xfId="258"/>
    <cellStyle name="Normal 5 2" xfId="259"/>
    <cellStyle name="Normal 5_2112 DF Schedule" xfId="260"/>
    <cellStyle name="Normal 50" xfId="261"/>
    <cellStyle name="Normal 51" xfId="262"/>
    <cellStyle name="Normal 52" xfId="263"/>
    <cellStyle name="Normal 53" xfId="264"/>
    <cellStyle name="Normal 54" xfId="265"/>
    <cellStyle name="Normal 55" xfId="266"/>
    <cellStyle name="Normal 56" xfId="267"/>
    <cellStyle name="Normal 57" xfId="268"/>
    <cellStyle name="Normal 58" xfId="269"/>
    <cellStyle name="Normal 59" xfId="270"/>
    <cellStyle name="Normal 6" xfId="271"/>
    <cellStyle name="Normal 6 2" xfId="272"/>
    <cellStyle name="Normal 60" xfId="273"/>
    <cellStyle name="Normal 61" xfId="274"/>
    <cellStyle name="Normal 62" xfId="275"/>
    <cellStyle name="Normal 63" xfId="276"/>
    <cellStyle name="Normal 64" xfId="277"/>
    <cellStyle name="Normal 65" xfId="278"/>
    <cellStyle name="Normal 66" xfId="279"/>
    <cellStyle name="Normal 67" xfId="280"/>
    <cellStyle name="Normal 68" xfId="281"/>
    <cellStyle name="Normal 69" xfId="282"/>
    <cellStyle name="Normal 7" xfId="283"/>
    <cellStyle name="Normal 70" xfId="284"/>
    <cellStyle name="Normal 71" xfId="285"/>
    <cellStyle name="Normal 72" xfId="286"/>
    <cellStyle name="Normal 73" xfId="287"/>
    <cellStyle name="Normal 74" xfId="288"/>
    <cellStyle name="Normal 75" xfId="289"/>
    <cellStyle name="Normal 76" xfId="290"/>
    <cellStyle name="Normal 77" xfId="291"/>
    <cellStyle name="Normal 78" xfId="292"/>
    <cellStyle name="Normal 79" xfId="293"/>
    <cellStyle name="Normal 8" xfId="294"/>
    <cellStyle name="Normal 80" xfId="295"/>
    <cellStyle name="Normal 81" xfId="296"/>
    <cellStyle name="Normal 82" xfId="297"/>
    <cellStyle name="Normal 83" xfId="298"/>
    <cellStyle name="Normal 84" xfId="299"/>
    <cellStyle name="Normal 84 2" xfId="300"/>
    <cellStyle name="Normal 84 3" xfId="301"/>
    <cellStyle name="Normal 85" xfId="302"/>
    <cellStyle name="Normal 85 2" xfId="303"/>
    <cellStyle name="Normal 86" xfId="304"/>
    <cellStyle name="Normal 87" xfId="305"/>
    <cellStyle name="Normal 88" xfId="306"/>
    <cellStyle name="Normal 89" xfId="307"/>
    <cellStyle name="Normal 9" xfId="308"/>
    <cellStyle name="Normal 90" xfId="309"/>
    <cellStyle name="Normal 91" xfId="310"/>
    <cellStyle name="Normal_Book3" xfId="311"/>
    <cellStyle name="Normal_Murrey's Jan-Dec 2012" xfId="312"/>
    <cellStyle name="Normal_Price out" xfId="313"/>
    <cellStyle name="Normal_Sheet1" xfId="314"/>
    <cellStyle name="Note 2" xfId="315"/>
    <cellStyle name="Note 2 2" xfId="316"/>
    <cellStyle name="Note 3" xfId="317"/>
    <cellStyle name="Note 3 2" xfId="318"/>
    <cellStyle name="Notes" xfId="319"/>
    <cellStyle name="Output 2" xfId="320"/>
    <cellStyle name="Output 3" xfId="321"/>
    <cellStyle name="Percent 2" xfId="322"/>
    <cellStyle name="Percent 2 2" xfId="323"/>
    <cellStyle name="Percent 2 2 2" xfId="324"/>
    <cellStyle name="Percent 2 3" xfId="325"/>
    <cellStyle name="Percent 2 6" xfId="326"/>
    <cellStyle name="Percent 3" xfId="327"/>
    <cellStyle name="Percent 3 2" xfId="328"/>
    <cellStyle name="Percent 4" xfId="329"/>
    <cellStyle name="Percent 4 2" xfId="330"/>
    <cellStyle name="Percent 4 3" xfId="331"/>
    <cellStyle name="Percent 5" xfId="332"/>
    <cellStyle name="Percent 6" xfId="333"/>
    <cellStyle name="Percent 7" xfId="334"/>
    <cellStyle name="Percent 7 2" xfId="335"/>
    <cellStyle name="Percent 7 3" xfId="336"/>
    <cellStyle name="Percent 8" xfId="337"/>
    <cellStyle name="Percent(1)" xfId="338"/>
    <cellStyle name="Percent(2)" xfId="339"/>
    <cellStyle name="PRM" xfId="340"/>
    <cellStyle name="PRM 2" xfId="341"/>
    <cellStyle name="PRM 3" xfId="342"/>
    <cellStyle name="PRM_2011-11" xfId="343"/>
    <cellStyle name="PS_Comma" xfId="344"/>
    <cellStyle name="PSChar" xfId="345"/>
    <cellStyle name="PSDate" xfId="346"/>
    <cellStyle name="PSDec" xfId="347"/>
    <cellStyle name="PSHeading" xfId="348"/>
    <cellStyle name="PSInt" xfId="349"/>
    <cellStyle name="PSSpacer" xfId="350"/>
    <cellStyle name="STYL0 - Style1" xfId="351"/>
    <cellStyle name="STYL1 - Style2" xfId="352"/>
    <cellStyle name="STYL2 - Style3" xfId="353"/>
    <cellStyle name="STYL3 - Style4" xfId="354"/>
    <cellStyle name="STYL4 - Style5" xfId="355"/>
    <cellStyle name="STYL5 - Style6" xfId="356"/>
    <cellStyle name="STYL6 - Style7" xfId="357"/>
    <cellStyle name="STYL7 - Style8" xfId="358"/>
    <cellStyle name="Style 1" xfId="359"/>
    <cellStyle name="Style 1 2" xfId="360"/>
    <cellStyle name="STYLE1" xfId="361"/>
    <cellStyle name="sub heading" xfId="362"/>
    <cellStyle name="Title 2" xfId="363"/>
    <cellStyle name="Title 3" xfId="364"/>
    <cellStyle name="Total 2" xfId="365"/>
    <cellStyle name="Total 2 2" xfId="366"/>
    <cellStyle name="Total 3" xfId="367"/>
    <cellStyle name="Total 3 2" xfId="368"/>
    <cellStyle name="Warning Text 2" xfId="369"/>
    <cellStyle name="Warning Text 3" xfId="370"/>
    <cellStyle name="WM_STANDARD" xfId="3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Dump%20Fee/Murreys-American%20Disp%20Fee%20Calc%203-1-2016,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ulation"/>
      <sheetName val="Consolidated Cust Cnt"/>
      <sheetName val="Disposal Schedule"/>
      <sheetName val="Proposed Rates"/>
      <sheetName val="Rev Recon"/>
      <sheetName val="Murrey's Rev 2015"/>
      <sheetName val="American Rev 2015"/>
      <sheetName val="Murrey's IS"/>
      <sheetName val="American IS"/>
    </sheetNames>
    <sheetDataSet>
      <sheetData sheetId="0">
        <row r="9">
          <cell r="C9">
            <v>1</v>
          </cell>
        </row>
        <row r="30">
          <cell r="C30">
            <v>324</v>
          </cell>
        </row>
      </sheetData>
      <sheetData sheetId="1"/>
      <sheetData sheetId="2"/>
      <sheetData sheetId="3"/>
      <sheetData sheetId="4">
        <row r="75">
          <cell r="C75">
            <v>22.96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85" zoomScaleNormal="85" workbookViewId="0">
      <selection activeCell="A2" sqref="A2"/>
    </sheetView>
  </sheetViews>
  <sheetFormatPr defaultRowHeight="15"/>
  <cols>
    <col min="1" max="1" width="31.28515625" style="43" customWidth="1"/>
    <col min="2" max="2" width="7" style="43" customWidth="1"/>
    <col min="3" max="3" width="19" style="43" bestFit="1" customWidth="1"/>
    <col min="4" max="4" width="11" style="43" customWidth="1"/>
    <col min="5" max="5" width="10.5703125" style="43" bestFit="1" customWidth="1"/>
    <col min="6" max="6" width="7" style="43" bestFit="1" customWidth="1"/>
    <col min="7" max="7" width="11.42578125" style="43" bestFit="1" customWidth="1"/>
    <col min="8" max="8" width="10.5703125" style="43" bestFit="1" customWidth="1"/>
    <col min="9" max="9" width="8" style="43" bestFit="1" customWidth="1"/>
    <col min="10" max="10" width="15.85546875" style="43" bestFit="1" customWidth="1"/>
    <col min="11" max="11" width="14.5703125" style="43" customWidth="1"/>
    <col min="12" max="16384" width="9.140625" style="43"/>
  </cols>
  <sheetData>
    <row r="1" spans="1:9">
      <c r="A1" s="111" t="s">
        <v>235</v>
      </c>
    </row>
    <row r="2" spans="1:9">
      <c r="A2" s="111" t="s">
        <v>276</v>
      </c>
    </row>
    <row r="3" spans="1:9">
      <c r="A3" s="1" t="s">
        <v>334</v>
      </c>
    </row>
    <row r="5" spans="1:9">
      <c r="A5" s="206" t="s">
        <v>120</v>
      </c>
      <c r="B5" s="206"/>
      <c r="C5" s="206"/>
      <c r="D5" s="206"/>
      <c r="E5" s="206"/>
      <c r="F5" s="206"/>
      <c r="G5" s="206"/>
      <c r="H5" s="206"/>
      <c r="I5" s="206"/>
    </row>
    <row r="6" spans="1:9">
      <c r="A6" s="43" t="s">
        <v>121</v>
      </c>
      <c r="C6" s="79" t="s">
        <v>122</v>
      </c>
      <c r="D6" s="79" t="s">
        <v>123</v>
      </c>
      <c r="E6" s="79" t="s">
        <v>124</v>
      </c>
      <c r="F6" s="80" t="s">
        <v>125</v>
      </c>
      <c r="G6" s="80" t="s">
        <v>126</v>
      </c>
      <c r="H6" s="80" t="s">
        <v>127</v>
      </c>
      <c r="I6" s="79" t="s">
        <v>128</v>
      </c>
    </row>
    <row r="7" spans="1:9">
      <c r="A7" s="43" t="s">
        <v>129</v>
      </c>
      <c r="C7" s="151">
        <f>52*5/12</f>
        <v>21.666666666666668</v>
      </c>
      <c r="D7" s="81">
        <f>$C$7*2</f>
        <v>43.333333333333336</v>
      </c>
      <c r="E7" s="81">
        <f>$C$7*3</f>
        <v>65</v>
      </c>
      <c r="F7" s="81">
        <f>$C$7*4</f>
        <v>86.666666666666671</v>
      </c>
      <c r="G7" s="81">
        <f>$C$7*5</f>
        <v>108.33333333333334</v>
      </c>
      <c r="H7" s="81">
        <f>$C$7*6</f>
        <v>130</v>
      </c>
      <c r="I7" s="81">
        <f>$C$7*7</f>
        <v>151.66666666666669</v>
      </c>
    </row>
    <row r="8" spans="1:9">
      <c r="A8" s="43" t="s">
        <v>130</v>
      </c>
      <c r="C8" s="151">
        <f>52*4/12</f>
        <v>17.333333333333332</v>
      </c>
      <c r="D8" s="81">
        <f>$C$8*2</f>
        <v>34.666666666666664</v>
      </c>
      <c r="E8" s="81">
        <f>$C$8*3</f>
        <v>52</v>
      </c>
      <c r="F8" s="81">
        <f>$C$8*4</f>
        <v>69.333333333333329</v>
      </c>
      <c r="G8" s="81">
        <f>$C$8*5</f>
        <v>86.666666666666657</v>
      </c>
      <c r="H8" s="81">
        <f>$C$8*6</f>
        <v>104</v>
      </c>
      <c r="I8" s="81">
        <f>$C$8*7</f>
        <v>121.33333333333333</v>
      </c>
    </row>
    <row r="9" spans="1:9">
      <c r="A9" s="43" t="s">
        <v>131</v>
      </c>
      <c r="C9" s="151">
        <f>52*3/12</f>
        <v>13</v>
      </c>
      <c r="D9" s="81">
        <f>$C$9*2</f>
        <v>26</v>
      </c>
      <c r="E9" s="81">
        <f>$C$9*3</f>
        <v>39</v>
      </c>
      <c r="F9" s="81">
        <f>$C$9*4</f>
        <v>52</v>
      </c>
      <c r="G9" s="81">
        <f>$C$9*5</f>
        <v>65</v>
      </c>
      <c r="H9" s="81">
        <f>$C$9*6</f>
        <v>78</v>
      </c>
      <c r="I9" s="81">
        <f>$C$9*7</f>
        <v>91</v>
      </c>
    </row>
    <row r="10" spans="1:9">
      <c r="A10" s="43" t="s">
        <v>132</v>
      </c>
      <c r="C10" s="151">
        <f>52*2/12</f>
        <v>8.6666666666666661</v>
      </c>
      <c r="D10" s="82">
        <f>$C$10*2</f>
        <v>17.333333333333332</v>
      </c>
      <c r="E10" s="82">
        <f>$C$10*3</f>
        <v>26</v>
      </c>
      <c r="F10" s="82">
        <f>$C$10*4</f>
        <v>34.666666666666664</v>
      </c>
      <c r="G10" s="82">
        <f>$C$10*5</f>
        <v>43.333333333333329</v>
      </c>
      <c r="H10" s="82">
        <f>$C$10*6</f>
        <v>52</v>
      </c>
      <c r="I10" s="82">
        <f>$C$10*7</f>
        <v>60.666666666666664</v>
      </c>
    </row>
    <row r="11" spans="1:9">
      <c r="A11" s="43" t="s">
        <v>133</v>
      </c>
      <c r="C11" s="151">
        <f>52/12</f>
        <v>4.333333333333333</v>
      </c>
      <c r="D11" s="82">
        <f>$C$11*2</f>
        <v>8.6666666666666661</v>
      </c>
      <c r="E11" s="82">
        <f>$C$11*3</f>
        <v>13</v>
      </c>
      <c r="F11" s="82">
        <f>$C$11*4</f>
        <v>17.333333333333332</v>
      </c>
      <c r="G11" s="82">
        <f>$C$11*5</f>
        <v>21.666666666666664</v>
      </c>
      <c r="H11" s="82">
        <f>$C$11*6</f>
        <v>26</v>
      </c>
      <c r="I11" s="82">
        <f>$C$11*7</f>
        <v>30.333333333333332</v>
      </c>
    </row>
    <row r="12" spans="1:9">
      <c r="A12" s="43" t="s">
        <v>134</v>
      </c>
      <c r="C12" s="152">
        <f>26/12</f>
        <v>2.1666666666666665</v>
      </c>
      <c r="D12" s="82">
        <f>$C$12*2</f>
        <v>4.333333333333333</v>
      </c>
      <c r="E12" s="82">
        <f>$C$12*3</f>
        <v>6.5</v>
      </c>
      <c r="F12" s="82">
        <f>$C$12*4</f>
        <v>8.6666666666666661</v>
      </c>
      <c r="G12" s="82">
        <f>$C$12*5</f>
        <v>10.833333333333332</v>
      </c>
      <c r="H12" s="82">
        <f>$C$12*6</f>
        <v>13</v>
      </c>
      <c r="I12" s="82">
        <f>$C$12*7</f>
        <v>15.166666666666666</v>
      </c>
    </row>
    <row r="13" spans="1:9">
      <c r="A13" s="43" t="s">
        <v>135</v>
      </c>
      <c r="C13" s="151">
        <f>12/12</f>
        <v>1</v>
      </c>
      <c r="D13" s="82">
        <f>$C$13*2</f>
        <v>2</v>
      </c>
      <c r="E13" s="82">
        <f>$C$13*3</f>
        <v>3</v>
      </c>
      <c r="F13" s="82">
        <f>$C$13*4</f>
        <v>4</v>
      </c>
      <c r="G13" s="82">
        <f>$C$13*5</f>
        <v>5</v>
      </c>
      <c r="H13" s="82">
        <f>$C$13*6</f>
        <v>6</v>
      </c>
      <c r="I13" s="82">
        <f>$C$13*7</f>
        <v>7</v>
      </c>
    </row>
    <row r="14" spans="1:9">
      <c r="A14" s="43" t="s">
        <v>136</v>
      </c>
      <c r="C14" s="151">
        <v>1</v>
      </c>
      <c r="D14" s="82"/>
      <c r="E14" s="82"/>
      <c r="F14" s="82"/>
      <c r="G14" s="82"/>
      <c r="H14" s="82"/>
      <c r="I14" s="82"/>
    </row>
    <row r="15" spans="1:9">
      <c r="A15" s="43" t="s">
        <v>288</v>
      </c>
      <c r="C15" s="151">
        <v>4</v>
      </c>
      <c r="D15" s="82"/>
      <c r="E15" s="82"/>
      <c r="F15" s="82"/>
      <c r="G15" s="82"/>
      <c r="H15" s="82"/>
      <c r="I15" s="82"/>
    </row>
    <row r="16" spans="1:9">
      <c r="C16" s="151"/>
      <c r="D16" s="82"/>
      <c r="E16" s="82"/>
      <c r="F16" s="82"/>
      <c r="G16" s="82"/>
      <c r="H16" s="82"/>
      <c r="I16" s="82"/>
    </row>
    <row r="17" spans="1:11">
      <c r="A17" s="206" t="s">
        <v>137</v>
      </c>
      <c r="B17" s="206"/>
      <c r="C17" s="206"/>
      <c r="D17" s="82"/>
      <c r="E17" s="82"/>
      <c r="F17" s="82"/>
      <c r="G17" s="82"/>
      <c r="H17" s="82"/>
      <c r="I17" s="82"/>
    </row>
    <row r="18" spans="1:11">
      <c r="A18" s="1" t="s">
        <v>138</v>
      </c>
      <c r="B18" s="1"/>
      <c r="C18" s="153" t="s">
        <v>139</v>
      </c>
      <c r="D18" s="82"/>
      <c r="E18" s="82"/>
      <c r="F18" s="82"/>
      <c r="G18" s="82"/>
      <c r="H18" s="82"/>
      <c r="I18" s="82"/>
      <c r="K18" s="83"/>
    </row>
    <row r="19" spans="1:11">
      <c r="A19" s="84" t="s">
        <v>140</v>
      </c>
      <c r="B19" s="84"/>
      <c r="C19" s="154">
        <v>20</v>
      </c>
      <c r="D19" s="82"/>
      <c r="E19" s="82"/>
      <c r="F19" s="82"/>
      <c r="G19" s="82"/>
      <c r="H19" s="82"/>
      <c r="I19" s="82"/>
    </row>
    <row r="20" spans="1:11">
      <c r="A20" s="84" t="s">
        <v>141</v>
      </c>
      <c r="B20" s="84"/>
      <c r="C20" s="154">
        <v>34</v>
      </c>
      <c r="D20" s="82"/>
      <c r="E20" s="82"/>
      <c r="F20" s="82"/>
      <c r="G20" s="82"/>
      <c r="H20" s="82"/>
      <c r="I20" s="82"/>
    </row>
    <row r="21" spans="1:11">
      <c r="A21" s="84" t="s">
        <v>142</v>
      </c>
      <c r="B21" s="84"/>
      <c r="C21" s="154">
        <v>51</v>
      </c>
      <c r="D21" s="82"/>
      <c r="E21" s="82"/>
      <c r="F21" s="82"/>
      <c r="G21" s="82"/>
      <c r="H21" s="82"/>
      <c r="I21" s="82"/>
    </row>
    <row r="22" spans="1:11">
      <c r="A22" s="84" t="s">
        <v>143</v>
      </c>
      <c r="B22" s="84"/>
      <c r="C22" s="154">
        <v>77</v>
      </c>
      <c r="D22" s="82"/>
      <c r="E22" s="82"/>
      <c r="F22" s="82"/>
      <c r="G22" s="43" t="s">
        <v>144</v>
      </c>
      <c r="H22" s="154">
        <v>2000</v>
      </c>
      <c r="I22" s="82"/>
    </row>
    <row r="23" spans="1:11">
      <c r="A23" s="84" t="s">
        <v>145</v>
      </c>
      <c r="B23" s="84"/>
      <c r="C23" s="154">
        <v>97</v>
      </c>
      <c r="D23" s="82"/>
      <c r="E23" s="82"/>
      <c r="F23" s="82"/>
      <c r="G23" s="43" t="s">
        <v>146</v>
      </c>
      <c r="H23" s="85" t="s">
        <v>147</v>
      </c>
      <c r="I23" s="82"/>
    </row>
    <row r="24" spans="1:11">
      <c r="A24" s="84" t="s">
        <v>148</v>
      </c>
      <c r="B24" s="84"/>
      <c r="C24" s="154">
        <v>117</v>
      </c>
      <c r="D24" s="82"/>
      <c r="E24" s="82"/>
      <c r="F24" s="82"/>
      <c r="I24" s="82"/>
    </row>
    <row r="25" spans="1:11">
      <c r="A25" s="84" t="s">
        <v>149</v>
      </c>
      <c r="B25" s="84"/>
      <c r="C25" s="154">
        <v>137</v>
      </c>
      <c r="D25" s="82"/>
      <c r="E25" s="82"/>
      <c r="F25" s="82"/>
      <c r="G25" s="2" t="s">
        <v>150</v>
      </c>
      <c r="H25" s="3">
        <v>12</v>
      </c>
      <c r="I25" s="82"/>
    </row>
    <row r="26" spans="1:11">
      <c r="A26" s="84" t="s">
        <v>151</v>
      </c>
      <c r="B26" s="84"/>
      <c r="C26" s="154">
        <v>40</v>
      </c>
      <c r="D26" s="82" t="s">
        <v>152</v>
      </c>
      <c r="E26" s="82"/>
      <c r="F26" s="82"/>
      <c r="G26" s="4"/>
      <c r="H26" s="5"/>
      <c r="I26" s="82"/>
    </row>
    <row r="27" spans="1:11">
      <c r="A27" s="84" t="s">
        <v>153</v>
      </c>
      <c r="B27" s="84"/>
      <c r="C27" s="154">
        <v>47</v>
      </c>
      <c r="D27" s="82"/>
      <c r="E27" s="82"/>
      <c r="F27" s="82"/>
      <c r="G27" s="82"/>
      <c r="H27" s="82"/>
      <c r="I27" s="82"/>
    </row>
    <row r="28" spans="1:11">
      <c r="A28" s="84" t="s">
        <v>154</v>
      </c>
      <c r="B28" s="84"/>
      <c r="C28" s="154">
        <v>68</v>
      </c>
      <c r="D28" s="82"/>
      <c r="E28" s="82"/>
      <c r="F28" s="82"/>
      <c r="G28" s="82"/>
      <c r="H28" s="82"/>
      <c r="I28" s="82"/>
    </row>
    <row r="29" spans="1:11">
      <c r="A29" s="84" t="s">
        <v>155</v>
      </c>
      <c r="B29" s="84"/>
      <c r="C29" s="154">
        <v>34</v>
      </c>
      <c r="D29" s="82"/>
      <c r="E29" s="82"/>
      <c r="F29" s="82"/>
      <c r="G29" s="82"/>
      <c r="H29" s="82"/>
      <c r="I29" s="82"/>
    </row>
    <row r="30" spans="1:11">
      <c r="A30" s="84" t="s">
        <v>156</v>
      </c>
      <c r="B30" s="84"/>
      <c r="C30" s="154">
        <v>34</v>
      </c>
      <c r="D30" s="82"/>
      <c r="E30" s="82"/>
      <c r="F30" s="82"/>
      <c r="G30" s="82"/>
      <c r="H30" s="82"/>
      <c r="I30" s="82"/>
    </row>
    <row r="31" spans="1:11">
      <c r="A31" s="1" t="s">
        <v>157</v>
      </c>
      <c r="B31" s="1"/>
      <c r="C31" s="154"/>
      <c r="D31" s="82"/>
      <c r="E31" s="82"/>
      <c r="F31" s="82"/>
      <c r="G31" s="82"/>
      <c r="H31" s="82"/>
      <c r="I31" s="82"/>
    </row>
    <row r="32" spans="1:11">
      <c r="A32" s="84" t="s">
        <v>158</v>
      </c>
      <c r="B32" s="84"/>
      <c r="C32" s="154">
        <v>29</v>
      </c>
      <c r="D32" s="82"/>
      <c r="E32" s="82"/>
      <c r="F32" s="82"/>
      <c r="G32" s="82"/>
      <c r="H32" s="82"/>
      <c r="I32" s="82"/>
    </row>
    <row r="33" spans="1:9">
      <c r="A33" s="84" t="s">
        <v>159</v>
      </c>
      <c r="B33" s="84"/>
      <c r="C33" s="154">
        <v>125</v>
      </c>
      <c r="D33" s="82"/>
      <c r="E33" s="82"/>
      <c r="F33" s="82"/>
      <c r="G33" s="82"/>
      <c r="H33" s="82"/>
      <c r="I33" s="82"/>
    </row>
    <row r="34" spans="1:9">
      <c r="A34" s="84" t="s">
        <v>160</v>
      </c>
      <c r="B34" s="84"/>
      <c r="C34" s="154">
        <v>175</v>
      </c>
      <c r="D34" s="82"/>
      <c r="E34" s="82"/>
      <c r="F34" s="82"/>
      <c r="G34" s="82"/>
      <c r="H34" s="82"/>
      <c r="I34" s="82"/>
    </row>
    <row r="35" spans="1:9">
      <c r="A35" s="84" t="s">
        <v>161</v>
      </c>
      <c r="B35" s="84"/>
      <c r="C35" s="154">
        <v>250</v>
      </c>
      <c r="D35" s="82"/>
      <c r="E35" s="82"/>
      <c r="F35" s="82"/>
      <c r="G35" s="82"/>
      <c r="H35" s="82"/>
      <c r="I35" s="82"/>
    </row>
    <row r="36" spans="1:9">
      <c r="A36" s="84" t="s">
        <v>162</v>
      </c>
      <c r="B36" s="84"/>
      <c r="C36" s="154">
        <v>324</v>
      </c>
      <c r="D36" s="82"/>
      <c r="E36" s="82"/>
      <c r="F36" s="82"/>
      <c r="G36" s="82"/>
      <c r="H36" s="82"/>
      <c r="I36" s="82"/>
    </row>
    <row r="37" spans="1:9">
      <c r="A37" s="84" t="s">
        <v>163</v>
      </c>
      <c r="B37" s="84"/>
      <c r="C37" s="154">
        <v>473</v>
      </c>
      <c r="D37" s="82"/>
      <c r="E37" s="82"/>
      <c r="F37" s="82"/>
      <c r="G37" s="82"/>
      <c r="H37" s="82"/>
      <c r="I37" s="82"/>
    </row>
    <row r="38" spans="1:9">
      <c r="A38" s="84" t="s">
        <v>164</v>
      </c>
      <c r="B38" s="84"/>
      <c r="C38" s="154">
        <v>613</v>
      </c>
      <c r="D38" s="82"/>
      <c r="E38" s="82"/>
      <c r="F38" s="82"/>
      <c r="G38" s="82"/>
      <c r="H38" s="82"/>
      <c r="I38" s="82"/>
    </row>
    <row r="39" spans="1:9">
      <c r="A39" s="84" t="s">
        <v>165</v>
      </c>
      <c r="B39" s="84"/>
      <c r="C39" s="154">
        <v>840</v>
      </c>
      <c r="D39" s="82"/>
      <c r="E39" s="82"/>
      <c r="F39" s="82"/>
      <c r="G39" s="82"/>
      <c r="H39" s="82"/>
      <c r="I39" s="82"/>
    </row>
    <row r="40" spans="1:9">
      <c r="A40" s="84" t="s">
        <v>166</v>
      </c>
      <c r="B40" s="84"/>
      <c r="C40" s="154">
        <v>980</v>
      </c>
      <c r="D40" s="6"/>
      <c r="E40" s="82"/>
      <c r="F40" s="82"/>
      <c r="G40" s="82"/>
      <c r="H40" s="82"/>
      <c r="I40" s="82"/>
    </row>
    <row r="41" spans="1:9">
      <c r="A41" s="7" t="s">
        <v>167</v>
      </c>
      <c r="B41" s="7">
        <v>2.25</v>
      </c>
      <c r="C41" s="154"/>
      <c r="D41" s="6"/>
      <c r="E41" s="82"/>
      <c r="F41" s="82"/>
      <c r="G41" s="82"/>
      <c r="H41" s="82"/>
      <c r="I41" s="82"/>
    </row>
    <row r="42" spans="1:9">
      <c r="A42" s="84" t="s">
        <v>168</v>
      </c>
      <c r="B42" s="84"/>
      <c r="C42" s="154">
        <f>C36*$B$41</f>
        <v>729</v>
      </c>
      <c r="D42" s="82" t="s">
        <v>152</v>
      </c>
      <c r="E42" s="82"/>
      <c r="F42" s="82"/>
      <c r="G42" s="82"/>
      <c r="H42" s="82"/>
      <c r="I42" s="82"/>
    </row>
    <row r="43" spans="1:9">
      <c r="A43" s="84" t="s">
        <v>169</v>
      </c>
      <c r="B43" s="84"/>
      <c r="C43" s="154">
        <f>C38*$B$41</f>
        <v>1379.25</v>
      </c>
      <c r="D43" s="82" t="s">
        <v>152</v>
      </c>
      <c r="E43" s="82"/>
      <c r="F43" s="82"/>
      <c r="G43" s="82"/>
      <c r="H43" s="82"/>
      <c r="I43" s="82"/>
    </row>
    <row r="44" spans="1:9">
      <c r="A44" s="84" t="s">
        <v>170</v>
      </c>
      <c r="B44" s="84"/>
      <c r="C44" s="154">
        <f>C39*$B$41</f>
        <v>1890</v>
      </c>
      <c r="D44" s="82" t="s">
        <v>152</v>
      </c>
      <c r="E44" s="82"/>
      <c r="F44" s="82"/>
      <c r="G44" s="82"/>
      <c r="H44" s="82"/>
      <c r="I44" s="82"/>
    </row>
    <row r="45" spans="1:9">
      <c r="A45" s="7" t="s">
        <v>171</v>
      </c>
      <c r="B45" s="7">
        <v>3</v>
      </c>
      <c r="C45" s="154"/>
      <c r="D45" s="82"/>
      <c r="E45" s="82"/>
      <c r="F45" s="82"/>
      <c r="G45" s="82"/>
      <c r="H45" s="82"/>
      <c r="I45" s="82"/>
    </row>
    <row r="46" spans="1:9">
      <c r="A46" s="84" t="s">
        <v>168</v>
      </c>
      <c r="B46" s="84"/>
      <c r="C46" s="155">
        <f>C36*$B$45</f>
        <v>972</v>
      </c>
      <c r="D46" s="82" t="s">
        <v>152</v>
      </c>
      <c r="E46" s="82"/>
      <c r="F46" s="82"/>
      <c r="G46" s="82"/>
      <c r="H46" s="82"/>
      <c r="I46" s="82"/>
    </row>
    <row r="47" spans="1:9">
      <c r="A47" s="84" t="s">
        <v>172</v>
      </c>
      <c r="B47" s="84"/>
      <c r="C47" s="155">
        <f t="shared" ref="C47:C49" si="0">C37*$B$45</f>
        <v>1419</v>
      </c>
      <c r="D47" s="82" t="s">
        <v>152</v>
      </c>
      <c r="E47" s="82"/>
      <c r="F47" s="82"/>
      <c r="G47" s="82"/>
      <c r="H47" s="82"/>
      <c r="I47" s="82"/>
    </row>
    <row r="48" spans="1:9">
      <c r="A48" s="84" t="s">
        <v>169</v>
      </c>
      <c r="B48" s="84"/>
      <c r="C48" s="155">
        <f t="shared" si="0"/>
        <v>1839</v>
      </c>
      <c r="D48" s="82" t="s">
        <v>152</v>
      </c>
      <c r="E48" s="82"/>
      <c r="F48" s="82"/>
      <c r="G48" s="82"/>
      <c r="H48" s="82"/>
      <c r="I48" s="82"/>
    </row>
    <row r="49" spans="1:9">
      <c r="A49" s="84" t="s">
        <v>170</v>
      </c>
      <c r="B49" s="84"/>
      <c r="C49" s="155">
        <f t="shared" si="0"/>
        <v>2520</v>
      </c>
      <c r="D49" s="82" t="s">
        <v>152</v>
      </c>
      <c r="E49" s="82"/>
      <c r="F49" s="82"/>
      <c r="G49" s="82"/>
      <c r="H49" s="82"/>
      <c r="I49" s="82"/>
    </row>
    <row r="50" spans="1:9">
      <c r="A50" s="7" t="s">
        <v>173</v>
      </c>
      <c r="B50" s="7">
        <v>4</v>
      </c>
      <c r="C50" s="154"/>
      <c r="D50" s="82"/>
      <c r="E50" s="82"/>
      <c r="F50" s="82"/>
      <c r="G50" s="82"/>
      <c r="H50" s="82"/>
      <c r="I50" s="82"/>
    </row>
    <row r="51" spans="1:9">
      <c r="A51" s="84" t="s">
        <v>172</v>
      </c>
      <c r="B51" s="84"/>
      <c r="C51" s="155">
        <f t="shared" ref="C51:C53" si="1">C37*$B$50</f>
        <v>1892</v>
      </c>
      <c r="D51" s="82" t="s">
        <v>152</v>
      </c>
      <c r="E51" s="82"/>
      <c r="F51" s="82"/>
      <c r="G51" s="82"/>
      <c r="H51" s="82"/>
      <c r="I51" s="82"/>
    </row>
    <row r="52" spans="1:9">
      <c r="A52" s="84" t="s">
        <v>169</v>
      </c>
      <c r="B52" s="84"/>
      <c r="C52" s="155">
        <f t="shared" si="1"/>
        <v>2452</v>
      </c>
      <c r="D52" s="82" t="s">
        <v>152</v>
      </c>
      <c r="E52" s="82"/>
      <c r="F52" s="82"/>
      <c r="G52" s="82"/>
      <c r="H52" s="82"/>
      <c r="I52" s="82"/>
    </row>
    <row r="53" spans="1:9">
      <c r="A53" s="84" t="s">
        <v>170</v>
      </c>
      <c r="B53" s="84"/>
      <c r="C53" s="155">
        <f t="shared" si="1"/>
        <v>3360</v>
      </c>
      <c r="D53" s="82" t="s">
        <v>152</v>
      </c>
      <c r="E53" s="82"/>
      <c r="F53" s="82"/>
      <c r="G53" s="82"/>
      <c r="H53" s="82"/>
      <c r="I53" s="82"/>
    </row>
    <row r="54" spans="1:9">
      <c r="A54" s="7" t="s">
        <v>174</v>
      </c>
      <c r="B54" s="7">
        <v>5</v>
      </c>
      <c r="C54" s="154"/>
      <c r="D54" s="82"/>
      <c r="E54" s="82"/>
      <c r="F54" s="82"/>
      <c r="G54" s="82"/>
      <c r="H54" s="82"/>
      <c r="I54" s="82"/>
    </row>
    <row r="55" spans="1:9">
      <c r="A55" s="84" t="s">
        <v>168</v>
      </c>
      <c r="B55" s="7"/>
      <c r="C55" s="154">
        <f>C36*$B$54</f>
        <v>1620</v>
      </c>
      <c r="D55" s="82" t="s">
        <v>152</v>
      </c>
      <c r="E55" s="82"/>
      <c r="F55" s="82"/>
      <c r="G55" s="82"/>
      <c r="H55" s="82"/>
      <c r="I55" s="82"/>
    </row>
    <row r="56" spans="1:9">
      <c r="A56" s="84" t="s">
        <v>169</v>
      </c>
      <c r="B56" s="84"/>
      <c r="C56" s="155">
        <f>C38*$B$54</f>
        <v>3065</v>
      </c>
      <c r="D56" s="82" t="s">
        <v>152</v>
      </c>
      <c r="E56" s="82"/>
      <c r="F56" s="82"/>
      <c r="G56" s="82"/>
      <c r="H56" s="82"/>
      <c r="I56" s="82"/>
    </row>
    <row r="57" spans="1:9">
      <c r="A57" s="84" t="s">
        <v>170</v>
      </c>
      <c r="B57" s="84"/>
      <c r="C57" s="155">
        <f>C39*$B$54</f>
        <v>4200</v>
      </c>
      <c r="D57" s="82" t="s">
        <v>152</v>
      </c>
      <c r="E57" s="82"/>
      <c r="F57" s="82"/>
      <c r="G57" s="82"/>
      <c r="H57" s="82"/>
      <c r="I57" s="82"/>
    </row>
    <row r="58" spans="1:9">
      <c r="C58" s="207" t="s">
        <v>175</v>
      </c>
      <c r="D58" s="207"/>
    </row>
    <row r="59" spans="1:9">
      <c r="C59" s="43" t="s">
        <v>326</v>
      </c>
    </row>
    <row r="61" spans="1:9">
      <c r="A61" s="8" t="s">
        <v>176</v>
      </c>
      <c r="B61" s="8"/>
      <c r="C61" s="86" t="s">
        <v>177</v>
      </c>
      <c r="D61" s="86" t="s">
        <v>178</v>
      </c>
      <c r="G61" s="208" t="s">
        <v>179</v>
      </c>
      <c r="H61" s="208"/>
    </row>
    <row r="62" spans="1:9">
      <c r="A62" s="87" t="s">
        <v>180</v>
      </c>
      <c r="B62" s="87"/>
      <c r="C62" s="156">
        <v>120.17</v>
      </c>
      <c r="D62" s="157">
        <f>C62/$H$22</f>
        <v>6.0085E-2</v>
      </c>
      <c r="G62" s="43" t="s">
        <v>181</v>
      </c>
      <c r="H62" s="158">
        <f>0.015</f>
        <v>1.4999999999999999E-2</v>
      </c>
    </row>
    <row r="63" spans="1:9">
      <c r="A63" s="87" t="s">
        <v>182</v>
      </c>
      <c r="B63" s="87"/>
      <c r="C63" s="196">
        <v>134.59</v>
      </c>
      <c r="D63" s="157">
        <f>C63/$H$22</f>
        <v>6.7295000000000008E-2</v>
      </c>
      <c r="G63" s="43" t="s">
        <v>183</v>
      </c>
      <c r="H63" s="159">
        <f>0.004275</f>
        <v>4.2750000000000002E-3</v>
      </c>
    </row>
    <row r="64" spans="1:9">
      <c r="A64" s="84" t="s">
        <v>184</v>
      </c>
      <c r="B64" s="84"/>
      <c r="C64" s="197">
        <f>C63-C62</f>
        <v>14.420000000000002</v>
      </c>
      <c r="D64" s="198">
        <f>D63-D62</f>
        <v>7.2100000000000081E-3</v>
      </c>
      <c r="E64" s="88">
        <f>C64/C62</f>
        <v>0.11999667138220856</v>
      </c>
      <c r="G64" s="43" t="s">
        <v>185</v>
      </c>
      <c r="H64" s="160"/>
    </row>
    <row r="65" spans="1:10">
      <c r="D65" s="89"/>
      <c r="G65" s="43" t="s">
        <v>23</v>
      </c>
      <c r="H65" s="90">
        <f>SUM(H62:H64)</f>
        <v>1.9275E-2</v>
      </c>
      <c r="J65" s="91"/>
    </row>
    <row r="66" spans="1:10">
      <c r="C66" s="86" t="s">
        <v>186</v>
      </c>
    </row>
    <row r="67" spans="1:10">
      <c r="A67" s="43" t="s">
        <v>187</v>
      </c>
      <c r="C67" s="92">
        <f>C64</f>
        <v>14.420000000000002</v>
      </c>
      <c r="G67" s="43" t="s">
        <v>188</v>
      </c>
      <c r="H67" s="93">
        <f>1-H65</f>
        <v>0.98072499999999996</v>
      </c>
    </row>
    <row r="68" spans="1:10">
      <c r="A68" s="43" t="s">
        <v>189</v>
      </c>
      <c r="C68" s="92">
        <f>C67/$H$67</f>
        <v>14.703408192918507</v>
      </c>
      <c r="D68" s="92"/>
    </row>
    <row r="69" spans="1:10">
      <c r="A69" s="43" t="s">
        <v>190</v>
      </c>
      <c r="C69" s="200">
        <f>'DF Tons'!G22</f>
        <v>2266.0480985270869</v>
      </c>
      <c r="D69" s="92"/>
    </row>
    <row r="70" spans="1:10">
      <c r="A70" s="1" t="s">
        <v>191</v>
      </c>
      <c r="B70" s="1"/>
      <c r="C70" s="9">
        <f>C68*C69</f>
        <v>33318.630177430576</v>
      </c>
      <c r="H70" s="94"/>
    </row>
    <row r="71" spans="1:10">
      <c r="H71" s="95"/>
    </row>
    <row r="72" spans="1:10">
      <c r="H72" s="94"/>
    </row>
    <row r="73" spans="1:10" ht="15.75" thickBot="1">
      <c r="H73" s="94"/>
    </row>
    <row r="74" spans="1:10">
      <c r="A74" s="10" t="s">
        <v>192</v>
      </c>
      <c r="B74" s="11"/>
      <c r="C74" s="96" t="s">
        <v>193</v>
      </c>
      <c r="E74" s="92"/>
      <c r="H74" s="97"/>
    </row>
    <row r="75" spans="1:10">
      <c r="A75" s="98" t="s">
        <v>194</v>
      </c>
      <c r="B75" s="99"/>
      <c r="C75" s="161">
        <f>'DF Calculation'!R42</f>
        <v>33318.630177430605</v>
      </c>
    </row>
    <row r="76" spans="1:10">
      <c r="A76" s="98" t="s">
        <v>195</v>
      </c>
      <c r="B76" s="99"/>
      <c r="C76" s="161">
        <f>C75-C70</f>
        <v>0</v>
      </c>
    </row>
    <row r="77" spans="1:10">
      <c r="A77" s="98"/>
      <c r="B77" s="99"/>
      <c r="C77" s="100"/>
    </row>
    <row r="78" spans="1:10" ht="15.75" thickBot="1">
      <c r="A78" s="12" t="s">
        <v>196</v>
      </c>
      <c r="B78" s="13"/>
      <c r="C78" s="101">
        <f>C76/C70</f>
        <v>0</v>
      </c>
    </row>
  </sheetData>
  <mergeCells count="4">
    <mergeCell ref="A5:I5"/>
    <mergeCell ref="A17:C17"/>
    <mergeCell ref="C58:D58"/>
    <mergeCell ref="G61:H61"/>
  </mergeCells>
  <pageMargins left="0.28000000000000003" right="0.52" top="0.75" bottom="0.75" header="0.3" footer="0.3"/>
  <pageSetup scale="58" orientation="portrait" r:id="rId1"/>
  <headerFoot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zoomScale="85" zoomScaleNormal="85" workbookViewId="0">
      <selection activeCell="A2" sqref="A2"/>
    </sheetView>
  </sheetViews>
  <sheetFormatPr defaultColWidth="8.85546875" defaultRowHeight="15"/>
  <cols>
    <col min="1" max="1" width="4.5703125" style="46" customWidth="1"/>
    <col min="2" max="2" width="11" style="47" bestFit="1" customWidth="1"/>
    <col min="3" max="3" width="35.7109375" style="46" customWidth="1"/>
    <col min="4" max="4" width="13.28515625" style="48" customWidth="1"/>
    <col min="5" max="5" width="11.42578125" style="46" bestFit="1" customWidth="1"/>
    <col min="6" max="6" width="13.28515625" style="46" customWidth="1"/>
    <col min="7" max="7" width="12.42578125" style="46" customWidth="1"/>
    <col min="8" max="8" width="17.28515625" style="46" customWidth="1"/>
    <col min="9" max="9" width="16.28515625" style="123" customWidth="1"/>
    <col min="10" max="10" width="13.42578125" style="46" customWidth="1"/>
    <col min="11" max="11" width="13.5703125" style="46" customWidth="1"/>
    <col min="12" max="12" width="10.7109375" style="46" customWidth="1"/>
    <col min="13" max="13" width="16.5703125" style="46" customWidth="1"/>
    <col min="14" max="14" width="10.42578125" style="46" customWidth="1"/>
    <col min="15" max="15" width="18.140625" style="46" customWidth="1"/>
    <col min="16" max="16" width="19" style="46" customWidth="1"/>
    <col min="17" max="17" width="17.7109375" style="46" customWidth="1"/>
    <col min="18" max="18" width="16" style="51" customWidth="1"/>
    <col min="19" max="19" width="3.7109375" style="52" customWidth="1"/>
    <col min="20" max="20" width="13.85546875" style="53" customWidth="1"/>
    <col min="21" max="21" width="14.28515625" style="53" customWidth="1"/>
    <col min="22" max="22" width="3.28515625" style="53" customWidth="1"/>
    <col min="23" max="23" width="13.28515625" style="53" customWidth="1"/>
    <col min="24" max="24" width="12.5703125" style="53" customWidth="1"/>
    <col min="25" max="25" width="5.28515625" style="53" customWidth="1"/>
    <col min="26" max="26" width="12.5703125" style="54" customWidth="1"/>
    <col min="27" max="27" width="18.7109375" style="53" customWidth="1"/>
    <col min="28" max="28" width="8.85546875" style="53"/>
    <col min="29" max="29" width="14.28515625" style="53" customWidth="1"/>
    <col min="30" max="30" width="8.85546875" style="53"/>
    <col min="31" max="16384" width="8.85546875" style="46"/>
  </cols>
  <sheetData>
    <row r="1" spans="1:31">
      <c r="A1" s="111" t="s">
        <v>235</v>
      </c>
    </row>
    <row r="2" spans="1:31">
      <c r="A2" s="111" t="s">
        <v>276</v>
      </c>
    </row>
    <row r="3" spans="1:31">
      <c r="A3" s="39" t="s">
        <v>335</v>
      </c>
    </row>
    <row r="4" spans="1:31">
      <c r="A4" s="39" t="s">
        <v>336</v>
      </c>
    </row>
    <row r="5" spans="1:31">
      <c r="A5" s="213"/>
    </row>
    <row r="6" spans="1:31" ht="45">
      <c r="A6" s="14"/>
      <c r="B6" s="15" t="s">
        <v>197</v>
      </c>
      <c r="C6" s="15" t="s">
        <v>198</v>
      </c>
      <c r="D6" s="15" t="s">
        <v>199</v>
      </c>
      <c r="E6" s="15" t="s">
        <v>200</v>
      </c>
      <c r="F6" s="15" t="s">
        <v>201</v>
      </c>
      <c r="G6" s="15" t="s">
        <v>137</v>
      </c>
      <c r="H6" s="15" t="s">
        <v>202</v>
      </c>
      <c r="I6" s="15" t="s">
        <v>203</v>
      </c>
      <c r="J6" s="15" t="s">
        <v>184</v>
      </c>
      <c r="K6" s="15" t="s">
        <v>204</v>
      </c>
      <c r="L6" s="15" t="s">
        <v>205</v>
      </c>
      <c r="M6" s="15" t="s">
        <v>206</v>
      </c>
      <c r="N6" s="15" t="s">
        <v>207</v>
      </c>
      <c r="O6" s="15" t="s">
        <v>208</v>
      </c>
      <c r="P6" s="15" t="s">
        <v>209</v>
      </c>
      <c r="Q6" s="15" t="s">
        <v>210</v>
      </c>
      <c r="R6" s="15" t="s">
        <v>211</v>
      </c>
      <c r="T6" s="32"/>
      <c r="U6" s="33"/>
      <c r="W6" s="32"/>
      <c r="X6" s="33"/>
      <c r="Z6" s="34"/>
    </row>
    <row r="7" spans="1:31" s="53" customFormat="1">
      <c r="A7" s="209" t="s">
        <v>72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55"/>
      <c r="T7" s="33"/>
      <c r="U7" s="33"/>
      <c r="W7" s="33"/>
      <c r="X7" s="33"/>
      <c r="Z7" s="34"/>
    </row>
    <row r="8" spans="1:31" s="53" customFormat="1" ht="15" customHeight="1">
      <c r="A8" s="210"/>
      <c r="B8" s="57">
        <v>22</v>
      </c>
      <c r="C8" s="16" t="s">
        <v>212</v>
      </c>
      <c r="D8" s="51">
        <f>'Vashon Total 16'!E6</f>
        <v>7738.7232876712324</v>
      </c>
      <c r="E8" s="124">
        <f>References!$C$14</f>
        <v>1</v>
      </c>
      <c r="F8" s="17">
        <f>D8*E8</f>
        <v>7738.7232876712324</v>
      </c>
      <c r="G8" s="17">
        <f>References!$C$20</f>
        <v>34</v>
      </c>
      <c r="H8" s="17">
        <f>F8*G8</f>
        <v>263116.59178082191</v>
      </c>
      <c r="I8" s="128">
        <f t="shared" ref="I8:I15" si="0">$D$58*H8</f>
        <v>181009.19836771896</v>
      </c>
      <c r="J8" s="126">
        <f>I8*References!$D$64</f>
        <v>1305.0763202312551</v>
      </c>
      <c r="K8" s="126">
        <f>J8/References!$H$67</f>
        <v>1330.7260651367662</v>
      </c>
      <c r="L8" s="126">
        <f>K8/F8*E8</f>
        <v>0.17195679644687409</v>
      </c>
      <c r="M8" s="142">
        <f>'Proposed Rates'!C19</f>
        <v>3.65</v>
      </c>
      <c r="N8" s="125">
        <f>L8+M8</f>
        <v>3.8219567964468739</v>
      </c>
      <c r="O8" s="125">
        <f>'Proposed Rates'!E19</f>
        <v>3.82</v>
      </c>
      <c r="P8" s="126">
        <f>D8*M8</f>
        <v>28246.339999999997</v>
      </c>
      <c r="Q8" s="127">
        <f>D8*N8</f>
        <v>29577.066065136762</v>
      </c>
      <c r="R8" s="129">
        <f t="shared" ref="R8:R15" si="1">Q8-P8</f>
        <v>1330.7260651367651</v>
      </c>
      <c r="S8" s="55"/>
      <c r="T8" s="54"/>
      <c r="U8" s="54"/>
      <c r="V8" s="54"/>
      <c r="W8" s="54"/>
      <c r="X8" s="54"/>
      <c r="Y8" s="54"/>
      <c r="Z8" s="54"/>
      <c r="AA8" s="54"/>
      <c r="AC8" s="56"/>
    </row>
    <row r="9" spans="1:31" s="53" customFormat="1">
      <c r="A9" s="210"/>
      <c r="B9" s="57">
        <v>21</v>
      </c>
      <c r="C9" s="16" t="s">
        <v>213</v>
      </c>
      <c r="D9" s="51">
        <f>'Vashon Total 16'!E18</f>
        <v>1132.8099585062241</v>
      </c>
      <c r="E9" s="124">
        <f>References!$C$11</f>
        <v>4.333333333333333</v>
      </c>
      <c r="F9" s="17">
        <f t="shared" ref="F9:F30" si="2">D9*E9</f>
        <v>4908.843153526971</v>
      </c>
      <c r="G9" s="17">
        <f>References!C19</f>
        <v>20</v>
      </c>
      <c r="H9" s="17">
        <f>F9*G9</f>
        <v>98176.863070539417</v>
      </c>
      <c r="I9" s="128">
        <f t="shared" si="0"/>
        <v>67540.078572692059</v>
      </c>
      <c r="J9" s="126">
        <f>I9*References!$D$64</f>
        <v>486.96396650911026</v>
      </c>
      <c r="K9" s="126">
        <f>J9/References!$H$67</f>
        <v>496.53467231804052</v>
      </c>
      <c r="L9" s="126">
        <f>K9/F9*E9</f>
        <v>0.43832124584497317</v>
      </c>
      <c r="M9" s="126">
        <f>'Proposed Rates'!C12</f>
        <v>12.05</v>
      </c>
      <c r="N9" s="126">
        <f>L9+M9</f>
        <v>12.488321245844974</v>
      </c>
      <c r="O9" s="126">
        <f>'Proposed Rates'!E12</f>
        <v>12.49</v>
      </c>
      <c r="P9" s="126">
        <f>D9*M9</f>
        <v>13650.36</v>
      </c>
      <c r="Q9" s="127">
        <f t="shared" ref="Q9:Q15" si="3">D9*N9</f>
        <v>14146.894672318042</v>
      </c>
      <c r="R9" s="129">
        <f t="shared" si="1"/>
        <v>496.53467231804098</v>
      </c>
      <c r="S9" s="55"/>
      <c r="T9" s="54"/>
      <c r="U9" s="54"/>
      <c r="V9" s="54"/>
      <c r="W9" s="54"/>
      <c r="X9" s="54"/>
      <c r="Y9" s="54"/>
      <c r="Z9" s="54"/>
      <c r="AA9" s="54"/>
      <c r="AC9" s="56"/>
    </row>
    <row r="10" spans="1:31" s="53" customFormat="1">
      <c r="A10" s="210"/>
      <c r="B10" s="57">
        <v>21</v>
      </c>
      <c r="C10" s="16" t="s">
        <v>214</v>
      </c>
      <c r="D10" s="51">
        <f>'Vashon Total 16'!E20</f>
        <v>1065.2014652014652</v>
      </c>
      <c r="E10" s="124">
        <f>References!$C$13</f>
        <v>1</v>
      </c>
      <c r="F10" s="17">
        <f t="shared" si="2"/>
        <v>1065.2014652014652</v>
      </c>
      <c r="G10" s="17">
        <f>References!$C$20</f>
        <v>34</v>
      </c>
      <c r="H10" s="17">
        <f t="shared" ref="H10:H15" si="4">F10*G10</f>
        <v>36216.849816849819</v>
      </c>
      <c r="I10" s="128">
        <f t="shared" si="0"/>
        <v>24915.125680150588</v>
      </c>
      <c r="J10" s="126">
        <f>I10*References!$D$64</f>
        <v>179.63805615388594</v>
      </c>
      <c r="K10" s="126">
        <f>J10/References!$H$67</f>
        <v>183.1686315265604</v>
      </c>
      <c r="L10" s="126">
        <f t="shared" ref="L10:L15" si="5">K10/F10*E10</f>
        <v>0.17195679644687412</v>
      </c>
      <c r="M10" s="126">
        <f>'Proposed Rates'!C10</f>
        <v>5.46</v>
      </c>
      <c r="N10" s="126">
        <f t="shared" ref="N10:N30" si="6">L10+M10</f>
        <v>5.6319567964468744</v>
      </c>
      <c r="O10" s="126">
        <f>'Proposed Rates'!E10</f>
        <v>5.63</v>
      </c>
      <c r="P10" s="126">
        <f t="shared" ref="P10:P15" si="7">D10*M10</f>
        <v>5816</v>
      </c>
      <c r="Q10" s="127">
        <f t="shared" si="3"/>
        <v>5999.1686315265606</v>
      </c>
      <c r="R10" s="129">
        <f t="shared" si="1"/>
        <v>183.1686315265606</v>
      </c>
      <c r="S10" s="55"/>
      <c r="T10" s="54"/>
      <c r="U10" s="54"/>
      <c r="V10" s="54"/>
      <c r="W10" s="54"/>
      <c r="X10" s="54"/>
      <c r="Y10" s="54"/>
      <c r="Z10" s="54"/>
      <c r="AA10" s="54"/>
      <c r="AC10" s="56"/>
    </row>
    <row r="11" spans="1:31" s="53" customFormat="1">
      <c r="A11" s="210"/>
      <c r="B11" s="57">
        <v>21</v>
      </c>
      <c r="C11" s="16" t="s">
        <v>260</v>
      </c>
      <c r="D11" s="51">
        <f>'Vashon Total 16'!E19</f>
        <v>2681.8248712288455</v>
      </c>
      <c r="E11" s="124">
        <f>References!$C$12</f>
        <v>2.1666666666666665</v>
      </c>
      <c r="F11" s="17">
        <f t="shared" ref="F11" si="8">D11*E11</f>
        <v>5810.6205543291644</v>
      </c>
      <c r="G11" s="17">
        <f>References!$C$20</f>
        <v>34</v>
      </c>
      <c r="H11" s="17">
        <f t="shared" ref="H11" si="9">F11*G11</f>
        <v>197561.09884719158</v>
      </c>
      <c r="I11" s="128">
        <f t="shared" si="0"/>
        <v>135910.76065915482</v>
      </c>
      <c r="J11" s="126">
        <f>I11*References!$D$64</f>
        <v>979.91658435250736</v>
      </c>
      <c r="K11" s="126">
        <f>J11/References!$H$67</f>
        <v>999.17569589080267</v>
      </c>
      <c r="L11" s="126">
        <f t="shared" ref="L11" si="10">K11/F11*E11</f>
        <v>0.37257305896822712</v>
      </c>
      <c r="M11" s="126">
        <f>'Proposed Rates'!C11</f>
        <v>13.59</v>
      </c>
      <c r="N11" s="126">
        <f t="shared" ref="N11" si="11">L11+M11</f>
        <v>13.962573058968227</v>
      </c>
      <c r="O11" s="126">
        <f>'Proposed Rates'!E11</f>
        <v>13.959999999999999</v>
      </c>
      <c r="P11" s="126">
        <f t="shared" ref="P11" si="12">D11*M11</f>
        <v>36446.000000000007</v>
      </c>
      <c r="Q11" s="127">
        <f t="shared" ref="Q11" si="13">D11*N11</f>
        <v>37445.175695890815</v>
      </c>
      <c r="R11" s="129">
        <f t="shared" ref="R11" si="14">Q11-P11</f>
        <v>999.17569589080813</v>
      </c>
      <c r="S11" s="55"/>
      <c r="T11" s="54"/>
      <c r="U11" s="54"/>
      <c r="V11" s="54"/>
      <c r="W11" s="54"/>
      <c r="X11" s="54"/>
      <c r="Y11" s="54"/>
      <c r="Z11" s="54"/>
      <c r="AA11" s="54"/>
      <c r="AC11" s="56"/>
    </row>
    <row r="12" spans="1:31" s="53" customFormat="1">
      <c r="A12" s="210"/>
      <c r="B12" s="57">
        <v>21</v>
      </c>
      <c r="C12" s="16" t="s">
        <v>215</v>
      </c>
      <c r="D12" s="51">
        <f>'Vashon Total 16'!E21</f>
        <v>14815.41918294849</v>
      </c>
      <c r="E12" s="124">
        <f>References!$C$11</f>
        <v>4.333333333333333</v>
      </c>
      <c r="F12" s="17">
        <f>D12*E12</f>
        <v>64200.149792776785</v>
      </c>
      <c r="G12" s="17">
        <f>References!$C$20</f>
        <v>34</v>
      </c>
      <c r="H12" s="17">
        <f t="shared" si="4"/>
        <v>2182805.0929544107</v>
      </c>
      <c r="I12" s="128">
        <f t="shared" si="0"/>
        <v>1501645.325346035</v>
      </c>
      <c r="J12" s="126">
        <f>I12*References!$D$64</f>
        <v>10826.862795744924</v>
      </c>
      <c r="K12" s="126">
        <f>J12/References!$H$67</f>
        <v>11039.652089775345</v>
      </c>
      <c r="L12" s="126">
        <f t="shared" si="5"/>
        <v>0.74514611793645447</v>
      </c>
      <c r="M12" s="126">
        <f>'Proposed Rates'!C13</f>
        <v>16.89</v>
      </c>
      <c r="N12" s="126">
        <f t="shared" si="6"/>
        <v>17.635146117936454</v>
      </c>
      <c r="O12" s="126">
        <f>'Proposed Rates'!E13</f>
        <v>17.64</v>
      </c>
      <c r="P12" s="126">
        <f t="shared" si="7"/>
        <v>250232.43</v>
      </c>
      <c r="Q12" s="127">
        <f t="shared" si="3"/>
        <v>261272.08208977533</v>
      </c>
      <c r="R12" s="129">
        <f t="shared" si="1"/>
        <v>11039.652089775336</v>
      </c>
      <c r="S12" s="55"/>
      <c r="T12" s="54"/>
      <c r="U12" s="54"/>
      <c r="V12" s="54"/>
      <c r="W12" s="54"/>
      <c r="X12" s="54"/>
      <c r="Y12" s="54"/>
      <c r="Z12" s="54"/>
      <c r="AA12" s="54"/>
      <c r="AC12" s="56"/>
    </row>
    <row r="13" spans="1:31" s="53" customFormat="1">
      <c r="A13" s="210"/>
      <c r="B13" s="57">
        <v>21</v>
      </c>
      <c r="C13" s="16" t="s">
        <v>216</v>
      </c>
      <c r="D13" s="51">
        <f>'Vashon Total 16'!E22</f>
        <v>2967.7462813429661</v>
      </c>
      <c r="E13" s="124">
        <f>References!$C$11</f>
        <v>4.333333333333333</v>
      </c>
      <c r="F13" s="17">
        <f t="shared" si="2"/>
        <v>12860.233885819518</v>
      </c>
      <c r="G13" s="17">
        <f>References!$C$21</f>
        <v>51</v>
      </c>
      <c r="H13" s="17">
        <f t="shared" si="4"/>
        <v>655871.92817679537</v>
      </c>
      <c r="I13" s="128">
        <f t="shared" si="0"/>
        <v>451202.45419591619</v>
      </c>
      <c r="J13" s="126">
        <f>I13*References!$D$64</f>
        <v>3253.1696947525593</v>
      </c>
      <c r="K13" s="126">
        <f>J13/References!$H$67</f>
        <v>3317.106930844589</v>
      </c>
      <c r="L13" s="126">
        <f t="shared" si="5"/>
        <v>1.1177191769046815</v>
      </c>
      <c r="M13" s="126">
        <f>'Proposed Rates'!C14</f>
        <v>23.53</v>
      </c>
      <c r="N13" s="126">
        <f t="shared" si="6"/>
        <v>24.647719176904683</v>
      </c>
      <c r="O13" s="126">
        <f>'Proposed Rates'!E14</f>
        <v>24.650000000000002</v>
      </c>
      <c r="P13" s="126">
        <f t="shared" si="7"/>
        <v>69831.069999999992</v>
      </c>
      <c r="Q13" s="127">
        <f t="shared" si="3"/>
        <v>73148.17693084458</v>
      </c>
      <c r="R13" s="129">
        <f t="shared" si="1"/>
        <v>3317.1069308445876</v>
      </c>
      <c r="S13" s="55"/>
      <c r="T13" s="54"/>
      <c r="U13" s="54"/>
      <c r="V13" s="54"/>
      <c r="W13" s="54"/>
      <c r="X13" s="54"/>
      <c r="Y13" s="54"/>
      <c r="Z13" s="54"/>
      <c r="AA13" s="54"/>
      <c r="AC13" s="56"/>
    </row>
    <row r="14" spans="1:31" s="53" customFormat="1">
      <c r="A14" s="210"/>
      <c r="B14" s="57">
        <v>21</v>
      </c>
      <c r="C14" s="16" t="s">
        <v>217</v>
      </c>
      <c r="D14" s="51">
        <f>'Vashon Total 16'!E23</f>
        <v>230.03804692454028</v>
      </c>
      <c r="E14" s="124">
        <f>References!$C$11</f>
        <v>4.333333333333333</v>
      </c>
      <c r="F14" s="17">
        <f t="shared" si="2"/>
        <v>996.8315366730078</v>
      </c>
      <c r="G14" s="17">
        <f>References!$C$22</f>
        <v>77</v>
      </c>
      <c r="H14" s="17">
        <f t="shared" si="4"/>
        <v>76756.028323821607</v>
      </c>
      <c r="I14" s="128">
        <f t="shared" si="0"/>
        <v>52803.766812084235</v>
      </c>
      <c r="J14" s="126">
        <f>I14*References!$D$64</f>
        <v>380.71515871512776</v>
      </c>
      <c r="K14" s="126">
        <f>J14/References!$H$67</f>
        <v>388.19766878087921</v>
      </c>
      <c r="L14" s="126">
        <f t="shared" si="5"/>
        <v>1.6875367965031467</v>
      </c>
      <c r="M14" s="126">
        <f>'Proposed Rates'!C15</f>
        <v>31.54</v>
      </c>
      <c r="N14" s="126">
        <f t="shared" si="6"/>
        <v>33.227536796503145</v>
      </c>
      <c r="O14" s="126">
        <f>'Proposed Rates'!E15</f>
        <v>33.229999999999997</v>
      </c>
      <c r="P14" s="126">
        <f t="shared" si="7"/>
        <v>7255.4000000000005</v>
      </c>
      <c r="Q14" s="127">
        <f t="shared" si="3"/>
        <v>7643.5976687808798</v>
      </c>
      <c r="R14" s="129">
        <f t="shared" si="1"/>
        <v>388.19766878087921</v>
      </c>
      <c r="S14" s="55"/>
      <c r="T14" s="54"/>
      <c r="U14" s="54"/>
      <c r="V14" s="54"/>
      <c r="W14" s="54"/>
      <c r="X14" s="54"/>
      <c r="Y14" s="54"/>
      <c r="Z14" s="54"/>
      <c r="AA14" s="54"/>
      <c r="AC14" s="56"/>
    </row>
    <row r="15" spans="1:31" s="53" customFormat="1">
      <c r="A15" s="211"/>
      <c r="B15" s="57">
        <v>21</v>
      </c>
      <c r="C15" s="16" t="s">
        <v>218</v>
      </c>
      <c r="D15" s="51">
        <f>'Vashon Total 16'!E24</f>
        <v>42</v>
      </c>
      <c r="E15" s="124">
        <f>References!$C$11</f>
        <v>4.333333333333333</v>
      </c>
      <c r="F15" s="17">
        <f t="shared" si="2"/>
        <v>182</v>
      </c>
      <c r="G15" s="17">
        <f>References!$C$23</f>
        <v>97</v>
      </c>
      <c r="H15" s="17">
        <f t="shared" si="4"/>
        <v>17654</v>
      </c>
      <c r="I15" s="128">
        <f t="shared" si="0"/>
        <v>12144.944438340917</v>
      </c>
      <c r="J15" s="126">
        <f>I15*References!$D$64</f>
        <v>87.565049400438113</v>
      </c>
      <c r="K15" s="126">
        <f>J15/References!$H$67</f>
        <v>89.286037778621036</v>
      </c>
      <c r="L15" s="126">
        <f t="shared" si="5"/>
        <v>2.1258580423481197</v>
      </c>
      <c r="M15" s="126">
        <f>'Proposed Rates'!C16</f>
        <v>39.46</v>
      </c>
      <c r="N15" s="126">
        <f t="shared" si="6"/>
        <v>41.585858042348121</v>
      </c>
      <c r="O15" s="126">
        <f>'Proposed Rates'!E16</f>
        <v>41.59</v>
      </c>
      <c r="P15" s="126">
        <f t="shared" si="7"/>
        <v>1657.32</v>
      </c>
      <c r="Q15" s="127">
        <f t="shared" si="3"/>
        <v>1746.6060377786212</v>
      </c>
      <c r="R15" s="129">
        <f t="shared" si="1"/>
        <v>89.286037778621221</v>
      </c>
      <c r="S15" s="55"/>
      <c r="T15" s="54"/>
      <c r="U15" s="54"/>
      <c r="V15" s="54"/>
      <c r="W15" s="54"/>
      <c r="X15" s="54"/>
      <c r="Y15" s="54"/>
      <c r="Z15" s="54"/>
      <c r="AA15" s="54"/>
      <c r="AC15" s="56"/>
    </row>
    <row r="16" spans="1:31" s="53" customFormat="1">
      <c r="A16" s="58"/>
      <c r="B16" s="58"/>
      <c r="C16" s="35" t="s">
        <v>322</v>
      </c>
      <c r="D16" s="18">
        <f>SUM(D8:D15)</f>
        <v>30673.763093823763</v>
      </c>
      <c r="E16" s="130"/>
      <c r="F16" s="19">
        <f>SUM(F8:F15)</f>
        <v>97762.603675998151</v>
      </c>
      <c r="G16" s="59"/>
      <c r="H16" s="36">
        <f>SUM(H8:H15)</f>
        <v>3528158.4529704303</v>
      </c>
      <c r="I16" s="37">
        <f>SUM(I8:I15)</f>
        <v>2427171.6540720928</v>
      </c>
      <c r="J16" s="38">
        <f>SUM(J8:J15)</f>
        <v>17499.907625859807</v>
      </c>
      <c r="K16" s="38">
        <f>SUM(K8:K15)</f>
        <v>17843.847792051602</v>
      </c>
      <c r="L16" s="131"/>
      <c r="M16" s="131"/>
      <c r="N16" s="131"/>
      <c r="O16" s="131"/>
      <c r="P16" s="38">
        <f>SUM(P8:P15)</f>
        <v>413134.92000000004</v>
      </c>
      <c r="Q16" s="38">
        <f>SUM(Q8:Q15)</f>
        <v>430978.76779205154</v>
      </c>
      <c r="R16" s="38">
        <f>SUM(R8:R15)</f>
        <v>17843.847792051598</v>
      </c>
      <c r="S16" s="20"/>
      <c r="V16" s="21"/>
      <c r="W16" s="21"/>
      <c r="X16" s="21"/>
      <c r="Y16" s="54"/>
      <c r="Z16" s="21"/>
      <c r="AA16" s="54"/>
      <c r="AC16" s="60"/>
      <c r="AE16" s="60"/>
    </row>
    <row r="17" spans="1:31" s="53" customFormat="1">
      <c r="A17" s="209" t="s">
        <v>24</v>
      </c>
      <c r="B17" s="57"/>
      <c r="C17" s="189"/>
      <c r="D17" s="190"/>
      <c r="E17" s="132"/>
      <c r="F17" s="191"/>
      <c r="G17" s="62"/>
      <c r="H17" s="21"/>
      <c r="I17" s="192"/>
      <c r="J17" s="192"/>
      <c r="K17" s="192"/>
      <c r="L17" s="126"/>
      <c r="M17" s="126"/>
      <c r="N17" s="126"/>
      <c r="O17" s="126"/>
      <c r="P17" s="193"/>
      <c r="Q17" s="193"/>
      <c r="R17" s="194"/>
      <c r="S17" s="20"/>
      <c r="T17" s="40"/>
      <c r="U17" s="40"/>
      <c r="V17" s="21"/>
      <c r="W17" s="21"/>
      <c r="X17" s="21"/>
      <c r="Y17" s="54"/>
      <c r="Z17" s="21"/>
      <c r="AA17" s="54"/>
      <c r="AC17" s="60"/>
      <c r="AE17" s="60"/>
    </row>
    <row r="18" spans="1:31" s="53" customFormat="1" ht="15" customHeight="1">
      <c r="A18" s="210"/>
      <c r="B18" s="57">
        <v>36</v>
      </c>
      <c r="C18" s="22" t="s">
        <v>220</v>
      </c>
      <c r="D18" s="133">
        <f>'Vashon Total 16'!E33</f>
        <v>1637.0246575342467</v>
      </c>
      <c r="E18" s="124">
        <f>References!$C$14</f>
        <v>1</v>
      </c>
      <c r="F18" s="17">
        <f t="shared" si="2"/>
        <v>1637.0246575342467</v>
      </c>
      <c r="G18" s="17">
        <f>References!$C$32</f>
        <v>29</v>
      </c>
      <c r="H18" s="17">
        <f>F18*G18</f>
        <v>47473.715068493155</v>
      </c>
      <c r="I18" s="128">
        <f t="shared" ref="I18:I39" si="15">$D$58*H18</f>
        <v>32659.206513451758</v>
      </c>
      <c r="J18" s="126">
        <f>I18*References!$D$64</f>
        <v>235.47287896198745</v>
      </c>
      <c r="K18" s="126">
        <f>J18/References!$H$67</f>
        <v>240.10082231205226</v>
      </c>
      <c r="L18" s="126">
        <f t="shared" ref="L18:L36" si="16">K18/F18</f>
        <v>0.14666903226351025</v>
      </c>
      <c r="M18" s="126">
        <f>'Proposed Rates'!C62</f>
        <v>3.65</v>
      </c>
      <c r="N18" s="126">
        <f t="shared" si="6"/>
        <v>3.7966690322635102</v>
      </c>
      <c r="O18" s="126">
        <f>'Proposed Rates'!E63</f>
        <v>3.8</v>
      </c>
      <c r="P18" s="126">
        <f>F18*M18</f>
        <v>5975.14</v>
      </c>
      <c r="Q18" s="127">
        <f t="shared" ref="Q18:Q36" si="17">F18*N18</f>
        <v>6215.2408223120528</v>
      </c>
      <c r="R18" s="129">
        <f t="shared" ref="R18:R39" si="18">Q18-P18</f>
        <v>240.10082231205251</v>
      </c>
      <c r="S18" s="55"/>
      <c r="T18" s="55"/>
      <c r="U18" s="54"/>
      <c r="V18" s="54"/>
      <c r="W18" s="54"/>
      <c r="X18" s="54"/>
      <c r="Y18" s="54"/>
      <c r="Z18" s="54"/>
      <c r="AA18" s="54"/>
      <c r="AB18" s="54"/>
      <c r="AC18" s="56"/>
    </row>
    <row r="19" spans="1:31" s="53" customFormat="1">
      <c r="A19" s="210"/>
      <c r="B19" s="57">
        <v>28</v>
      </c>
      <c r="C19" s="22" t="s">
        <v>221</v>
      </c>
      <c r="D19" s="133">
        <f>'Vashon Total 16'!E34</f>
        <v>8.5</v>
      </c>
      <c r="E19" s="124">
        <f>References!$C$14</f>
        <v>1</v>
      </c>
      <c r="F19" s="17">
        <f t="shared" si="2"/>
        <v>8.5</v>
      </c>
      <c r="G19" s="17">
        <f>References!C33</f>
        <v>125</v>
      </c>
      <c r="H19" s="17">
        <f t="shared" ref="H19:H39" si="19">F19*G19</f>
        <v>1062.5</v>
      </c>
      <c r="I19" s="128">
        <f t="shared" si="15"/>
        <v>730.9393602434136</v>
      </c>
      <c r="J19" s="126">
        <f>I19*References!$D$64</f>
        <v>5.2700727873550184</v>
      </c>
      <c r="K19" s="126">
        <f>J19/References!$H$67</f>
        <v>5.373649888964815</v>
      </c>
      <c r="L19" s="126">
        <f t="shared" si="16"/>
        <v>0.63219410458409586</v>
      </c>
      <c r="M19" s="126">
        <f>'Proposed Rates'!C27</f>
        <v>15.78</v>
      </c>
      <c r="N19" s="126">
        <f t="shared" si="6"/>
        <v>16.412194104584096</v>
      </c>
      <c r="O19" s="126">
        <f>'Proposed Rates'!E27</f>
        <v>16.41</v>
      </c>
      <c r="P19" s="126">
        <f t="shared" ref="P19:P36" si="20">F19*M19</f>
        <v>134.13</v>
      </c>
      <c r="Q19" s="127">
        <f t="shared" si="17"/>
        <v>139.50364988896482</v>
      </c>
      <c r="R19" s="129">
        <f t="shared" si="18"/>
        <v>5.3736498889648203</v>
      </c>
      <c r="S19" s="55"/>
      <c r="T19" s="55"/>
      <c r="U19" s="54"/>
      <c r="V19" s="54"/>
      <c r="W19" s="54"/>
      <c r="X19" s="54"/>
      <c r="Y19" s="54"/>
      <c r="Z19" s="54"/>
      <c r="AA19" s="54"/>
      <c r="AB19" s="54"/>
      <c r="AC19" s="56"/>
    </row>
    <row r="20" spans="1:31" s="53" customFormat="1">
      <c r="A20" s="210"/>
      <c r="B20" s="57">
        <v>36</v>
      </c>
      <c r="C20" s="22" t="s">
        <v>285</v>
      </c>
      <c r="D20" s="54">
        <f>'Vashon Total 16'!E32</f>
        <v>42.500361010830318</v>
      </c>
      <c r="E20" s="124">
        <f>References!$C$11</f>
        <v>4.333333333333333</v>
      </c>
      <c r="F20" s="17">
        <f t="shared" ref="F20" si="21">D20*E20</f>
        <v>184.16823104693137</v>
      </c>
      <c r="G20" s="17">
        <f>References!$C$32</f>
        <v>29</v>
      </c>
      <c r="H20" s="17">
        <f t="shared" ref="H20" si="22">F20*G20</f>
        <v>5340.8787003610096</v>
      </c>
      <c r="I20" s="128">
        <f t="shared" si="15"/>
        <v>3674.219727416048</v>
      </c>
      <c r="J20" s="126">
        <f>I20*References!$D$64</f>
        <v>26.491124234669737</v>
      </c>
      <c r="K20" s="126">
        <f>J20/References!$H$67</f>
        <v>27.011776221335989</v>
      </c>
      <c r="L20" s="126">
        <f>K20/F20*E20</f>
        <v>0.6355658064752111</v>
      </c>
      <c r="M20" s="126">
        <f>'Proposed Rates'!C61</f>
        <v>13.85</v>
      </c>
      <c r="N20" s="126">
        <f t="shared" ref="N20" si="23">L20+M20</f>
        <v>14.485565806475211</v>
      </c>
      <c r="O20" s="126">
        <f>'Proposed Rates'!E61</f>
        <v>14.49</v>
      </c>
      <c r="P20" s="126">
        <f t="shared" ref="P20" si="24">D20*M20</f>
        <v>588.62999999999988</v>
      </c>
      <c r="Q20" s="127">
        <f>D20*N20</f>
        <v>615.64177622133593</v>
      </c>
      <c r="R20" s="129">
        <f t="shared" ref="R20" si="25">Q20-P20</f>
        <v>27.011776221336049</v>
      </c>
      <c r="S20" s="55"/>
      <c r="T20" s="55"/>
      <c r="U20" s="54"/>
      <c r="V20" s="54"/>
      <c r="W20" s="54"/>
      <c r="X20" s="54"/>
      <c r="Y20" s="54"/>
      <c r="Z20" s="54"/>
      <c r="AA20" s="54"/>
      <c r="AB20" s="54"/>
      <c r="AC20" s="56"/>
    </row>
    <row r="21" spans="1:31" s="53" customFormat="1">
      <c r="A21" s="210"/>
      <c r="B21" s="57">
        <v>36</v>
      </c>
      <c r="C21" s="22" t="s">
        <v>215</v>
      </c>
      <c r="D21" s="54">
        <f>'Vashon Total 16'!E28</f>
        <v>141.99999999999997</v>
      </c>
      <c r="E21" s="124">
        <f>References!$C$11</f>
        <v>4.333333333333333</v>
      </c>
      <c r="F21" s="17">
        <f t="shared" si="2"/>
        <v>615.33333333333314</v>
      </c>
      <c r="G21" s="17">
        <f>References!$C$32</f>
        <v>29</v>
      </c>
      <c r="H21" s="17">
        <f t="shared" si="19"/>
        <v>17844.666666666661</v>
      </c>
      <c r="I21" s="128">
        <f t="shared" si="15"/>
        <v>12276.112223143809</v>
      </c>
      <c r="J21" s="126">
        <f>I21*References!$D$64</f>
        <v>88.510769128866968</v>
      </c>
      <c r="K21" s="126">
        <f>J21/References!$H$67</f>
        <v>90.250344519479953</v>
      </c>
      <c r="L21" s="126">
        <f>K21/F21</f>
        <v>0.14666903226351027</v>
      </c>
      <c r="M21" s="126">
        <f>'Proposed Rates'!C60</f>
        <v>3.25</v>
      </c>
      <c r="N21" s="126">
        <f t="shared" si="6"/>
        <v>3.3966690322635102</v>
      </c>
      <c r="O21" s="126">
        <f>'Proposed Rates'!E60</f>
        <v>3.4</v>
      </c>
      <c r="P21" s="126">
        <f>F21*M21</f>
        <v>1999.8333333333328</v>
      </c>
      <c r="Q21" s="127">
        <f>F21*N21</f>
        <v>2090.0836778528128</v>
      </c>
      <c r="R21" s="129">
        <f t="shared" si="18"/>
        <v>90.250344519479995</v>
      </c>
      <c r="S21" s="55"/>
      <c r="T21" s="55"/>
      <c r="U21" s="54"/>
      <c r="V21" s="54"/>
      <c r="W21" s="54"/>
      <c r="X21" s="54"/>
      <c r="Y21" s="54"/>
      <c r="Z21" s="54"/>
      <c r="AA21" s="54"/>
      <c r="AB21" s="54"/>
      <c r="AC21" s="56"/>
    </row>
    <row r="22" spans="1:31" s="53" customFormat="1">
      <c r="A22" s="210"/>
      <c r="B22" s="57" t="s">
        <v>219</v>
      </c>
      <c r="C22" s="22" t="s">
        <v>222</v>
      </c>
      <c r="D22" s="54">
        <f>'Vashon Total 16'!E29</f>
        <v>35.249733570159862</v>
      </c>
      <c r="E22" s="124">
        <f>References!$C$10</f>
        <v>8.6666666666666661</v>
      </c>
      <c r="F22" s="17">
        <f t="shared" si="2"/>
        <v>305.49769094138543</v>
      </c>
      <c r="G22" s="17">
        <f>References!$C$32</f>
        <v>29</v>
      </c>
      <c r="H22" s="17">
        <f t="shared" si="19"/>
        <v>8859.4330373001776</v>
      </c>
      <c r="I22" s="128">
        <f t="shared" si="15"/>
        <v>6094.7842977915807</v>
      </c>
      <c r="J22" s="126">
        <f>I22*References!$D$64</f>
        <v>43.943394787077345</v>
      </c>
      <c r="K22" s="126">
        <f>J22/References!$H$67</f>
        <v>44.807050689109943</v>
      </c>
      <c r="L22" s="126">
        <f t="shared" si="16"/>
        <v>0.14666903226351025</v>
      </c>
      <c r="M22" s="126">
        <f>'Proposed Rates'!C60</f>
        <v>3.25</v>
      </c>
      <c r="N22" s="126">
        <f t="shared" si="6"/>
        <v>3.3966690322635102</v>
      </c>
      <c r="O22" s="126">
        <f>'Proposed Rates'!E60</f>
        <v>3.4</v>
      </c>
      <c r="P22" s="126">
        <f t="shared" ref="P22:P24" si="26">F22*M22</f>
        <v>992.86749555950269</v>
      </c>
      <c r="Q22" s="127">
        <f t="shared" si="17"/>
        <v>1037.6745462486126</v>
      </c>
      <c r="R22" s="129">
        <f t="shared" si="18"/>
        <v>44.807050689109928</v>
      </c>
      <c r="S22" s="55"/>
      <c r="T22" s="55"/>
      <c r="U22" s="54"/>
      <c r="V22" s="54"/>
      <c r="W22" s="54"/>
      <c r="X22" s="54"/>
      <c r="Y22" s="54"/>
      <c r="Z22" s="54"/>
      <c r="AA22" s="54"/>
      <c r="AB22" s="54"/>
      <c r="AC22" s="56"/>
    </row>
    <row r="23" spans="1:31" s="53" customFormat="1">
      <c r="A23" s="210"/>
      <c r="B23" s="57" t="s">
        <v>219</v>
      </c>
      <c r="C23" s="22" t="s">
        <v>223</v>
      </c>
      <c r="D23" s="54">
        <f>'Vashon Total 16'!E30</f>
        <v>24.250118427285656</v>
      </c>
      <c r="E23" s="124">
        <f>References!$C$9</f>
        <v>13</v>
      </c>
      <c r="F23" s="17">
        <f t="shared" si="2"/>
        <v>315.25153955471353</v>
      </c>
      <c r="G23" s="17">
        <f>References!$C$32</f>
        <v>29</v>
      </c>
      <c r="H23" s="17">
        <f t="shared" si="19"/>
        <v>9142.2946470866918</v>
      </c>
      <c r="I23" s="128">
        <f t="shared" si="15"/>
        <v>6289.3769416454888</v>
      </c>
      <c r="J23" s="126">
        <f>I23*References!$D$64</f>
        <v>45.346407749264024</v>
      </c>
      <c r="K23" s="126">
        <f>J23/References!$H$67</f>
        <v>46.237638226071553</v>
      </c>
      <c r="L23" s="126">
        <f t="shared" si="16"/>
        <v>0.14666903226351025</v>
      </c>
      <c r="M23" s="126">
        <f>'Proposed Rates'!C60</f>
        <v>3.25</v>
      </c>
      <c r="N23" s="126">
        <f t="shared" si="6"/>
        <v>3.3966690322635102</v>
      </c>
      <c r="O23" s="126">
        <f>'Proposed Rates'!E60</f>
        <v>3.4</v>
      </c>
      <c r="P23" s="126">
        <f t="shared" si="26"/>
        <v>1024.5675035528191</v>
      </c>
      <c r="Q23" s="127">
        <f t="shared" si="17"/>
        <v>1070.8051417788906</v>
      </c>
      <c r="R23" s="129">
        <f t="shared" si="18"/>
        <v>46.237638226071567</v>
      </c>
      <c r="S23" s="55"/>
      <c r="T23" s="55"/>
      <c r="U23" s="54"/>
      <c r="V23" s="54"/>
      <c r="W23" s="54"/>
      <c r="X23" s="54"/>
      <c r="Y23" s="54"/>
      <c r="Z23" s="54"/>
      <c r="AA23" s="54"/>
      <c r="AB23" s="54"/>
      <c r="AC23" s="56"/>
    </row>
    <row r="24" spans="1:31" s="53" customFormat="1">
      <c r="A24" s="210"/>
      <c r="B24" s="57" t="s">
        <v>219</v>
      </c>
      <c r="C24" s="22" t="s">
        <v>224</v>
      </c>
      <c r="D24" s="54">
        <f>'Vashon Total 16'!E31</f>
        <v>14</v>
      </c>
      <c r="E24" s="124">
        <f>References!$C$8</f>
        <v>17.333333333333332</v>
      </c>
      <c r="F24" s="17">
        <f t="shared" si="2"/>
        <v>242.66666666666666</v>
      </c>
      <c r="G24" s="17">
        <f>References!$C$32</f>
        <v>29</v>
      </c>
      <c r="H24" s="17">
        <f t="shared" si="19"/>
        <v>7037.333333333333</v>
      </c>
      <c r="I24" s="128">
        <f t="shared" si="15"/>
        <v>4841.2836936341801</v>
      </c>
      <c r="J24" s="126">
        <f>I24*References!$D$64</f>
        <v>34.905655431102474</v>
      </c>
      <c r="K24" s="126">
        <f>J24/References!$H$67</f>
        <v>35.591685162611817</v>
      </c>
      <c r="L24" s="126">
        <f t="shared" si="16"/>
        <v>0.14666903226351025</v>
      </c>
      <c r="M24" s="126">
        <f>'Proposed Rates'!C60</f>
        <v>3.25</v>
      </c>
      <c r="N24" s="126">
        <f t="shared" si="6"/>
        <v>3.3966690322635102</v>
      </c>
      <c r="O24" s="126">
        <f>'Proposed Rates'!E60</f>
        <v>3.4</v>
      </c>
      <c r="P24" s="126">
        <f t="shared" si="26"/>
        <v>788.66666666666663</v>
      </c>
      <c r="Q24" s="127">
        <f t="shared" si="17"/>
        <v>824.25835182927847</v>
      </c>
      <c r="R24" s="129">
        <f t="shared" si="18"/>
        <v>35.591685162611839</v>
      </c>
      <c r="S24" s="55"/>
      <c r="T24" s="55"/>
      <c r="U24" s="54"/>
      <c r="V24" s="54"/>
      <c r="W24" s="54"/>
      <c r="X24" s="54"/>
      <c r="Y24" s="54"/>
      <c r="Z24" s="54"/>
      <c r="AA24" s="54"/>
      <c r="AB24" s="54"/>
      <c r="AC24" s="56"/>
    </row>
    <row r="25" spans="1:31" s="53" customFormat="1">
      <c r="A25" s="210"/>
      <c r="B25" s="57">
        <v>35</v>
      </c>
      <c r="C25" s="16" t="s">
        <v>292</v>
      </c>
      <c r="D25" s="134">
        <f>'Vashon Total 16'!E42</f>
        <v>605.5058444175736</v>
      </c>
      <c r="E25" s="124">
        <f>References!$C$11</f>
        <v>4.333333333333333</v>
      </c>
      <c r="F25" s="17">
        <f t="shared" si="2"/>
        <v>2623.8586591428189</v>
      </c>
      <c r="G25" s="17">
        <f>References!$C$34</f>
        <v>175</v>
      </c>
      <c r="H25" s="17">
        <f t="shared" si="19"/>
        <v>459175.26534999331</v>
      </c>
      <c r="I25" s="128">
        <f t="shared" si="15"/>
        <v>315886.37618308124</v>
      </c>
      <c r="J25" s="126">
        <f>I25*References!$D$64</f>
        <v>2277.5407722800182</v>
      </c>
      <c r="K25" s="126">
        <f>J25/References!$H$67</f>
        <v>2322.3031658008294</v>
      </c>
      <c r="L25" s="126">
        <f t="shared" ref="L25:L28" si="27">K25/F25*E25</f>
        <v>3.8353109011435151</v>
      </c>
      <c r="M25" s="126">
        <f>'Proposed Rates'!C43</f>
        <v>74.430000000000007</v>
      </c>
      <c r="N25" s="126">
        <f t="shared" si="6"/>
        <v>78.265310901143522</v>
      </c>
      <c r="O25" s="126">
        <f>'Proposed Rates'!E43</f>
        <v>78.265310901143522</v>
      </c>
      <c r="P25" s="126">
        <f t="shared" ref="P25:P28" si="28">D25*M25</f>
        <v>45067.80000000001</v>
      </c>
      <c r="Q25" s="127">
        <f>D25*N25</f>
        <v>47390.103165800836</v>
      </c>
      <c r="R25" s="129">
        <f t="shared" si="18"/>
        <v>2322.3031658008258</v>
      </c>
      <c r="S25" s="55"/>
      <c r="T25" s="55"/>
      <c r="U25" s="54"/>
      <c r="V25" s="54"/>
      <c r="W25" s="54"/>
      <c r="X25" s="54"/>
      <c r="Y25" s="54"/>
      <c r="Z25" s="54"/>
      <c r="AA25" s="54"/>
      <c r="AB25" s="54"/>
      <c r="AC25" s="56"/>
    </row>
    <row r="26" spans="1:31" s="53" customFormat="1">
      <c r="A26" s="210"/>
      <c r="B26" s="57">
        <v>35</v>
      </c>
      <c r="C26" s="16" t="s">
        <v>293</v>
      </c>
      <c r="D26" s="134">
        <f>'Vashon Total 16'!E46</f>
        <v>170.68069650678348</v>
      </c>
      <c r="E26" s="124">
        <f>References!$C$11</f>
        <v>4.333333333333333</v>
      </c>
      <c r="F26" s="17">
        <f t="shared" si="2"/>
        <v>739.61635152939505</v>
      </c>
      <c r="G26" s="17">
        <f>References!$C$35</f>
        <v>250</v>
      </c>
      <c r="H26" s="17">
        <f t="shared" si="19"/>
        <v>184904.08788234877</v>
      </c>
      <c r="I26" s="128">
        <f t="shared" si="15"/>
        <v>127203.4594852856</v>
      </c>
      <c r="J26" s="126">
        <f>I26*References!$D$64</f>
        <v>917.1369428889102</v>
      </c>
      <c r="K26" s="126">
        <f>J26/References!$H$67</f>
        <v>935.16219418176377</v>
      </c>
      <c r="L26" s="126">
        <f t="shared" si="27"/>
        <v>5.4790155730621644</v>
      </c>
      <c r="M26" s="126">
        <f>'Proposed Rates'!C44</f>
        <v>93.61</v>
      </c>
      <c r="N26" s="126">
        <f t="shared" si="6"/>
        <v>99.08901557306217</v>
      </c>
      <c r="O26" s="126">
        <f>'Proposed Rates'!E44</f>
        <v>99.08901557306217</v>
      </c>
      <c r="P26" s="126">
        <f t="shared" si="28"/>
        <v>15977.420000000002</v>
      </c>
      <c r="Q26" s="127">
        <f>D26*N26</f>
        <v>16912.582194181767</v>
      </c>
      <c r="R26" s="129">
        <f t="shared" si="18"/>
        <v>935.16219418176479</v>
      </c>
      <c r="S26" s="55"/>
      <c r="T26" s="55"/>
      <c r="U26" s="54"/>
      <c r="V26" s="54"/>
      <c r="W26" s="54"/>
      <c r="X26" s="54"/>
      <c r="Y26" s="54"/>
      <c r="Z26" s="54"/>
      <c r="AA26" s="54"/>
      <c r="AB26" s="54"/>
      <c r="AC26" s="56"/>
    </row>
    <row r="27" spans="1:31" s="53" customFormat="1">
      <c r="A27" s="210"/>
      <c r="B27" s="57" t="s">
        <v>219</v>
      </c>
      <c r="C27" s="16" t="s">
        <v>280</v>
      </c>
      <c r="D27" s="134">
        <f>'Vashon Total 16'!E47</f>
        <v>35.750026706548439</v>
      </c>
      <c r="E27" s="124">
        <f>References!$C$10</f>
        <v>8.6666666666666661</v>
      </c>
      <c r="F27" s="17">
        <f t="shared" ref="F27" si="29">D27*E27</f>
        <v>309.83356479008643</v>
      </c>
      <c r="G27" s="17">
        <f>References!$C$35</f>
        <v>250</v>
      </c>
      <c r="H27" s="17">
        <f t="shared" ref="H27" si="30">F27*G27</f>
        <v>77458.391197521603</v>
      </c>
      <c r="I27" s="128">
        <f t="shared" si="15"/>
        <v>53286.952383435768</v>
      </c>
      <c r="J27" s="126">
        <f>I27*References!$D$64</f>
        <v>384.19892668457231</v>
      </c>
      <c r="K27" s="126">
        <f>J27/References!$H$67</f>
        <v>391.74990612513432</v>
      </c>
      <c r="L27" s="126">
        <f t="shared" ref="L27" si="31">K27/F27</f>
        <v>1.2643882091681919</v>
      </c>
      <c r="M27" s="126">
        <f>'Proposed Rates'!C39</f>
        <v>21.62</v>
      </c>
      <c r="N27" s="126">
        <f t="shared" ref="N27" si="32">L27+M27</f>
        <v>22.884388209168193</v>
      </c>
      <c r="O27" s="126">
        <f>'Proposed Rates'!E39</f>
        <v>22.880000000000003</v>
      </c>
      <c r="P27" s="126">
        <f t="shared" ref="P27" si="33">F27*M27</f>
        <v>6698.6016707616691</v>
      </c>
      <c r="Q27" s="127">
        <f t="shared" ref="Q27" si="34">F27*N27</f>
        <v>7090.3515768868037</v>
      </c>
      <c r="R27" s="129">
        <f t="shared" ref="R27" si="35">Q27-P27</f>
        <v>391.74990612513466</v>
      </c>
      <c r="S27" s="55"/>
      <c r="T27" s="55"/>
      <c r="U27" s="54"/>
      <c r="V27" s="54"/>
      <c r="W27" s="54"/>
      <c r="X27" s="54"/>
      <c r="Y27" s="54"/>
      <c r="Z27" s="54"/>
      <c r="AA27" s="54"/>
      <c r="AB27" s="54"/>
      <c r="AC27" s="56"/>
    </row>
    <row r="28" spans="1:31" s="53" customFormat="1">
      <c r="A28" s="210"/>
      <c r="B28" s="57">
        <v>35</v>
      </c>
      <c r="C28" s="16" t="s">
        <v>294</v>
      </c>
      <c r="D28" s="134">
        <f>'Vashon Total 16'!E48</f>
        <v>642.5</v>
      </c>
      <c r="E28" s="124">
        <f>References!$C$11</f>
        <v>4.333333333333333</v>
      </c>
      <c r="F28" s="17">
        <f t="shared" si="2"/>
        <v>2784.1666666666665</v>
      </c>
      <c r="G28" s="17">
        <f>References!$C$36</f>
        <v>324</v>
      </c>
      <c r="H28" s="17">
        <f t="shared" si="19"/>
        <v>902070</v>
      </c>
      <c r="I28" s="128">
        <f t="shared" si="15"/>
        <v>620572.67641861283</v>
      </c>
      <c r="J28" s="126">
        <f>I28*References!$D$64</f>
        <v>4474.3289969782036</v>
      </c>
      <c r="K28" s="126">
        <f>J28/References!$H$67</f>
        <v>4562.2666873774033</v>
      </c>
      <c r="L28" s="126">
        <f t="shared" si="27"/>
        <v>7.1008041826885648</v>
      </c>
      <c r="M28" s="126">
        <f>'Proposed Rates'!C45</f>
        <v>130.68</v>
      </c>
      <c r="N28" s="126">
        <f t="shared" si="6"/>
        <v>137.78080418268857</v>
      </c>
      <c r="O28" s="126">
        <f>'Proposed Rates'!$E$40</f>
        <v>31.82</v>
      </c>
      <c r="P28" s="126">
        <f t="shared" si="28"/>
        <v>83961.900000000009</v>
      </c>
      <c r="Q28" s="127">
        <f>D28*N28</f>
        <v>88524.166687377408</v>
      </c>
      <c r="R28" s="129">
        <f t="shared" si="18"/>
        <v>4562.2666873773996</v>
      </c>
      <c r="S28" s="55"/>
      <c r="T28" s="55"/>
      <c r="U28" s="54"/>
      <c r="V28" s="54"/>
      <c r="W28" s="54"/>
      <c r="X28" s="54"/>
      <c r="Y28" s="54"/>
      <c r="Z28" s="54"/>
      <c r="AA28" s="54"/>
      <c r="AB28" s="54"/>
      <c r="AC28" s="56"/>
    </row>
    <row r="29" spans="1:31" s="53" customFormat="1">
      <c r="A29" s="210"/>
      <c r="B29" s="57" t="s">
        <v>219</v>
      </c>
      <c r="C29" s="22" t="s">
        <v>225</v>
      </c>
      <c r="D29" s="134">
        <f>'Vashon Total 16'!E49</f>
        <v>244.49999999999994</v>
      </c>
      <c r="E29" s="124">
        <f>References!$C$10</f>
        <v>8.6666666666666661</v>
      </c>
      <c r="F29" s="17">
        <f t="shared" si="2"/>
        <v>2118.9999999999995</v>
      </c>
      <c r="G29" s="17">
        <f>References!$C$36</f>
        <v>324</v>
      </c>
      <c r="H29" s="17">
        <f t="shared" si="19"/>
        <v>686555.99999999988</v>
      </c>
      <c r="I29" s="128">
        <f t="shared" si="15"/>
        <v>472311.34438708425</v>
      </c>
      <c r="J29" s="126">
        <f>I29*References!$D$64</f>
        <v>3405.3647930308812</v>
      </c>
      <c r="K29" s="126">
        <f>J29/References!$H$67</f>
        <v>3472.293245334708</v>
      </c>
      <c r="L29" s="126">
        <f t="shared" si="16"/>
        <v>1.6386471190819767</v>
      </c>
      <c r="M29" s="126">
        <f>'Proposed Rates'!C40</f>
        <v>30.18</v>
      </c>
      <c r="N29" s="126">
        <f t="shared" si="6"/>
        <v>31.818647119081977</v>
      </c>
      <c r="O29" s="126">
        <f>'Proposed Rates'!$E$40</f>
        <v>31.82</v>
      </c>
      <c r="P29" s="126">
        <f t="shared" si="20"/>
        <v>63951.419999999984</v>
      </c>
      <c r="Q29" s="127">
        <f t="shared" si="17"/>
        <v>67423.7132453347</v>
      </c>
      <c r="R29" s="129">
        <f t="shared" si="18"/>
        <v>3472.2932453347166</v>
      </c>
      <c r="S29" s="55"/>
      <c r="T29" s="55"/>
      <c r="U29" s="54"/>
      <c r="V29" s="54"/>
      <c r="W29" s="54"/>
      <c r="X29" s="54"/>
      <c r="Y29" s="54"/>
      <c r="Z29" s="54"/>
      <c r="AA29" s="54"/>
      <c r="AB29" s="54"/>
      <c r="AC29" s="56"/>
    </row>
    <row r="30" spans="1:31" s="53" customFormat="1">
      <c r="A30" s="210"/>
      <c r="B30" s="57" t="s">
        <v>219</v>
      </c>
      <c r="C30" s="16" t="s">
        <v>226</v>
      </c>
      <c r="D30" s="134">
        <f>'Vashon Total 16'!E50</f>
        <v>73.166666666666643</v>
      </c>
      <c r="E30" s="124">
        <f>References!$C$9</f>
        <v>13</v>
      </c>
      <c r="F30" s="17">
        <f t="shared" si="2"/>
        <v>951.1666666666664</v>
      </c>
      <c r="G30" s="17">
        <f>References!$C$36</f>
        <v>324</v>
      </c>
      <c r="H30" s="17">
        <f t="shared" si="19"/>
        <v>308177.99999999994</v>
      </c>
      <c r="I30" s="128">
        <f t="shared" si="15"/>
        <v>212008.87544573616</v>
      </c>
      <c r="J30" s="126">
        <f>I30*References!$D$64</f>
        <v>1528.5839919637594</v>
      </c>
      <c r="K30" s="126">
        <f>J30/References!$H$67</f>
        <v>1558.6265181001397</v>
      </c>
      <c r="L30" s="126">
        <f t="shared" si="16"/>
        <v>1.6386471190819767</v>
      </c>
      <c r="M30" s="126">
        <f>'Proposed Rates'!C40</f>
        <v>30.18</v>
      </c>
      <c r="N30" s="126">
        <f t="shared" si="6"/>
        <v>31.818647119081977</v>
      </c>
      <c r="O30" s="126">
        <f>'Proposed Rates'!$E$40</f>
        <v>31.82</v>
      </c>
      <c r="P30" s="126">
        <f t="shared" si="20"/>
        <v>28706.209999999992</v>
      </c>
      <c r="Q30" s="127">
        <f t="shared" si="17"/>
        <v>30264.836518100132</v>
      </c>
      <c r="R30" s="129">
        <f t="shared" si="18"/>
        <v>1558.6265181001399</v>
      </c>
      <c r="S30" s="55"/>
      <c r="T30" s="55"/>
      <c r="U30" s="54"/>
      <c r="V30" s="54"/>
      <c r="W30" s="54"/>
      <c r="X30" s="54"/>
      <c r="Y30" s="54"/>
      <c r="Z30" s="54"/>
      <c r="AA30" s="54"/>
      <c r="AB30" s="54"/>
      <c r="AC30" s="56"/>
    </row>
    <row r="31" spans="1:31" s="53" customFormat="1">
      <c r="A31" s="210"/>
      <c r="B31" s="57" t="s">
        <v>219</v>
      </c>
      <c r="C31" s="16" t="s">
        <v>277</v>
      </c>
      <c r="D31" s="134">
        <f>'Vashon Total 16'!E51</f>
        <v>24.000000000000007</v>
      </c>
      <c r="E31" s="124">
        <f>References!$C$8</f>
        <v>17.333333333333332</v>
      </c>
      <c r="F31" s="17">
        <f t="shared" ref="F31" si="36">D31*E31</f>
        <v>416.00000000000011</v>
      </c>
      <c r="G31" s="17">
        <f>References!$C$36</f>
        <v>324</v>
      </c>
      <c r="H31" s="17">
        <f t="shared" ref="H31" si="37">F31*G31</f>
        <v>134784.00000000003</v>
      </c>
      <c r="I31" s="128">
        <f t="shared" si="15"/>
        <v>92723.699511574858</v>
      </c>
      <c r="J31" s="126">
        <f>I31*References!$D$64</f>
        <v>668.53787347845548</v>
      </c>
      <c r="K31" s="126">
        <f>J31/References!$H$67</f>
        <v>681.67720153810239</v>
      </c>
      <c r="L31" s="126">
        <f t="shared" ref="L31" si="38">K31/F31</f>
        <v>1.6386471190819765</v>
      </c>
      <c r="M31" s="126">
        <f>'Proposed Rates'!C40</f>
        <v>30.18</v>
      </c>
      <c r="N31" s="126">
        <f t="shared" ref="N31" si="39">L31+M31</f>
        <v>31.818647119081977</v>
      </c>
      <c r="O31" s="126">
        <f>'Proposed Rates'!$E$40</f>
        <v>31.82</v>
      </c>
      <c r="P31" s="126">
        <f t="shared" ref="P31" si="40">F31*M31</f>
        <v>12554.880000000003</v>
      </c>
      <c r="Q31" s="127">
        <f t="shared" ref="Q31" si="41">F31*N31</f>
        <v>13236.557201538106</v>
      </c>
      <c r="R31" s="129">
        <f t="shared" ref="R31" si="42">Q31-P31</f>
        <v>681.67720153810296</v>
      </c>
      <c r="S31" s="55"/>
      <c r="T31" s="55"/>
      <c r="U31" s="54"/>
      <c r="V31" s="54"/>
      <c r="W31" s="54"/>
      <c r="X31" s="54"/>
      <c r="Y31" s="54"/>
      <c r="Z31" s="54"/>
      <c r="AA31" s="54"/>
      <c r="AB31" s="54"/>
      <c r="AC31" s="56"/>
    </row>
    <row r="32" spans="1:31" s="53" customFormat="1">
      <c r="A32" s="210"/>
      <c r="B32" s="57">
        <v>35</v>
      </c>
      <c r="C32" s="16" t="s">
        <v>278</v>
      </c>
      <c r="D32" s="134">
        <f>'Vashon Total 16'!E52</f>
        <v>2.75</v>
      </c>
      <c r="E32" s="124">
        <f>References!C15</f>
        <v>4</v>
      </c>
      <c r="F32" s="17">
        <f t="shared" ref="F32:F39" si="43">D32*E32</f>
        <v>11</v>
      </c>
      <c r="G32" s="17">
        <f>References!$C$34</f>
        <v>175</v>
      </c>
      <c r="H32" s="17">
        <f t="shared" si="19"/>
        <v>1925</v>
      </c>
      <c r="I32" s="128">
        <f t="shared" si="15"/>
        <v>1324.2901350292436</v>
      </c>
      <c r="J32" s="126">
        <f>I32*References!$D$64</f>
        <v>9.5481318735608571</v>
      </c>
      <c r="K32" s="126">
        <f>J32/References!$H$67</f>
        <v>9.7357892105950778</v>
      </c>
      <c r="L32" s="126">
        <f t="shared" si="16"/>
        <v>0.88507174641773434</v>
      </c>
      <c r="M32" s="126">
        <f>'Proposed Rates'!C53</f>
        <v>19.190000000000001</v>
      </c>
      <c r="N32" s="126">
        <f t="shared" ref="N32:N39" si="44">L32+M32</f>
        <v>20.075071746417734</v>
      </c>
      <c r="O32" s="126">
        <f>'Proposed Rates'!E53</f>
        <v>20.080000000000002</v>
      </c>
      <c r="P32" s="126">
        <f t="shared" si="20"/>
        <v>211.09</v>
      </c>
      <c r="Q32" s="127">
        <f t="shared" si="17"/>
        <v>220.82578921059508</v>
      </c>
      <c r="R32" s="129">
        <f t="shared" si="18"/>
        <v>9.7357892105950725</v>
      </c>
      <c r="S32" s="55"/>
      <c r="T32" s="55"/>
      <c r="U32" s="54"/>
      <c r="V32" s="54"/>
      <c r="W32" s="54"/>
      <c r="X32" s="54"/>
      <c r="Y32" s="54"/>
      <c r="Z32" s="54"/>
      <c r="AA32" s="54"/>
      <c r="AB32" s="54"/>
      <c r="AC32" s="56"/>
    </row>
    <row r="33" spans="1:29" s="53" customFormat="1">
      <c r="A33" s="210"/>
      <c r="B33" s="57">
        <v>35</v>
      </c>
      <c r="C33" s="16" t="s">
        <v>279</v>
      </c>
      <c r="D33" s="134">
        <f>'Vashon Total 16'!E53</f>
        <v>5.4999999999999991</v>
      </c>
      <c r="E33" s="124">
        <f>References!C15</f>
        <v>4</v>
      </c>
      <c r="F33" s="17">
        <f t="shared" si="43"/>
        <v>21.999999999999996</v>
      </c>
      <c r="G33" s="17">
        <f>References!$C$36</f>
        <v>324</v>
      </c>
      <c r="H33" s="17">
        <f t="shared" si="19"/>
        <v>7127.9999999999991</v>
      </c>
      <c r="I33" s="128">
        <f t="shared" si="15"/>
        <v>4903.6571857082845</v>
      </c>
      <c r="J33" s="126">
        <f>I33*References!$D$64</f>
        <v>35.35536830895677</v>
      </c>
      <c r="K33" s="126">
        <f>J33/References!$H$67</f>
        <v>36.050236619803485</v>
      </c>
      <c r="L33" s="126">
        <f t="shared" si="16"/>
        <v>1.6386471190819769</v>
      </c>
      <c r="M33" s="126">
        <f>'Proposed Rates'!C55</f>
        <v>32.18</v>
      </c>
      <c r="N33" s="126">
        <f t="shared" si="44"/>
        <v>33.818647119081973</v>
      </c>
      <c r="O33" s="126">
        <f>'Proposed Rates'!E55</f>
        <v>33.82</v>
      </c>
      <c r="P33" s="126">
        <f t="shared" si="20"/>
        <v>707.95999999999992</v>
      </c>
      <c r="Q33" s="127">
        <f t="shared" si="17"/>
        <v>744.01023661980332</v>
      </c>
      <c r="R33" s="129">
        <f t="shared" si="18"/>
        <v>36.0502366198034</v>
      </c>
      <c r="S33" s="55"/>
      <c r="T33" s="55"/>
      <c r="U33" s="54"/>
      <c r="V33" s="54"/>
      <c r="W33" s="54"/>
      <c r="X33" s="54"/>
      <c r="Y33" s="54"/>
      <c r="Z33" s="54"/>
      <c r="AA33" s="54"/>
      <c r="AB33" s="54"/>
      <c r="AC33" s="56"/>
    </row>
    <row r="34" spans="1:29" s="53" customFormat="1">
      <c r="A34" s="210"/>
      <c r="B34" s="57">
        <v>35</v>
      </c>
      <c r="C34" s="16" t="s">
        <v>281</v>
      </c>
      <c r="D34" s="134">
        <f>'Vashon Total 16'!E54</f>
        <v>19</v>
      </c>
      <c r="E34" s="124">
        <f>References!$C$14</f>
        <v>1</v>
      </c>
      <c r="F34" s="17">
        <f t="shared" si="43"/>
        <v>19</v>
      </c>
      <c r="G34" s="17">
        <f>References!$C$34</f>
        <v>175</v>
      </c>
      <c r="H34" s="17">
        <f t="shared" si="19"/>
        <v>3325</v>
      </c>
      <c r="I34" s="128">
        <f t="shared" si="15"/>
        <v>2287.4102332323296</v>
      </c>
      <c r="J34" s="126">
        <f>I34*References!$D$64</f>
        <v>16.492227781605116</v>
      </c>
      <c r="K34" s="126">
        <f>J34/References!$H$67</f>
        <v>16.816363181936953</v>
      </c>
      <c r="L34" s="126">
        <f t="shared" si="16"/>
        <v>0.88507174641773434</v>
      </c>
      <c r="M34" s="126">
        <f>'Proposed Rates'!C38</f>
        <v>17.190000000000001</v>
      </c>
      <c r="N34" s="126">
        <f t="shared" si="44"/>
        <v>18.075071746417734</v>
      </c>
      <c r="O34" s="126">
        <f>'Proposed Rates'!E38</f>
        <v>18.080000000000002</v>
      </c>
      <c r="P34" s="126">
        <f t="shared" si="20"/>
        <v>326.61</v>
      </c>
      <c r="Q34" s="127">
        <f t="shared" si="17"/>
        <v>343.42636318193695</v>
      </c>
      <c r="R34" s="129">
        <f t="shared" si="18"/>
        <v>16.816363181936936</v>
      </c>
      <c r="S34" s="55"/>
      <c r="T34" s="55"/>
      <c r="U34" s="54"/>
      <c r="V34" s="54"/>
      <c r="W34" s="54"/>
      <c r="X34" s="54"/>
      <c r="Y34" s="54"/>
      <c r="Z34" s="54"/>
      <c r="AA34" s="54"/>
      <c r="AB34" s="54"/>
      <c r="AC34" s="56"/>
    </row>
    <row r="35" spans="1:29" s="53" customFormat="1">
      <c r="A35" s="210"/>
      <c r="B35" s="57">
        <v>35</v>
      </c>
      <c r="C35" s="16" t="s">
        <v>282</v>
      </c>
      <c r="D35" s="134">
        <f>'Vashon Total 16'!E55</f>
        <v>2</v>
      </c>
      <c r="E35" s="124">
        <f>References!$C$14</f>
        <v>1</v>
      </c>
      <c r="F35" s="17">
        <f t="shared" si="43"/>
        <v>2</v>
      </c>
      <c r="G35" s="17">
        <f>References!$C$35</f>
        <v>250</v>
      </c>
      <c r="H35" s="17">
        <f t="shared" si="19"/>
        <v>500</v>
      </c>
      <c r="I35" s="128">
        <f t="shared" si="15"/>
        <v>343.97146364395934</v>
      </c>
      <c r="J35" s="126">
        <f>I35*References!$D$64</f>
        <v>2.4800342528729495</v>
      </c>
      <c r="K35" s="126">
        <f>J35/References!$H$67</f>
        <v>2.5287764183363834</v>
      </c>
      <c r="L35" s="126">
        <f t="shared" si="16"/>
        <v>1.2643882091681917</v>
      </c>
      <c r="M35" s="126">
        <f>'Proposed Rates'!C39</f>
        <v>21.62</v>
      </c>
      <c r="N35" s="126">
        <f t="shared" si="44"/>
        <v>22.884388209168193</v>
      </c>
      <c r="O35" s="126">
        <f>'Proposed Rates'!E39</f>
        <v>22.880000000000003</v>
      </c>
      <c r="P35" s="126">
        <f t="shared" si="20"/>
        <v>43.24</v>
      </c>
      <c r="Q35" s="127">
        <f t="shared" si="17"/>
        <v>45.768776418336387</v>
      </c>
      <c r="R35" s="129">
        <f t="shared" si="18"/>
        <v>2.5287764183363848</v>
      </c>
      <c r="S35" s="55"/>
      <c r="T35" s="55"/>
      <c r="U35" s="54"/>
      <c r="V35" s="54"/>
      <c r="W35" s="54"/>
      <c r="X35" s="54"/>
      <c r="Y35" s="54"/>
      <c r="Z35" s="54"/>
      <c r="AA35" s="54"/>
      <c r="AB35" s="54"/>
      <c r="AC35" s="56"/>
    </row>
    <row r="36" spans="1:29" s="53" customFormat="1">
      <c r="A36" s="210"/>
      <c r="B36" s="57">
        <v>35</v>
      </c>
      <c r="C36" s="16" t="s">
        <v>283</v>
      </c>
      <c r="D36" s="134">
        <f>'Vashon Total 16'!E56</f>
        <v>28.999999999999996</v>
      </c>
      <c r="E36" s="124">
        <f>References!$C$14</f>
        <v>1</v>
      </c>
      <c r="F36" s="17">
        <f t="shared" si="43"/>
        <v>28.999999999999996</v>
      </c>
      <c r="G36" s="17">
        <f>References!$C$36</f>
        <v>324</v>
      </c>
      <c r="H36" s="17">
        <f t="shared" si="19"/>
        <v>9395.9999999999982</v>
      </c>
      <c r="I36" s="128">
        <f t="shared" si="15"/>
        <v>6463.9117447972831</v>
      </c>
      <c r="J36" s="126">
        <f>I36*References!$D$64</f>
        <v>46.604803679988464</v>
      </c>
      <c r="K36" s="126">
        <f>J36/References!$H$67</f>
        <v>47.520766453377313</v>
      </c>
      <c r="L36" s="126">
        <f t="shared" si="16"/>
        <v>1.6386471190819765</v>
      </c>
      <c r="M36" s="126">
        <f>'Proposed Rates'!C40</f>
        <v>30.18</v>
      </c>
      <c r="N36" s="126">
        <f t="shared" si="44"/>
        <v>31.818647119081977</v>
      </c>
      <c r="O36" s="126">
        <f>'Proposed Rates'!E40</f>
        <v>31.82</v>
      </c>
      <c r="P36" s="126">
        <f t="shared" si="20"/>
        <v>875.21999999999991</v>
      </c>
      <c r="Q36" s="127">
        <f t="shared" si="17"/>
        <v>922.7407664533772</v>
      </c>
      <c r="R36" s="129">
        <f t="shared" si="18"/>
        <v>47.520766453377291</v>
      </c>
      <c r="S36" s="55"/>
      <c r="T36" s="55"/>
      <c r="U36" s="54"/>
      <c r="V36" s="54"/>
      <c r="W36" s="54"/>
      <c r="X36" s="54"/>
      <c r="Y36" s="54"/>
      <c r="Z36" s="54"/>
      <c r="AA36" s="54"/>
      <c r="AB36" s="54"/>
      <c r="AC36" s="56"/>
    </row>
    <row r="37" spans="1:29" s="53" customFormat="1">
      <c r="A37" s="210"/>
      <c r="B37" s="57">
        <v>35</v>
      </c>
      <c r="C37" s="16" t="s">
        <v>295</v>
      </c>
      <c r="D37" s="134">
        <f>'Vashon Total 16'!E41</f>
        <v>415.06166219839145</v>
      </c>
      <c r="E37" s="124">
        <f>References!$C$12</f>
        <v>2.1666666666666665</v>
      </c>
      <c r="F37" s="17">
        <f t="shared" si="43"/>
        <v>899.30026809651474</v>
      </c>
      <c r="G37" s="17">
        <f>References!$C$34</f>
        <v>175</v>
      </c>
      <c r="H37" s="17">
        <f t="shared" si="19"/>
        <v>157377.54691689007</v>
      </c>
      <c r="I37" s="128">
        <f t="shared" si="15"/>
        <v>108266.77031539712</v>
      </c>
      <c r="J37" s="126">
        <f>I37*References!$D$64</f>
        <v>780.60341397401419</v>
      </c>
      <c r="K37" s="126">
        <f>J37/References!$H$67</f>
        <v>795.945258838119</v>
      </c>
      <c r="L37" s="126">
        <f t="shared" ref="L37:L39" si="45">K37/F37*E37</f>
        <v>1.9176554505717576</v>
      </c>
      <c r="M37" s="126">
        <f>'Proposed Rates'!C48</f>
        <v>37.299999999999997</v>
      </c>
      <c r="N37" s="126">
        <f t="shared" si="44"/>
        <v>39.217655450571755</v>
      </c>
      <c r="O37" s="126">
        <f>'Proposed Rates'!E48</f>
        <v>39.22</v>
      </c>
      <c r="P37" s="126">
        <f>D37*M37</f>
        <v>15481.8</v>
      </c>
      <c r="Q37" s="127">
        <f>D37*N37</f>
        <v>16277.745258838118</v>
      </c>
      <c r="R37" s="129">
        <f t="shared" si="18"/>
        <v>795.94525883811912</v>
      </c>
      <c r="S37" s="55"/>
      <c r="T37" s="55"/>
      <c r="U37" s="54"/>
      <c r="V37" s="54"/>
      <c r="W37" s="54"/>
      <c r="X37" s="54"/>
      <c r="Y37" s="54"/>
      <c r="Z37" s="54"/>
      <c r="AA37" s="54"/>
      <c r="AB37" s="54"/>
      <c r="AC37" s="56"/>
    </row>
    <row r="38" spans="1:29" s="53" customFormat="1">
      <c r="A38" s="210"/>
      <c r="B38" s="57">
        <v>35</v>
      </c>
      <c r="C38" s="16" t="s">
        <v>286</v>
      </c>
      <c r="D38" s="134">
        <f>'Vashon Total 16'!E45</f>
        <v>24.000000000000004</v>
      </c>
      <c r="E38" s="124">
        <f>References!$C$12</f>
        <v>2.1666666666666665</v>
      </c>
      <c r="F38" s="17">
        <f t="shared" ref="F38" si="46">D38*E38</f>
        <v>52.000000000000007</v>
      </c>
      <c r="G38" s="17">
        <f>References!$C$35</f>
        <v>250</v>
      </c>
      <c r="H38" s="17">
        <f t="shared" ref="H38" si="47">F38*G38</f>
        <v>13000.000000000002</v>
      </c>
      <c r="I38" s="128">
        <f t="shared" si="15"/>
        <v>8943.2580547429443</v>
      </c>
      <c r="J38" s="126">
        <f>I38*References!$D$64</f>
        <v>64.480890574696701</v>
      </c>
      <c r="K38" s="126">
        <f>J38/References!$H$67</f>
        <v>65.74818687674599</v>
      </c>
      <c r="L38" s="126">
        <f t="shared" si="45"/>
        <v>2.7395077865310822</v>
      </c>
      <c r="M38" s="126">
        <f>'Proposed Rates'!C49</f>
        <v>46.92</v>
      </c>
      <c r="N38" s="126">
        <f t="shared" ref="N38" si="48">L38+M38</f>
        <v>49.659507786531087</v>
      </c>
      <c r="O38" s="126">
        <f>'Proposed Rates'!E49</f>
        <v>49.660000000000004</v>
      </c>
      <c r="P38" s="126">
        <f t="shared" ref="P38:P39" si="49">D38*M38</f>
        <v>1126.0800000000002</v>
      </c>
      <c r="Q38" s="127">
        <f t="shared" ref="Q38:Q39" si="50">D38*N38</f>
        <v>1191.8281868767463</v>
      </c>
      <c r="R38" s="129">
        <f t="shared" ref="R38" si="51">Q38-P38</f>
        <v>65.748186876746104</v>
      </c>
      <c r="S38" s="55"/>
      <c r="T38" s="55"/>
      <c r="U38" s="54"/>
      <c r="V38" s="54"/>
      <c r="W38" s="54"/>
      <c r="X38" s="54"/>
      <c r="Y38" s="54"/>
      <c r="Z38" s="54"/>
      <c r="AA38" s="54"/>
      <c r="AB38" s="54"/>
      <c r="AC38" s="56"/>
    </row>
    <row r="39" spans="1:29" s="53" customFormat="1">
      <c r="A39" s="211"/>
      <c r="B39" s="57">
        <v>35</v>
      </c>
      <c r="C39" s="16" t="s">
        <v>284</v>
      </c>
      <c r="D39" s="134">
        <f>'Vashon Total 16'!E57</f>
        <v>24.500076347533977</v>
      </c>
      <c r="E39" s="124">
        <f>References!$C$12</f>
        <v>2.1666666666666665</v>
      </c>
      <c r="F39" s="17">
        <f t="shared" si="43"/>
        <v>53.08349875299028</v>
      </c>
      <c r="G39" s="17">
        <f>[12]References!$C$30</f>
        <v>324</v>
      </c>
      <c r="H39" s="17">
        <f t="shared" si="19"/>
        <v>17199.05359596885</v>
      </c>
      <c r="I39" s="128">
        <f t="shared" si="15"/>
        <v>11831.967277392616</v>
      </c>
      <c r="J39" s="126">
        <f>I39*References!$D$64</f>
        <v>85.308484070000858</v>
      </c>
      <c r="K39" s="126">
        <f>J39/References!$H$67</f>
        <v>86.985122302379224</v>
      </c>
      <c r="L39" s="126">
        <f t="shared" si="45"/>
        <v>3.5504020913442824</v>
      </c>
      <c r="M39" s="126">
        <f>'Proposed Rates'!C50</f>
        <v>65.489999999999995</v>
      </c>
      <c r="N39" s="126">
        <f t="shared" si="44"/>
        <v>69.040402091344276</v>
      </c>
      <c r="O39" s="126">
        <f>'Proposed Rates'!E50</f>
        <v>69.039999999999992</v>
      </c>
      <c r="P39" s="126">
        <f t="shared" si="49"/>
        <v>1604.51</v>
      </c>
      <c r="Q39" s="127">
        <f t="shared" si="50"/>
        <v>1691.4951223023793</v>
      </c>
      <c r="R39" s="129">
        <f t="shared" si="18"/>
        <v>86.985122302379295</v>
      </c>
      <c r="S39" s="55"/>
      <c r="T39" s="55"/>
      <c r="U39" s="54"/>
      <c r="V39" s="54"/>
      <c r="W39" s="54"/>
      <c r="X39" s="54"/>
      <c r="Y39" s="54"/>
      <c r="Z39" s="54"/>
      <c r="AA39" s="54"/>
      <c r="AB39" s="54"/>
      <c r="AC39" s="56"/>
    </row>
    <row r="40" spans="1:29">
      <c r="A40" s="63"/>
      <c r="B40" s="64"/>
      <c r="C40" s="35" t="s">
        <v>323</v>
      </c>
      <c r="D40" s="41">
        <f>SUM(D18:D39)</f>
        <v>4221.4398433860197</v>
      </c>
      <c r="E40" s="42"/>
      <c r="F40" s="41">
        <f>SUM(F18:F39)</f>
        <v>14339.467794722414</v>
      </c>
      <c r="G40" s="42"/>
      <c r="H40" s="41">
        <f>SUM(H18:H39)</f>
        <v>3059737.1663959636</v>
      </c>
      <c r="I40" s="41">
        <f>SUM(I18:I39)</f>
        <v>2104924.542982081</v>
      </c>
      <c r="J40" s="38">
        <f>SUM(J18:J39)</f>
        <v>15176.505954900822</v>
      </c>
      <c r="K40" s="38">
        <f>SUM(K18:K39)</f>
        <v>15474.782385379001</v>
      </c>
      <c r="L40" s="131"/>
      <c r="M40" s="131"/>
      <c r="N40" s="131"/>
      <c r="O40" s="131"/>
      <c r="P40" s="38">
        <f>SUM(P18:P39)</f>
        <v>288798.57666987396</v>
      </c>
      <c r="Q40" s="38">
        <f>SUM(Q18:Q39)</f>
        <v>304273.35905525304</v>
      </c>
      <c r="R40" s="38">
        <f>SUM(R18:R39)</f>
        <v>15474.782385379005</v>
      </c>
      <c r="T40" s="214"/>
      <c r="U40" s="214"/>
      <c r="V40" s="21"/>
      <c r="W40" s="21"/>
      <c r="X40" s="21"/>
      <c r="Y40" s="21"/>
      <c r="Z40" s="21"/>
      <c r="AA40" s="21"/>
      <c r="AC40" s="56"/>
    </row>
    <row r="41" spans="1:29">
      <c r="D41" s="65"/>
      <c r="H41" s="51"/>
      <c r="J41" s="135"/>
      <c r="K41" s="49"/>
      <c r="M41" s="49"/>
      <c r="T41" s="54"/>
      <c r="U41" s="54"/>
      <c r="V41" s="54"/>
      <c r="W41" s="54"/>
      <c r="X41" s="54"/>
      <c r="Y41" s="54"/>
      <c r="AC41" s="60"/>
    </row>
    <row r="42" spans="1:29">
      <c r="A42" s="63"/>
      <c r="B42" s="64"/>
      <c r="C42" s="35" t="s">
        <v>314</v>
      </c>
      <c r="D42" s="41">
        <f>D16+D40</f>
        <v>34895.202937209782</v>
      </c>
      <c r="E42" s="42"/>
      <c r="F42" s="41">
        <f>F16+F40</f>
        <v>112102.07147072056</v>
      </c>
      <c r="G42" s="42"/>
      <c r="H42" s="41">
        <f>H16+H40</f>
        <v>6587895.6193663944</v>
      </c>
      <c r="I42" s="41">
        <f>I16+I40</f>
        <v>4532096.1970541738</v>
      </c>
      <c r="J42" s="38">
        <f>J16+J40</f>
        <v>32676.413580760629</v>
      </c>
      <c r="K42" s="38">
        <f>K16+K40</f>
        <v>33318.630177430605</v>
      </c>
      <c r="L42" s="131"/>
      <c r="M42" s="131"/>
      <c r="N42" s="131"/>
      <c r="O42" s="131"/>
      <c r="P42" s="38">
        <f>P16+P40</f>
        <v>701933.49666987406</v>
      </c>
      <c r="Q42" s="38">
        <f>Q16+Q40</f>
        <v>735252.12684730464</v>
      </c>
      <c r="R42" s="38">
        <f>R16+R40</f>
        <v>33318.630177430605</v>
      </c>
      <c r="T42" s="54"/>
      <c r="U42" s="54"/>
      <c r="V42" s="54"/>
      <c r="W42" s="54"/>
      <c r="X42" s="54"/>
      <c r="Y42" s="54"/>
      <c r="AC42" s="56"/>
    </row>
    <row r="43" spans="1:29">
      <c r="C43" s="39"/>
      <c r="D43" s="65"/>
      <c r="F43" s="31"/>
      <c r="H43" s="31"/>
      <c r="I43" s="31"/>
      <c r="J43" s="31"/>
      <c r="K43" s="31"/>
      <c r="P43" s="31"/>
      <c r="Q43" s="31"/>
      <c r="R43" s="31"/>
      <c r="T43" s="54"/>
      <c r="U43" s="54"/>
      <c r="V43" s="54"/>
      <c r="W43" s="54"/>
      <c r="X43" s="54"/>
      <c r="Y43" s="54"/>
      <c r="AC43" s="56"/>
    </row>
    <row r="44" spans="1:29">
      <c r="C44" s="39"/>
      <c r="D44" s="65"/>
      <c r="F44" s="31"/>
      <c r="H44" s="31"/>
      <c r="I44" s="31"/>
      <c r="J44" s="31"/>
      <c r="K44" s="31"/>
      <c r="P44" s="31"/>
      <c r="Q44" s="31"/>
      <c r="R44" s="31"/>
      <c r="T44" s="54"/>
      <c r="U44" s="54"/>
      <c r="V44" s="54"/>
      <c r="W44" s="54"/>
      <c r="X44" s="54"/>
      <c r="Y44" s="54"/>
      <c r="AC44" s="56"/>
    </row>
    <row r="45" spans="1:29">
      <c r="A45" s="67"/>
      <c r="B45" s="68"/>
      <c r="C45" s="23" t="s">
        <v>228</v>
      </c>
      <c r="D45" s="69"/>
      <c r="E45" s="67"/>
      <c r="F45" s="67"/>
      <c r="G45" s="67"/>
      <c r="H45" s="67"/>
      <c r="I45" s="136"/>
      <c r="J45" s="137"/>
      <c r="K45" s="67"/>
      <c r="L45" s="67"/>
      <c r="M45" s="67"/>
      <c r="N45" s="67"/>
      <c r="O45" s="67"/>
      <c r="P45" s="70" t="s">
        <v>72</v>
      </c>
      <c r="Q45" s="54">
        <f>R16</f>
        <v>17843.847792051598</v>
      </c>
      <c r="R45" s="60">
        <f>Q45/P16</f>
        <v>4.3191332729878164E-2</v>
      </c>
      <c r="T45" s="71"/>
      <c r="U45" s="54"/>
      <c r="V45" s="60"/>
      <c r="W45" s="54"/>
      <c r="X45" s="54"/>
      <c r="Y45" s="54"/>
      <c r="Z45" s="60"/>
      <c r="AA45" s="60"/>
      <c r="AC45" s="56"/>
    </row>
    <row r="46" spans="1:29" s="53" customFormat="1" ht="15" customHeight="1">
      <c r="A46" s="210" t="s">
        <v>24</v>
      </c>
      <c r="B46" s="72">
        <v>16</v>
      </c>
      <c r="C46" s="53" t="s">
        <v>313</v>
      </c>
      <c r="D46" s="73">
        <v>0</v>
      </c>
      <c r="E46" s="62">
        <f>References!$C$14</f>
        <v>1</v>
      </c>
      <c r="F46" s="17">
        <v>12</v>
      </c>
      <c r="G46" s="17">
        <f>References!$C$20</f>
        <v>34</v>
      </c>
      <c r="H46" s="17">
        <f t="shared" ref="H46" si="52">F46*G46</f>
        <v>408</v>
      </c>
      <c r="I46" s="128">
        <f>$D$58*H46</f>
        <v>280.68071433347086</v>
      </c>
      <c r="J46" s="126">
        <f>I46*References!$D$64</f>
        <v>2.0237079503443272</v>
      </c>
      <c r="K46" s="126">
        <f>J46/References!$H$67</f>
        <v>2.0634815573624894</v>
      </c>
      <c r="L46" s="126">
        <f t="shared" ref="L46:L50" si="53">K46/F46</f>
        <v>0.17195679644687412</v>
      </c>
      <c r="M46" s="126">
        <f>'Proposed Rates'!C7</f>
        <v>2.39</v>
      </c>
      <c r="N46" s="126">
        <f t="shared" ref="N46:N50" si="54">L46+M46</f>
        <v>2.5619567964468741</v>
      </c>
      <c r="O46" s="126">
        <f>'Proposed Rates'!E7</f>
        <v>2.56</v>
      </c>
      <c r="P46" s="70" t="s">
        <v>320</v>
      </c>
      <c r="Q46" s="54">
        <f>R40</f>
        <v>15474.782385379005</v>
      </c>
      <c r="R46" s="60">
        <f>Q46/P40</f>
        <v>5.3583305582105584E-2</v>
      </c>
      <c r="S46" s="55"/>
      <c r="T46" s="71"/>
      <c r="U46" s="54"/>
      <c r="V46" s="60"/>
      <c r="W46" s="54"/>
      <c r="X46" s="54"/>
      <c r="Y46" s="54"/>
      <c r="Z46" s="60"/>
      <c r="AA46" s="60"/>
      <c r="AC46" s="56"/>
    </row>
    <row r="47" spans="1:29" s="53" customFormat="1">
      <c r="A47" s="210"/>
      <c r="B47" s="57">
        <v>28</v>
      </c>
      <c r="C47" s="16" t="s">
        <v>253</v>
      </c>
      <c r="D47" s="133">
        <v>0</v>
      </c>
      <c r="E47" s="124">
        <v>1</v>
      </c>
      <c r="F47" s="17">
        <v>12</v>
      </c>
      <c r="G47" s="17">
        <f>References!$C$33</f>
        <v>125</v>
      </c>
      <c r="H47" s="17">
        <f t="shared" ref="H47:H50" si="55">F47*G47</f>
        <v>1500</v>
      </c>
      <c r="I47" s="128">
        <f>$D$58*H47</f>
        <v>1031.9143909318782</v>
      </c>
      <c r="J47" s="126">
        <f>I47*References!$D$64</f>
        <v>7.44010275861885</v>
      </c>
      <c r="K47" s="126">
        <f>J47/References!$H$67</f>
        <v>7.5863292550091517</v>
      </c>
      <c r="L47" s="126">
        <f t="shared" si="53"/>
        <v>0.63219410458409597</v>
      </c>
      <c r="M47" s="126">
        <f>'Proposed Rates'!C23</f>
        <v>13.94</v>
      </c>
      <c r="N47" s="126">
        <f t="shared" si="54"/>
        <v>14.572194104584096</v>
      </c>
      <c r="O47" s="126">
        <f>'Proposed Rates'!E23</f>
        <v>14.57</v>
      </c>
      <c r="P47" s="138"/>
      <c r="Q47" s="195">
        <f>SUM(Q45:Q46)</f>
        <v>33318.630177430605</v>
      </c>
      <c r="R47" s="140"/>
      <c r="S47" s="55"/>
      <c r="T47" s="55"/>
      <c r="U47" s="54"/>
      <c r="V47" s="54"/>
      <c r="W47" s="54"/>
      <c r="X47" s="54"/>
      <c r="Y47" s="54"/>
      <c r="Z47" s="54"/>
      <c r="AC47" s="56"/>
    </row>
    <row r="48" spans="1:29" s="53" customFormat="1">
      <c r="A48" s="210"/>
      <c r="B48" s="57">
        <v>35</v>
      </c>
      <c r="C48" s="22" t="s">
        <v>227</v>
      </c>
      <c r="D48" s="134">
        <v>0</v>
      </c>
      <c r="E48" s="124">
        <f>References!$C$15</f>
        <v>4</v>
      </c>
      <c r="F48" s="17">
        <v>12</v>
      </c>
      <c r="G48" s="17">
        <f>References!$C$35</f>
        <v>250</v>
      </c>
      <c r="H48" s="17">
        <f t="shared" ref="H48" si="56">F48*G48</f>
        <v>3000</v>
      </c>
      <c r="I48" s="128">
        <f>$D$58*H48</f>
        <v>2063.8287818637564</v>
      </c>
      <c r="J48" s="126">
        <f>I48*References!$D$64</f>
        <v>14.8802055172377</v>
      </c>
      <c r="K48" s="126">
        <f>J48/References!$H$67</f>
        <v>15.172658510018303</v>
      </c>
      <c r="L48" s="126">
        <f t="shared" ref="L48" si="57">K48/F48</f>
        <v>1.2643882091681919</v>
      </c>
      <c r="M48" s="126">
        <f>'Proposed Rates'!C54</f>
        <v>23.62</v>
      </c>
      <c r="N48" s="126">
        <f t="shared" ref="N48" si="58">L48+M48</f>
        <v>24.884388209168193</v>
      </c>
      <c r="O48" s="126">
        <f>'Proposed Rates'!E54</f>
        <v>24.884388209168193</v>
      </c>
      <c r="P48" s="138"/>
      <c r="Q48" s="140"/>
      <c r="R48" s="140"/>
      <c r="S48" s="55"/>
      <c r="T48" s="54"/>
      <c r="U48" s="54"/>
      <c r="V48" s="54"/>
      <c r="W48" s="54"/>
      <c r="X48" s="54"/>
      <c r="Y48" s="54"/>
      <c r="Z48" s="54"/>
      <c r="AC48" s="56"/>
    </row>
    <row r="49" spans="1:29" s="53" customFormat="1">
      <c r="A49" s="210"/>
      <c r="B49" s="57">
        <v>38</v>
      </c>
      <c r="C49" s="22" t="s">
        <v>229</v>
      </c>
      <c r="D49" s="134">
        <v>0</v>
      </c>
      <c r="E49" s="124">
        <f>References!$C$14</f>
        <v>1</v>
      </c>
      <c r="F49" s="17">
        <v>12</v>
      </c>
      <c r="G49" s="17">
        <f>References!$C$46</f>
        <v>972</v>
      </c>
      <c r="H49" s="17">
        <f t="shared" si="55"/>
        <v>11664</v>
      </c>
      <c r="I49" s="128">
        <f t="shared" ref="I49" si="59">$D$58*H49</f>
        <v>8024.1663038862844</v>
      </c>
      <c r="J49" s="126">
        <f>I49*References!$D$64</f>
        <v>57.854239051020173</v>
      </c>
      <c r="K49" s="126">
        <f>J49/References!$H$67</f>
        <v>58.991296286951162</v>
      </c>
      <c r="L49" s="126">
        <f t="shared" si="53"/>
        <v>4.9159413572459298</v>
      </c>
      <c r="M49" s="126">
        <f>'Proposed Rates'!C66</f>
        <v>78.400000000000006</v>
      </c>
      <c r="N49" s="126">
        <f t="shared" si="54"/>
        <v>83.315941357245933</v>
      </c>
      <c r="O49" s="126">
        <f>'Proposed Rates'!E66</f>
        <v>83.320000000000007</v>
      </c>
      <c r="P49" s="138" t="s">
        <v>321</v>
      </c>
      <c r="Q49" s="139">
        <f>'DF Tons'!D22*References!C64</f>
        <v>2943.3983523341935</v>
      </c>
      <c r="R49" s="141">
        <f>References!E64</f>
        <v>0.11999667138220856</v>
      </c>
      <c r="S49" s="55"/>
      <c r="T49" s="55"/>
      <c r="U49" s="54"/>
      <c r="V49" s="54"/>
      <c r="W49" s="54"/>
      <c r="X49" s="54"/>
      <c r="Y49" s="54"/>
      <c r="Z49" s="54"/>
      <c r="AC49" s="56"/>
    </row>
    <row r="50" spans="1:29" s="53" customFormat="1">
      <c r="A50" s="210"/>
      <c r="B50" s="57">
        <v>38</v>
      </c>
      <c r="C50" s="22" t="s">
        <v>296</v>
      </c>
      <c r="D50" s="134">
        <v>0</v>
      </c>
      <c r="E50" s="124">
        <f>References!$C$14</f>
        <v>1</v>
      </c>
      <c r="F50" s="17">
        <v>12</v>
      </c>
      <c r="G50" s="17">
        <f>References!$C$55</f>
        <v>1620</v>
      </c>
      <c r="H50" s="17">
        <f t="shared" si="55"/>
        <v>19440</v>
      </c>
      <c r="I50" s="128">
        <f>$D$58*H50</f>
        <v>13373.61050647714</v>
      </c>
      <c r="J50" s="126">
        <f>I50*References!$D$64</f>
        <v>96.423731751700288</v>
      </c>
      <c r="K50" s="126">
        <f>J50/References!$H$67</f>
        <v>98.3188271449186</v>
      </c>
      <c r="L50" s="126">
        <f t="shared" si="53"/>
        <v>8.1932355954098828</v>
      </c>
      <c r="M50" s="126">
        <f>'Proposed Rates'!C69</f>
        <v>120.06</v>
      </c>
      <c r="N50" s="126">
        <f t="shared" si="54"/>
        <v>128.25323559540988</v>
      </c>
      <c r="O50" s="126">
        <f>'Proposed Rates'!E69</f>
        <v>128.25</v>
      </c>
      <c r="P50" s="138"/>
      <c r="Q50" s="126"/>
      <c r="R50" s="140"/>
      <c r="S50" s="55"/>
      <c r="T50" s="54"/>
      <c r="U50" s="54"/>
      <c r="V50" s="54"/>
      <c r="W50" s="54"/>
      <c r="X50" s="54"/>
      <c r="Y50" s="54"/>
      <c r="Z50" s="54"/>
      <c r="AC50" s="56"/>
    </row>
    <row r="51" spans="1:29" s="53" customFormat="1">
      <c r="A51" s="61"/>
      <c r="B51" s="57"/>
      <c r="C51" s="22"/>
      <c r="D51" s="134"/>
      <c r="E51" s="124"/>
      <c r="F51" s="17"/>
      <c r="G51" s="17"/>
      <c r="H51" s="17"/>
      <c r="I51" s="128"/>
      <c r="J51" s="126"/>
      <c r="K51" s="126"/>
      <c r="L51" s="126"/>
      <c r="M51" s="126"/>
      <c r="N51" s="126"/>
      <c r="O51" s="126"/>
      <c r="P51" s="138"/>
      <c r="Q51" s="140">
        <f>Q47+Q49</f>
        <v>36262.028529764801</v>
      </c>
      <c r="R51" s="140"/>
      <c r="S51" s="55"/>
      <c r="T51" s="55"/>
      <c r="U51" s="54"/>
      <c r="V51" s="54"/>
      <c r="W51" s="54"/>
      <c r="X51" s="54"/>
      <c r="Y51" s="54"/>
      <c r="Z51" s="54"/>
      <c r="AC51" s="56"/>
    </row>
    <row r="52" spans="1:29">
      <c r="A52" s="61"/>
      <c r="C52" s="24"/>
      <c r="T52" s="54"/>
      <c r="U52" s="54"/>
      <c r="V52" s="54"/>
      <c r="W52" s="54"/>
      <c r="X52" s="54"/>
      <c r="Y52" s="54"/>
      <c r="AC52" s="56"/>
    </row>
    <row r="53" spans="1:29">
      <c r="A53" s="61"/>
      <c r="C53" s="212" t="s">
        <v>230</v>
      </c>
      <c r="D53" s="212"/>
      <c r="E53" s="74"/>
      <c r="F53" s="74"/>
      <c r="H53" s="75"/>
      <c r="I53" s="17"/>
      <c r="J53" s="53"/>
      <c r="T53" s="54"/>
      <c r="U53" s="54"/>
      <c r="V53" s="54"/>
      <c r="W53" s="54"/>
      <c r="X53" s="54"/>
      <c r="Y53" s="54"/>
      <c r="AC53" s="56"/>
    </row>
    <row r="54" spans="1:29">
      <c r="A54" s="61"/>
      <c r="D54" s="25" t="s">
        <v>23</v>
      </c>
      <c r="E54" s="26"/>
      <c r="F54" s="26"/>
      <c r="H54" s="75"/>
      <c r="I54" s="17"/>
      <c r="J54" s="62"/>
      <c r="P54" s="48"/>
      <c r="T54" s="54"/>
      <c r="U54" s="54"/>
      <c r="V54" s="54"/>
      <c r="W54" s="54"/>
      <c r="X54" s="54"/>
      <c r="Y54" s="54"/>
      <c r="AC54" s="56"/>
    </row>
    <row r="55" spans="1:29">
      <c r="A55" s="61"/>
      <c r="C55" s="46" t="s">
        <v>231</v>
      </c>
      <c r="D55" s="199">
        <f>'DF Tons'!G22</f>
        <v>2266.0480985270869</v>
      </c>
      <c r="E55" s="123"/>
      <c r="F55" s="123"/>
      <c r="G55" s="27"/>
      <c r="H55" s="28"/>
      <c r="I55" s="17"/>
      <c r="J55" s="62"/>
      <c r="P55" s="48"/>
      <c r="T55" s="54"/>
      <c r="U55" s="54"/>
      <c r="V55" s="54"/>
      <c r="W55" s="54"/>
      <c r="X55" s="54"/>
      <c r="Y55" s="54"/>
      <c r="AC55" s="56"/>
    </row>
    <row r="56" spans="1:29">
      <c r="A56" s="61"/>
      <c r="C56" s="46" t="s">
        <v>232</v>
      </c>
      <c r="D56" s="143">
        <f>D55*References!H22</f>
        <v>4532096.1970541738</v>
      </c>
      <c r="E56" s="143"/>
      <c r="F56" s="143"/>
      <c r="G56" s="143"/>
      <c r="H56" s="29"/>
      <c r="I56" s="17"/>
      <c r="J56" s="62"/>
      <c r="T56" s="54"/>
      <c r="U56" s="54"/>
      <c r="V56" s="54"/>
      <c r="W56" s="54"/>
      <c r="X56" s="54"/>
      <c r="Y56" s="54"/>
      <c r="AC56" s="56"/>
    </row>
    <row r="57" spans="1:29">
      <c r="C57" s="46" t="s">
        <v>233</v>
      </c>
      <c r="D57" s="143">
        <f>F42</f>
        <v>112102.07147072056</v>
      </c>
      <c r="E57" s="123"/>
      <c r="F57" s="123"/>
      <c r="G57" s="123"/>
      <c r="H57" s="144"/>
      <c r="I57" s="17"/>
      <c r="J57" s="62"/>
      <c r="P57" s="48"/>
      <c r="T57" s="54"/>
      <c r="U57" s="54"/>
      <c r="V57" s="54"/>
      <c r="W57" s="54"/>
      <c r="X57" s="54"/>
      <c r="Y57" s="54"/>
      <c r="AC57" s="56"/>
    </row>
    <row r="58" spans="1:29">
      <c r="C58" s="50" t="s">
        <v>234</v>
      </c>
      <c r="D58" s="145">
        <f>D56/$H$42</f>
        <v>0.68794292728791873</v>
      </c>
      <c r="E58" s="145"/>
      <c r="F58" s="145"/>
      <c r="G58" s="145"/>
      <c r="H58" s="146"/>
      <c r="I58" s="17"/>
      <c r="J58" s="62"/>
      <c r="M58" s="76"/>
      <c r="N58" s="76"/>
      <c r="O58" s="76"/>
      <c r="P58" s="77"/>
      <c r="T58" s="54"/>
      <c r="U58" s="54"/>
      <c r="V58" s="54"/>
      <c r="W58" s="54"/>
      <c r="X58" s="54"/>
      <c r="Y58" s="54"/>
      <c r="AC58" s="56"/>
    </row>
    <row r="59" spans="1:29">
      <c r="G59" s="30"/>
      <c r="H59" s="132"/>
      <c r="I59" s="17"/>
      <c r="J59" s="62"/>
      <c r="M59" s="49"/>
      <c r="N59" s="147"/>
      <c r="O59" s="147"/>
      <c r="P59" s="66"/>
      <c r="T59" s="54"/>
      <c r="U59" s="54"/>
      <c r="V59" s="54"/>
      <c r="W59" s="54"/>
      <c r="X59" s="54"/>
      <c r="Y59" s="54"/>
      <c r="AC59" s="56"/>
    </row>
    <row r="60" spans="1:29">
      <c r="D60" s="148"/>
      <c r="E60" s="149"/>
      <c r="G60" s="30"/>
      <c r="H60" s="132"/>
      <c r="I60" s="17"/>
      <c r="J60" s="62"/>
      <c r="M60" s="49"/>
      <c r="N60" s="147"/>
      <c r="O60" s="147"/>
      <c r="P60" s="66"/>
      <c r="T60" s="54"/>
      <c r="U60" s="54"/>
      <c r="V60" s="54"/>
      <c r="W60" s="54"/>
      <c r="X60" s="54"/>
      <c r="Y60" s="54"/>
      <c r="AC60" s="56"/>
    </row>
    <row r="61" spans="1:29">
      <c r="D61" s="148"/>
      <c r="E61" s="149"/>
      <c r="G61" s="30"/>
      <c r="H61" s="150"/>
      <c r="J61" s="78"/>
      <c r="M61" s="49"/>
      <c r="N61" s="147"/>
      <c r="O61" s="147"/>
      <c r="P61" s="66"/>
      <c r="T61" s="54"/>
      <c r="U61" s="54"/>
      <c r="V61" s="54"/>
      <c r="W61" s="54"/>
      <c r="X61" s="54"/>
      <c r="Y61" s="54"/>
    </row>
    <row r="62" spans="1:29">
      <c r="D62" s="46"/>
      <c r="I62" s="46"/>
      <c r="T62" s="54"/>
      <c r="U62" s="54"/>
      <c r="V62" s="54"/>
      <c r="W62" s="54"/>
      <c r="X62" s="54"/>
      <c r="Y62" s="54"/>
    </row>
    <row r="63" spans="1:29">
      <c r="D63" s="46"/>
      <c r="E63" s="78"/>
      <c r="I63" s="46"/>
      <c r="T63" s="54"/>
      <c r="U63" s="54"/>
      <c r="V63" s="54"/>
      <c r="W63" s="54"/>
      <c r="X63" s="54"/>
      <c r="Y63" s="54"/>
    </row>
    <row r="64" spans="1:29">
      <c r="D64" s="46"/>
      <c r="I64" s="46"/>
      <c r="T64" s="54"/>
      <c r="U64" s="54"/>
      <c r="V64" s="54"/>
      <c r="W64" s="54"/>
      <c r="X64" s="54"/>
      <c r="Y64" s="54"/>
    </row>
    <row r="65" spans="4:25">
      <c r="D65" s="46"/>
      <c r="I65" s="46"/>
      <c r="T65" s="54"/>
      <c r="U65" s="54"/>
      <c r="V65" s="54"/>
      <c r="W65" s="54"/>
      <c r="X65" s="54"/>
      <c r="Y65" s="54"/>
    </row>
    <row r="66" spans="4:25">
      <c r="D66" s="46"/>
    </row>
  </sheetData>
  <mergeCells count="4">
    <mergeCell ref="A7:A15"/>
    <mergeCell ref="A17:A39"/>
    <mergeCell ref="C53:D53"/>
    <mergeCell ref="A46:A50"/>
  </mergeCells>
  <pageMargins left="0.25" right="0.25" top="0.75" bottom="0.75" header="0.3" footer="0.3"/>
  <pageSetup scale="43" pageOrder="overThenDown" orientation="landscape" r:id="rId1"/>
  <headerFooter>
    <oddFooter>&amp;L&amp;F - &amp;A&amp;C&amp;D&amp;R&amp;P of &amp;N</oddFooter>
  </headerFooter>
  <colBreaks count="1" manualBreakCount="1">
    <brk id="11" max="58" man="1"/>
  </colBreaks>
  <ignoredErrors>
    <ignoredError sqref="E27:E2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view="pageLayout" topLeftCell="A55" zoomScaleNormal="85" workbookViewId="0">
      <selection activeCell="A2" sqref="A2"/>
    </sheetView>
  </sheetViews>
  <sheetFormatPr defaultRowHeight="15"/>
  <cols>
    <col min="1" max="1" width="28.28515625" style="44" customWidth="1"/>
    <col min="2" max="2" width="8.140625" style="44" bestFit="1" customWidth="1"/>
    <col min="3" max="3" width="10.140625" style="45" customWidth="1"/>
    <col min="4" max="4" width="12" style="44" customWidth="1"/>
    <col min="5" max="5" width="8.7109375" style="44" bestFit="1" customWidth="1"/>
    <col min="6" max="6" width="12.7109375" style="44" customWidth="1"/>
    <col min="7" max="7" width="20.5703125" style="44" bestFit="1" customWidth="1"/>
    <col min="8" max="16384" width="9.140625" style="44"/>
  </cols>
  <sheetData>
    <row r="1" spans="1:11">
      <c r="A1" s="111" t="s">
        <v>235</v>
      </c>
      <c r="B1" s="111"/>
      <c r="C1" s="112"/>
      <c r="D1" s="113"/>
      <c r="E1" s="113"/>
      <c r="F1" s="113"/>
      <c r="G1" s="113"/>
      <c r="H1" s="113"/>
      <c r="I1" s="113"/>
      <c r="J1" s="113"/>
      <c r="K1" s="113"/>
    </row>
    <row r="2" spans="1:11">
      <c r="A2" s="111" t="s">
        <v>276</v>
      </c>
      <c r="B2" s="111"/>
      <c r="C2" s="112"/>
      <c r="D2" s="113"/>
      <c r="E2" s="113"/>
      <c r="F2" s="113"/>
      <c r="G2" s="113"/>
      <c r="H2" s="113"/>
      <c r="I2" s="113"/>
      <c r="J2" s="113"/>
      <c r="K2" s="113"/>
    </row>
    <row r="3" spans="1:11">
      <c r="A3" s="114" t="s">
        <v>337</v>
      </c>
      <c r="B3" s="113"/>
      <c r="C3" s="115"/>
      <c r="D3" s="113"/>
      <c r="E3" s="113"/>
      <c r="F3" s="113"/>
      <c r="G3" s="113"/>
      <c r="H3" s="113"/>
      <c r="I3" s="116"/>
      <c r="J3" s="113"/>
      <c r="K3" s="113"/>
    </row>
    <row r="4" spans="1:11">
      <c r="A4" s="114"/>
      <c r="B4" s="113"/>
      <c r="C4" s="115"/>
      <c r="D4" s="113"/>
      <c r="E4" s="113"/>
      <c r="F4" s="113"/>
      <c r="G4" s="113"/>
      <c r="H4" s="113"/>
      <c r="I4" s="116"/>
      <c r="J4" s="113"/>
      <c r="K4" s="113"/>
    </row>
    <row r="5" spans="1:11" ht="45">
      <c r="A5" s="113"/>
      <c r="B5" s="113"/>
      <c r="C5" s="202" t="s">
        <v>329</v>
      </c>
      <c r="D5" s="203" t="s">
        <v>330</v>
      </c>
      <c r="E5" s="203" t="s">
        <v>331</v>
      </c>
      <c r="F5" s="116"/>
      <c r="G5" s="117"/>
      <c r="H5" s="116"/>
      <c r="I5" s="116"/>
      <c r="J5" s="113"/>
      <c r="K5" s="113"/>
    </row>
    <row r="6" spans="1:11">
      <c r="A6" s="114" t="s">
        <v>236</v>
      </c>
      <c r="B6" s="114"/>
      <c r="C6" s="115"/>
      <c r="D6" s="113"/>
      <c r="E6" s="113"/>
      <c r="F6" s="113"/>
      <c r="G6" s="113"/>
      <c r="H6" s="116"/>
      <c r="I6" s="113"/>
      <c r="J6" s="113"/>
      <c r="K6" s="113"/>
    </row>
    <row r="7" spans="1:11">
      <c r="A7" s="113" t="s">
        <v>237</v>
      </c>
      <c r="B7" s="113" t="s">
        <v>238</v>
      </c>
      <c r="C7" s="115">
        <v>2.39</v>
      </c>
      <c r="D7" s="118">
        <f>ROUND('DF Calculation'!L46,2)</f>
        <v>0.17</v>
      </c>
      <c r="E7" s="119">
        <f>SUM(C7:D7)</f>
        <v>2.56</v>
      </c>
      <c r="F7" s="119"/>
      <c r="G7" s="119"/>
      <c r="H7" s="119"/>
      <c r="I7" s="119"/>
      <c r="J7" s="113"/>
      <c r="K7" s="113"/>
    </row>
    <row r="8" spans="1:11">
      <c r="A8" s="113"/>
      <c r="B8" s="113"/>
      <c r="C8" s="120"/>
      <c r="D8" s="113"/>
      <c r="E8" s="113"/>
      <c r="F8" s="113"/>
      <c r="G8" s="113"/>
      <c r="H8" s="119"/>
      <c r="I8" s="113"/>
      <c r="J8" s="113"/>
      <c r="K8" s="113"/>
    </row>
    <row r="9" spans="1:11">
      <c r="A9" s="114" t="s">
        <v>239</v>
      </c>
      <c r="B9" s="114"/>
      <c r="C9" s="115"/>
      <c r="D9" s="113"/>
      <c r="E9" s="113"/>
      <c r="F9" s="113"/>
      <c r="G9" s="113"/>
      <c r="H9" s="119"/>
      <c r="I9" s="113"/>
      <c r="J9" s="113"/>
      <c r="K9" s="113"/>
    </row>
    <row r="10" spans="1:11">
      <c r="A10" s="113" t="s">
        <v>241</v>
      </c>
      <c r="B10" s="113" t="s">
        <v>245</v>
      </c>
      <c r="C10" s="120">
        <v>5.46</v>
      </c>
      <c r="D10" s="119">
        <f>ROUND('DF Calculation'!L10,2)</f>
        <v>0.17</v>
      </c>
      <c r="E10" s="119">
        <f>SUM(C10:D10)</f>
        <v>5.63</v>
      </c>
      <c r="F10" s="113"/>
      <c r="G10" s="113"/>
      <c r="H10" s="119"/>
      <c r="I10" s="113"/>
      <c r="J10" s="113"/>
      <c r="K10" s="113"/>
    </row>
    <row r="11" spans="1:11">
      <c r="A11" s="113" t="s">
        <v>241</v>
      </c>
      <c r="B11" s="113" t="s">
        <v>261</v>
      </c>
      <c r="C11" s="120">
        <v>13.59</v>
      </c>
      <c r="D11" s="119">
        <f>ROUND('DF Calculation'!L11,2)</f>
        <v>0.37</v>
      </c>
      <c r="E11" s="119">
        <f t="shared" ref="E11" si="0">SUM(C11:D11)</f>
        <v>13.959999999999999</v>
      </c>
      <c r="F11" s="113"/>
      <c r="G11" s="113"/>
      <c r="H11" s="119"/>
      <c r="I11" s="113"/>
      <c r="J11" s="113"/>
      <c r="K11" s="113"/>
    </row>
    <row r="12" spans="1:11">
      <c r="A12" s="113" t="s">
        <v>240</v>
      </c>
      <c r="B12" s="113" t="s">
        <v>238</v>
      </c>
      <c r="C12" s="120">
        <v>12.05</v>
      </c>
      <c r="D12" s="119">
        <f>ROUND('DF Calculation'!L9,2)</f>
        <v>0.44</v>
      </c>
      <c r="E12" s="119">
        <f t="shared" ref="E12:E16" si="1">SUM(C12:D12)</f>
        <v>12.49</v>
      </c>
      <c r="F12" s="113"/>
      <c r="G12" s="119"/>
      <c r="H12" s="119"/>
      <c r="I12" s="119"/>
      <c r="J12" s="113"/>
      <c r="K12" s="113"/>
    </row>
    <row r="13" spans="1:11">
      <c r="A13" s="113" t="s">
        <v>241</v>
      </c>
      <c r="B13" s="113" t="s">
        <v>238</v>
      </c>
      <c r="C13" s="120">
        <v>16.89</v>
      </c>
      <c r="D13" s="119">
        <f>ROUND('DF Calculation'!L12,2)</f>
        <v>0.75</v>
      </c>
      <c r="E13" s="119">
        <f t="shared" si="1"/>
        <v>17.64</v>
      </c>
      <c r="F13" s="113"/>
      <c r="G13" s="119"/>
      <c r="H13" s="119"/>
      <c r="I13" s="119"/>
      <c r="J13" s="113"/>
      <c r="K13" s="113"/>
    </row>
    <row r="14" spans="1:11">
      <c r="A14" s="113" t="s">
        <v>242</v>
      </c>
      <c r="B14" s="113" t="s">
        <v>238</v>
      </c>
      <c r="C14" s="120">
        <v>23.53</v>
      </c>
      <c r="D14" s="119">
        <f>ROUND('DF Calculation'!L13,2)</f>
        <v>1.1200000000000001</v>
      </c>
      <c r="E14" s="119">
        <f t="shared" si="1"/>
        <v>24.650000000000002</v>
      </c>
      <c r="F14" s="113"/>
      <c r="G14" s="119"/>
      <c r="H14" s="119"/>
      <c r="I14" s="119"/>
      <c r="J14" s="113"/>
      <c r="K14" s="113"/>
    </row>
    <row r="15" spans="1:11">
      <c r="A15" s="113" t="s">
        <v>243</v>
      </c>
      <c r="B15" s="113" t="s">
        <v>238</v>
      </c>
      <c r="C15" s="120">
        <v>31.54</v>
      </c>
      <c r="D15" s="119">
        <f>ROUND('DF Calculation'!L14,2)</f>
        <v>1.69</v>
      </c>
      <c r="E15" s="119">
        <f t="shared" si="1"/>
        <v>33.229999999999997</v>
      </c>
      <c r="F15" s="113"/>
      <c r="G15" s="119"/>
      <c r="H15" s="119"/>
      <c r="I15" s="119"/>
      <c r="J15" s="113"/>
      <c r="K15" s="113"/>
    </row>
    <row r="16" spans="1:11">
      <c r="A16" s="113" t="s">
        <v>244</v>
      </c>
      <c r="B16" s="113" t="s">
        <v>238</v>
      </c>
      <c r="C16" s="120">
        <v>39.46</v>
      </c>
      <c r="D16" s="119">
        <f>ROUND('DF Calculation'!L15,2)</f>
        <v>2.13</v>
      </c>
      <c r="E16" s="119">
        <f t="shared" si="1"/>
        <v>41.59</v>
      </c>
      <c r="F16" s="113"/>
      <c r="G16" s="119"/>
      <c r="H16" s="119"/>
      <c r="I16" s="119"/>
      <c r="J16" s="113"/>
      <c r="K16" s="113"/>
    </row>
    <row r="17" spans="1:11">
      <c r="A17" s="113"/>
      <c r="B17" s="113"/>
      <c r="C17" s="115"/>
      <c r="D17" s="113"/>
      <c r="E17" s="113"/>
      <c r="F17" s="113"/>
      <c r="G17" s="113"/>
      <c r="H17" s="119"/>
      <c r="I17" s="119"/>
      <c r="J17" s="113"/>
      <c r="K17" s="113"/>
    </row>
    <row r="18" spans="1:11">
      <c r="A18" s="114" t="s">
        <v>246</v>
      </c>
      <c r="B18" s="113"/>
      <c r="C18" s="115"/>
      <c r="D18" s="113"/>
      <c r="E18" s="113"/>
      <c r="F18" s="113"/>
      <c r="G18" s="113"/>
      <c r="H18" s="119"/>
      <c r="I18" s="119"/>
      <c r="J18" s="113"/>
      <c r="K18" s="113"/>
    </row>
    <row r="19" spans="1:11">
      <c r="A19" s="113" t="s">
        <v>136</v>
      </c>
      <c r="B19" s="113" t="s">
        <v>247</v>
      </c>
      <c r="C19" s="115">
        <v>3.65</v>
      </c>
      <c r="D19" s="119">
        <f>ROUND('DF Calculation'!L8,2)</f>
        <v>0.17</v>
      </c>
      <c r="E19" s="119">
        <f t="shared" ref="E19:E20" si="2">SUM(C19:D19)</f>
        <v>3.82</v>
      </c>
      <c r="F19" s="113"/>
      <c r="G19" s="119"/>
      <c r="H19" s="119"/>
      <c r="I19" s="119"/>
      <c r="J19" s="113"/>
      <c r="K19" s="113"/>
    </row>
    <row r="20" spans="1:11">
      <c r="A20" s="113" t="s">
        <v>248</v>
      </c>
      <c r="B20" s="113" t="s">
        <v>247</v>
      </c>
      <c r="C20" s="115">
        <v>5.56</v>
      </c>
      <c r="D20" s="119">
        <f>ROUND('DF Calculation'!L8,2)</f>
        <v>0.17</v>
      </c>
      <c r="E20" s="119">
        <f t="shared" si="2"/>
        <v>5.7299999999999995</v>
      </c>
      <c r="F20" s="113" t="s">
        <v>289</v>
      </c>
      <c r="G20" s="119"/>
      <c r="H20" s="119"/>
      <c r="I20" s="119"/>
      <c r="J20" s="113"/>
      <c r="K20" s="113"/>
    </row>
    <row r="21" spans="1:11">
      <c r="A21" s="113"/>
      <c r="B21" s="113"/>
      <c r="C21" s="115"/>
      <c r="D21" s="113"/>
      <c r="E21" s="113"/>
      <c r="F21" s="113"/>
      <c r="G21" s="113"/>
      <c r="H21" s="119"/>
      <c r="I21" s="119"/>
      <c r="J21" s="113"/>
      <c r="K21" s="113"/>
    </row>
    <row r="22" spans="1:11">
      <c r="A22" s="114" t="s">
        <v>262</v>
      </c>
      <c r="B22" s="113"/>
      <c r="C22" s="115"/>
      <c r="D22" s="113"/>
      <c r="E22" s="113"/>
      <c r="F22" s="113"/>
      <c r="G22" s="113"/>
      <c r="H22" s="119"/>
      <c r="I22" s="119"/>
      <c r="J22" s="113"/>
      <c r="K22" s="113"/>
    </row>
    <row r="23" spans="1:11">
      <c r="A23" s="113" t="s">
        <v>253</v>
      </c>
      <c r="B23" s="113" t="s">
        <v>247</v>
      </c>
      <c r="C23" s="120">
        <v>13.94</v>
      </c>
      <c r="D23" s="119">
        <f>ROUND('DF Calculation'!L19,2)</f>
        <v>0.63</v>
      </c>
      <c r="E23" s="119">
        <f t="shared" ref="E23:E28" si="3">SUM(C23:D23)</f>
        <v>14.57</v>
      </c>
      <c r="F23" s="113" t="s">
        <v>289</v>
      </c>
      <c r="G23" s="119"/>
      <c r="H23" s="119"/>
      <c r="I23" s="119"/>
      <c r="J23" s="121"/>
      <c r="K23" s="113"/>
    </row>
    <row r="24" spans="1:11">
      <c r="A24" s="113" t="s">
        <v>254</v>
      </c>
      <c r="B24" s="113" t="s">
        <v>247</v>
      </c>
      <c r="C24" s="120">
        <v>13.94</v>
      </c>
      <c r="D24" s="119">
        <f>ROUND('DF Calculation'!L19,2)</f>
        <v>0.63</v>
      </c>
      <c r="E24" s="119">
        <f t="shared" si="3"/>
        <v>14.57</v>
      </c>
      <c r="F24" s="113" t="s">
        <v>289</v>
      </c>
      <c r="G24" s="119"/>
      <c r="H24" s="119"/>
      <c r="I24" s="119"/>
      <c r="J24" s="121"/>
      <c r="K24" s="113"/>
    </row>
    <row r="25" spans="1:11">
      <c r="A25" s="113" t="s">
        <v>255</v>
      </c>
      <c r="B25" s="113" t="s">
        <v>247</v>
      </c>
      <c r="C25" s="120">
        <v>13.94</v>
      </c>
      <c r="D25" s="119">
        <f>ROUND('DF Calculation'!L19,2)</f>
        <v>0.63</v>
      </c>
      <c r="E25" s="119">
        <f t="shared" si="3"/>
        <v>14.57</v>
      </c>
      <c r="F25" s="113" t="s">
        <v>289</v>
      </c>
      <c r="G25" s="119"/>
      <c r="H25" s="119"/>
      <c r="I25" s="119"/>
      <c r="J25" s="121"/>
      <c r="K25" s="113"/>
    </row>
    <row r="26" spans="1:11">
      <c r="A26" s="113" t="s">
        <v>255</v>
      </c>
      <c r="B26" s="113" t="s">
        <v>247</v>
      </c>
      <c r="C26" s="120">
        <v>13.94</v>
      </c>
      <c r="D26" s="119">
        <f>ROUND('DF Calculation'!L19,2)</f>
        <v>0.63</v>
      </c>
      <c r="E26" s="119">
        <f t="shared" si="3"/>
        <v>14.57</v>
      </c>
      <c r="F26" s="113" t="s">
        <v>289</v>
      </c>
      <c r="G26" s="119"/>
      <c r="H26" s="119"/>
      <c r="I26" s="119"/>
      <c r="J26" s="121"/>
      <c r="K26" s="113"/>
    </row>
    <row r="27" spans="1:11">
      <c r="A27" s="113" t="s">
        <v>256</v>
      </c>
      <c r="B27" s="113" t="s">
        <v>247</v>
      </c>
      <c r="C27" s="120">
        <v>15.78</v>
      </c>
      <c r="D27" s="119">
        <f>ROUND('DF Calculation'!L19,2)</f>
        <v>0.63</v>
      </c>
      <c r="E27" s="119">
        <f t="shared" si="3"/>
        <v>16.41</v>
      </c>
      <c r="F27" s="113"/>
      <c r="G27" s="119"/>
      <c r="H27" s="119"/>
      <c r="I27" s="119"/>
      <c r="J27" s="121"/>
      <c r="K27" s="113"/>
    </row>
    <row r="28" spans="1:11">
      <c r="A28" s="113" t="s">
        <v>256</v>
      </c>
      <c r="B28" s="113" t="s">
        <v>247</v>
      </c>
      <c r="C28" s="120">
        <v>15.78</v>
      </c>
      <c r="D28" s="119">
        <f>ROUND('DF Calculation'!L19,2)</f>
        <v>0.63</v>
      </c>
      <c r="E28" s="119">
        <f t="shared" si="3"/>
        <v>16.41</v>
      </c>
      <c r="F28" s="113" t="s">
        <v>289</v>
      </c>
      <c r="G28" s="119"/>
      <c r="H28" s="119"/>
      <c r="I28" s="119"/>
      <c r="J28" s="121"/>
      <c r="K28" s="113"/>
    </row>
    <row r="29" spans="1:11">
      <c r="A29" s="113"/>
      <c r="B29" s="113"/>
      <c r="C29" s="120"/>
      <c r="D29" s="113"/>
      <c r="E29" s="113"/>
      <c r="F29" s="113"/>
      <c r="G29" s="113"/>
      <c r="H29" s="119"/>
      <c r="I29" s="119"/>
      <c r="J29" s="113"/>
      <c r="K29" s="113"/>
    </row>
    <row r="30" spans="1:11">
      <c r="A30" s="114" t="s">
        <v>263</v>
      </c>
      <c r="B30" s="113"/>
      <c r="C30" s="120"/>
      <c r="D30" s="113"/>
      <c r="E30" s="113"/>
      <c r="F30" s="113"/>
      <c r="G30" s="113"/>
      <c r="H30" s="119"/>
      <c r="I30" s="119"/>
      <c r="J30" s="113"/>
      <c r="K30" s="113"/>
    </row>
    <row r="31" spans="1:11">
      <c r="A31" s="113" t="s">
        <v>264</v>
      </c>
      <c r="B31" s="113" t="s">
        <v>247</v>
      </c>
      <c r="C31" s="120">
        <v>17.21</v>
      </c>
      <c r="D31" s="119">
        <f>ROUND('DF Calculation'!L19,2)</f>
        <v>0.63</v>
      </c>
      <c r="E31" s="119">
        <f t="shared" ref="E31" si="4">SUM(C31:D31)</f>
        <v>17.84</v>
      </c>
      <c r="F31" s="113" t="s">
        <v>289</v>
      </c>
      <c r="G31" s="113"/>
      <c r="H31" s="119"/>
      <c r="I31" s="119"/>
      <c r="J31" s="113"/>
      <c r="K31" s="113"/>
    </row>
    <row r="32" spans="1:11">
      <c r="A32" s="113"/>
      <c r="B32" s="113"/>
      <c r="C32" s="120"/>
      <c r="D32" s="113"/>
      <c r="E32" s="113"/>
      <c r="F32" s="113"/>
      <c r="G32" s="113"/>
      <c r="H32" s="119"/>
      <c r="I32" s="119"/>
      <c r="J32" s="113"/>
      <c r="K32" s="113"/>
    </row>
    <row r="33" spans="1:11">
      <c r="A33" s="114" t="s">
        <v>265</v>
      </c>
      <c r="B33" s="113"/>
      <c r="C33" s="115"/>
      <c r="D33" s="113"/>
      <c r="E33" s="113"/>
      <c r="F33" s="113"/>
      <c r="G33" s="113"/>
      <c r="H33" s="119"/>
      <c r="I33" s="119"/>
      <c r="J33" s="113"/>
      <c r="K33" s="113"/>
    </row>
    <row r="34" spans="1:11">
      <c r="A34" s="113" t="s">
        <v>257</v>
      </c>
      <c r="B34" s="113" t="s">
        <v>258</v>
      </c>
      <c r="C34" s="115">
        <v>120.17</v>
      </c>
      <c r="D34" s="121">
        <f>References!C64</f>
        <v>14.420000000000002</v>
      </c>
      <c r="E34" s="119">
        <f t="shared" ref="E34" si="5">SUM(C34:D34)</f>
        <v>134.59</v>
      </c>
      <c r="F34" s="113"/>
      <c r="G34" s="121"/>
      <c r="H34" s="119"/>
      <c r="I34" s="119"/>
      <c r="J34" s="113"/>
      <c r="K34" s="113"/>
    </row>
    <row r="35" spans="1:11">
      <c r="A35" s="113"/>
      <c r="B35" s="113"/>
      <c r="C35" s="120"/>
      <c r="D35" s="113"/>
      <c r="E35" s="113"/>
      <c r="F35" s="113"/>
      <c r="G35" s="113"/>
      <c r="H35" s="119"/>
      <c r="I35" s="119"/>
      <c r="J35" s="113"/>
      <c r="K35" s="113"/>
    </row>
    <row r="36" spans="1:11">
      <c r="A36" s="114" t="s">
        <v>266</v>
      </c>
      <c r="B36" s="113"/>
      <c r="C36" s="115"/>
      <c r="D36" s="113"/>
      <c r="E36" s="113"/>
      <c r="F36" s="113"/>
      <c r="G36" s="113"/>
      <c r="H36" s="119"/>
      <c r="I36" s="119"/>
      <c r="J36" s="113"/>
      <c r="K36" s="113"/>
    </row>
    <row r="37" spans="1:11">
      <c r="A37" s="113" t="s">
        <v>269</v>
      </c>
      <c r="B37" s="113"/>
      <c r="C37" s="115"/>
      <c r="D37" s="113"/>
      <c r="E37" s="113"/>
      <c r="F37" s="113"/>
      <c r="G37" s="113"/>
      <c r="H37" s="119"/>
      <c r="I37" s="119"/>
      <c r="J37" s="113"/>
      <c r="K37" s="113"/>
    </row>
    <row r="38" spans="1:11">
      <c r="A38" s="113" t="s">
        <v>249</v>
      </c>
      <c r="B38" s="113" t="s">
        <v>247</v>
      </c>
      <c r="C38" s="115">
        <v>17.190000000000001</v>
      </c>
      <c r="D38" s="119">
        <f>ROUND('DF Calculation'!L34,2)</f>
        <v>0.89</v>
      </c>
      <c r="E38" s="119">
        <f t="shared" ref="E38:E40" si="6">SUM(C38:D38)</f>
        <v>18.080000000000002</v>
      </c>
      <c r="F38" s="113"/>
      <c r="G38" s="119"/>
      <c r="H38" s="119"/>
      <c r="I38" s="119"/>
      <c r="J38" s="121"/>
      <c r="K38" s="113"/>
    </row>
    <row r="39" spans="1:11">
      <c r="A39" s="113" t="s">
        <v>250</v>
      </c>
      <c r="B39" s="113" t="s">
        <v>247</v>
      </c>
      <c r="C39" s="115">
        <v>21.62</v>
      </c>
      <c r="D39" s="119">
        <f>ROUND('DF Calculation'!L35,2)</f>
        <v>1.26</v>
      </c>
      <c r="E39" s="119">
        <f t="shared" si="6"/>
        <v>22.880000000000003</v>
      </c>
      <c r="F39" s="113"/>
      <c r="G39" s="119"/>
      <c r="H39" s="119"/>
      <c r="I39" s="119"/>
      <c r="J39" s="121"/>
      <c r="K39" s="113"/>
    </row>
    <row r="40" spans="1:11">
      <c r="A40" s="113" t="s">
        <v>251</v>
      </c>
      <c r="B40" s="113" t="s">
        <v>247</v>
      </c>
      <c r="C40" s="115">
        <v>30.18</v>
      </c>
      <c r="D40" s="119">
        <f>ROUND('DF Calculation'!L36,2)</f>
        <v>1.64</v>
      </c>
      <c r="E40" s="119">
        <f t="shared" si="6"/>
        <v>31.82</v>
      </c>
      <c r="F40" s="119"/>
      <c r="G40" s="119"/>
      <c r="H40" s="119"/>
      <c r="I40" s="119"/>
      <c r="J40" s="121"/>
      <c r="K40" s="113"/>
    </row>
    <row r="41" spans="1:11">
      <c r="A41" s="113"/>
      <c r="B41" s="113"/>
      <c r="C41" s="120"/>
      <c r="D41" s="113"/>
      <c r="E41" s="113"/>
      <c r="F41" s="113"/>
      <c r="G41" s="113"/>
      <c r="H41" s="119"/>
      <c r="I41" s="119"/>
      <c r="J41" s="113"/>
      <c r="K41" s="113"/>
    </row>
    <row r="42" spans="1:11">
      <c r="A42" s="113" t="s">
        <v>267</v>
      </c>
      <c r="B42" s="113"/>
      <c r="C42" s="115"/>
      <c r="D42" s="113"/>
      <c r="E42" s="113"/>
      <c r="F42" s="113"/>
      <c r="G42" s="113"/>
      <c r="H42" s="119"/>
      <c r="I42" s="119"/>
      <c r="J42" s="113"/>
      <c r="K42" s="113"/>
    </row>
    <row r="43" spans="1:11">
      <c r="A43" s="113" t="s">
        <v>249</v>
      </c>
      <c r="B43" s="113" t="s">
        <v>268</v>
      </c>
      <c r="C43" s="115">
        <v>74.430000000000007</v>
      </c>
      <c r="D43" s="119">
        <f>'DF Calculation'!L25</f>
        <v>3.8353109011435151</v>
      </c>
      <c r="E43" s="119">
        <f t="shared" ref="E43:E45" si="7">SUM(C43:D43)</f>
        <v>78.265310901143522</v>
      </c>
      <c r="F43" s="113"/>
      <c r="G43" s="119"/>
      <c r="H43" s="119"/>
      <c r="I43" s="119"/>
      <c r="J43" s="121"/>
      <c r="K43" s="113"/>
    </row>
    <row r="44" spans="1:11">
      <c r="A44" s="113" t="s">
        <v>250</v>
      </c>
      <c r="B44" s="113" t="s">
        <v>268</v>
      </c>
      <c r="C44" s="115">
        <v>93.61</v>
      </c>
      <c r="D44" s="119">
        <f>'DF Calculation'!L26</f>
        <v>5.4790155730621644</v>
      </c>
      <c r="E44" s="119">
        <f t="shared" si="7"/>
        <v>99.08901557306217</v>
      </c>
      <c r="F44" s="113"/>
      <c r="G44" s="119"/>
      <c r="H44" s="119"/>
      <c r="I44" s="119"/>
      <c r="J44" s="121"/>
      <c r="K44" s="113"/>
    </row>
    <row r="45" spans="1:11">
      <c r="A45" s="113" t="s">
        <v>251</v>
      </c>
      <c r="B45" s="113" t="s">
        <v>268</v>
      </c>
      <c r="C45" s="115">
        <v>130.68</v>
      </c>
      <c r="D45" s="119">
        <f>'DF Calculation'!L28</f>
        <v>7.1008041826885648</v>
      </c>
      <c r="E45" s="119">
        <f t="shared" si="7"/>
        <v>137.78080418268857</v>
      </c>
      <c r="F45" s="113"/>
      <c r="G45" s="119"/>
      <c r="H45" s="119"/>
      <c r="I45" s="119"/>
      <c r="J45" s="121"/>
      <c r="K45" s="113"/>
    </row>
    <row r="46" spans="1:11">
      <c r="A46" s="113"/>
      <c r="B46" s="113"/>
      <c r="C46" s="115"/>
      <c r="D46" s="119"/>
      <c r="E46" s="119"/>
      <c r="F46" s="113"/>
      <c r="G46" s="119"/>
      <c r="H46" s="119"/>
      <c r="I46" s="119"/>
      <c r="J46" s="121"/>
      <c r="K46" s="113"/>
    </row>
    <row r="47" spans="1:11">
      <c r="A47" s="113" t="s">
        <v>270</v>
      </c>
      <c r="B47" s="113"/>
      <c r="C47" s="115"/>
      <c r="D47" s="113"/>
      <c r="E47" s="113"/>
      <c r="F47" s="113"/>
      <c r="G47" s="119"/>
      <c r="H47" s="119"/>
      <c r="I47" s="119"/>
      <c r="J47" s="121"/>
      <c r="K47" s="113"/>
    </row>
    <row r="48" spans="1:11">
      <c r="A48" s="113" t="s">
        <v>249</v>
      </c>
      <c r="B48" s="113" t="s">
        <v>268</v>
      </c>
      <c r="C48" s="115">
        <v>37.299999999999997</v>
      </c>
      <c r="D48" s="119">
        <f>ROUND('DF Calculation'!L37,2)</f>
        <v>1.92</v>
      </c>
      <c r="E48" s="119">
        <f t="shared" ref="E48:E50" si="8">SUM(C48:D48)</f>
        <v>39.22</v>
      </c>
      <c r="F48" s="113"/>
      <c r="G48" s="119"/>
      <c r="H48" s="119"/>
      <c r="I48" s="119"/>
      <c r="J48" s="121"/>
      <c r="K48" s="113"/>
    </row>
    <row r="49" spans="1:11">
      <c r="A49" s="113" t="s">
        <v>250</v>
      </c>
      <c r="B49" s="113" t="s">
        <v>268</v>
      </c>
      <c r="C49" s="115">
        <v>46.92</v>
      </c>
      <c r="D49" s="119">
        <f>ROUND('DF Calculation'!L38,2)</f>
        <v>2.74</v>
      </c>
      <c r="E49" s="119">
        <f t="shared" si="8"/>
        <v>49.660000000000004</v>
      </c>
      <c r="F49" s="113"/>
      <c r="G49" s="119"/>
      <c r="H49" s="119"/>
      <c r="I49" s="119"/>
      <c r="J49" s="121"/>
      <c r="K49" s="113"/>
    </row>
    <row r="50" spans="1:11">
      <c r="A50" s="113" t="s">
        <v>251</v>
      </c>
      <c r="B50" s="113" t="s">
        <v>268</v>
      </c>
      <c r="C50" s="115">
        <v>65.489999999999995</v>
      </c>
      <c r="D50" s="119">
        <f>ROUND('DF Calculation'!L39,2)</f>
        <v>3.55</v>
      </c>
      <c r="E50" s="119">
        <f t="shared" si="8"/>
        <v>69.039999999999992</v>
      </c>
      <c r="F50" s="113"/>
      <c r="G50" s="119"/>
      <c r="H50" s="119"/>
      <c r="I50" s="119"/>
      <c r="J50" s="121"/>
      <c r="K50" s="113"/>
    </row>
    <row r="51" spans="1:11">
      <c r="A51" s="113"/>
      <c r="B51" s="113"/>
      <c r="C51" s="120"/>
      <c r="D51" s="113"/>
      <c r="E51" s="113"/>
      <c r="F51" s="113"/>
      <c r="G51" s="113"/>
      <c r="H51" s="119"/>
      <c r="I51" s="119"/>
      <c r="J51" s="113"/>
      <c r="K51" s="113"/>
    </row>
    <row r="52" spans="1:11">
      <c r="A52" s="113" t="s">
        <v>252</v>
      </c>
      <c r="B52" s="113"/>
      <c r="C52" s="115"/>
      <c r="D52" s="113"/>
      <c r="E52" s="113"/>
      <c r="F52" s="113"/>
      <c r="G52" s="113"/>
      <c r="H52" s="119"/>
      <c r="I52" s="119"/>
      <c r="J52" s="113"/>
      <c r="K52" s="113"/>
    </row>
    <row r="53" spans="1:11">
      <c r="A53" s="113" t="s">
        <v>249</v>
      </c>
      <c r="B53" s="113" t="s">
        <v>247</v>
      </c>
      <c r="C53" s="115">
        <v>19.190000000000001</v>
      </c>
      <c r="D53" s="119">
        <f>ROUND('DF Calculation'!L32,2)</f>
        <v>0.89</v>
      </c>
      <c r="E53" s="119">
        <f t="shared" ref="E53:E55" si="9">SUM(C53:D53)</f>
        <v>20.080000000000002</v>
      </c>
      <c r="F53" s="113"/>
      <c r="G53" s="119"/>
      <c r="H53" s="119"/>
      <c r="I53" s="119"/>
      <c r="J53" s="113"/>
      <c r="K53" s="113"/>
    </row>
    <row r="54" spans="1:11">
      <c r="A54" s="113" t="s">
        <v>250</v>
      </c>
      <c r="B54" s="113" t="s">
        <v>247</v>
      </c>
      <c r="C54" s="115">
        <v>23.62</v>
      </c>
      <c r="D54" s="119">
        <f>'DF Calculation'!L48</f>
        <v>1.2643882091681919</v>
      </c>
      <c r="E54" s="119">
        <f t="shared" si="9"/>
        <v>24.884388209168193</v>
      </c>
      <c r="F54" s="113" t="s">
        <v>289</v>
      </c>
      <c r="G54" s="119"/>
      <c r="H54" s="119"/>
      <c r="I54" s="119"/>
      <c r="J54" s="113"/>
      <c r="K54" s="113"/>
    </row>
    <row r="55" spans="1:11">
      <c r="A55" s="113" t="s">
        <v>251</v>
      </c>
      <c r="B55" s="113" t="s">
        <v>247</v>
      </c>
      <c r="C55" s="115">
        <v>32.18</v>
      </c>
      <c r="D55" s="119">
        <f>ROUND('DF Calculation'!L33,2)</f>
        <v>1.64</v>
      </c>
      <c r="E55" s="119">
        <f t="shared" si="9"/>
        <v>33.82</v>
      </c>
      <c r="F55" s="113"/>
      <c r="G55" s="119"/>
      <c r="H55" s="119"/>
      <c r="I55" s="119"/>
      <c r="J55" s="113"/>
      <c r="K55" s="113"/>
    </row>
    <row r="56" spans="1:11">
      <c r="A56" s="113"/>
      <c r="B56" s="113"/>
      <c r="C56" s="120"/>
      <c r="D56" s="113"/>
      <c r="E56" s="113"/>
      <c r="F56" s="113"/>
      <c r="G56" s="113"/>
      <c r="H56" s="119"/>
      <c r="I56" s="119"/>
      <c r="J56" s="113"/>
      <c r="K56" s="113"/>
    </row>
    <row r="57" spans="1:11">
      <c r="A57" s="114" t="s">
        <v>271</v>
      </c>
      <c r="B57" s="113"/>
      <c r="C57" s="115"/>
      <c r="D57" s="113"/>
      <c r="E57" s="113"/>
      <c r="F57" s="113"/>
      <c r="G57" s="113"/>
      <c r="H57" s="119"/>
      <c r="I57" s="119"/>
      <c r="J57" s="113"/>
      <c r="K57" s="113"/>
    </row>
    <row r="58" spans="1:11">
      <c r="A58" s="113" t="s">
        <v>290</v>
      </c>
      <c r="B58" s="113" t="s">
        <v>247</v>
      </c>
      <c r="C58" s="115">
        <v>3.2</v>
      </c>
      <c r="D58" s="119">
        <f>ROUND('DF Calculation'!L21,2)</f>
        <v>0.15</v>
      </c>
      <c r="E58" s="119">
        <f t="shared" ref="E58:E63" si="10">SUM(C58:D58)</f>
        <v>3.35</v>
      </c>
      <c r="F58" s="113" t="s">
        <v>289</v>
      </c>
      <c r="G58" s="119"/>
      <c r="H58" s="119"/>
      <c r="I58" s="119"/>
      <c r="J58" s="113"/>
      <c r="K58" s="113"/>
    </row>
    <row r="59" spans="1:11">
      <c r="A59" s="113" t="s">
        <v>259</v>
      </c>
      <c r="B59" s="113" t="s">
        <v>247</v>
      </c>
      <c r="C59" s="115">
        <v>5.91</v>
      </c>
      <c r="D59" s="118">
        <f>ROUND('DF Calculation'!L21,2)</f>
        <v>0.15</v>
      </c>
      <c r="E59" s="119">
        <f t="shared" si="10"/>
        <v>6.0600000000000005</v>
      </c>
      <c r="F59" s="113" t="s">
        <v>289</v>
      </c>
      <c r="G59" s="119"/>
      <c r="H59" s="119"/>
      <c r="I59" s="119"/>
      <c r="J59" s="113"/>
      <c r="K59" s="113"/>
    </row>
    <row r="60" spans="1:11">
      <c r="A60" s="113" t="s">
        <v>291</v>
      </c>
      <c r="B60" s="113" t="s">
        <v>247</v>
      </c>
      <c r="C60" s="115">
        <v>3.25</v>
      </c>
      <c r="D60" s="118">
        <f>ROUND('DF Calculation'!L21,2)</f>
        <v>0.15</v>
      </c>
      <c r="E60" s="119">
        <f t="shared" si="10"/>
        <v>3.4</v>
      </c>
      <c r="F60" s="113"/>
      <c r="G60" s="119"/>
      <c r="H60" s="119"/>
      <c r="I60" s="119"/>
      <c r="J60" s="113"/>
      <c r="K60" s="113"/>
    </row>
    <row r="61" spans="1:11">
      <c r="A61" s="113" t="s">
        <v>287</v>
      </c>
      <c r="B61" s="113" t="s">
        <v>268</v>
      </c>
      <c r="C61" s="115">
        <v>13.85</v>
      </c>
      <c r="D61" s="119">
        <f>ROUND('DF Calculation'!L20,2)</f>
        <v>0.64</v>
      </c>
      <c r="E61" s="119">
        <f t="shared" si="10"/>
        <v>14.49</v>
      </c>
      <c r="F61" s="113"/>
      <c r="G61" s="119"/>
      <c r="H61" s="119"/>
      <c r="I61" s="119"/>
      <c r="J61" s="113"/>
      <c r="K61" s="113"/>
    </row>
    <row r="62" spans="1:11">
      <c r="A62" s="113" t="s">
        <v>272</v>
      </c>
      <c r="B62" s="113" t="s">
        <v>247</v>
      </c>
      <c r="C62" s="115">
        <v>3.65</v>
      </c>
      <c r="D62" s="119">
        <f>ROUND('DF Calculation'!L18,2)</f>
        <v>0.15</v>
      </c>
      <c r="E62" s="119">
        <f t="shared" si="10"/>
        <v>3.8</v>
      </c>
      <c r="F62" s="113"/>
      <c r="G62" s="119"/>
      <c r="H62" s="119"/>
      <c r="I62" s="119"/>
      <c r="J62" s="113"/>
      <c r="K62" s="113"/>
    </row>
    <row r="63" spans="1:11">
      <c r="A63" s="113" t="s">
        <v>273</v>
      </c>
      <c r="B63" s="113" t="s">
        <v>247</v>
      </c>
      <c r="C63" s="115">
        <v>3.65</v>
      </c>
      <c r="D63" s="119">
        <f>ROUND('DF Calculation'!L18,2)</f>
        <v>0.15</v>
      </c>
      <c r="E63" s="119">
        <f t="shared" si="10"/>
        <v>3.8</v>
      </c>
      <c r="F63" s="113"/>
      <c r="G63" s="119"/>
      <c r="H63" s="119"/>
      <c r="I63" s="119"/>
      <c r="J63" s="113"/>
      <c r="K63" s="113"/>
    </row>
    <row r="64" spans="1:11">
      <c r="A64" s="113"/>
      <c r="B64" s="113"/>
      <c r="C64" s="115"/>
      <c r="D64" s="118"/>
      <c r="E64" s="119"/>
      <c r="F64" s="113"/>
      <c r="G64" s="119"/>
      <c r="H64" s="119"/>
      <c r="I64" s="119"/>
      <c r="J64" s="113"/>
      <c r="K64" s="113"/>
    </row>
    <row r="65" spans="1:11">
      <c r="A65" s="114" t="s">
        <v>274</v>
      </c>
      <c r="B65" s="113"/>
      <c r="C65" s="115"/>
      <c r="D65" s="113"/>
      <c r="E65" s="113"/>
      <c r="F65" s="113"/>
      <c r="G65" s="113"/>
      <c r="H65" s="119"/>
      <c r="I65" s="119"/>
      <c r="J65" s="113"/>
      <c r="K65" s="113"/>
    </row>
    <row r="66" spans="1:11">
      <c r="A66" s="113" t="s">
        <v>251</v>
      </c>
      <c r="B66" s="116">
        <v>3</v>
      </c>
      <c r="C66" s="115">
        <v>78.400000000000006</v>
      </c>
      <c r="D66" s="119">
        <f>ROUND('DF Calculation'!L49,2)</f>
        <v>4.92</v>
      </c>
      <c r="E66" s="119">
        <f t="shared" ref="E66:E69" si="11">SUM(C66:D66)</f>
        <v>83.320000000000007</v>
      </c>
      <c r="F66" s="113" t="s">
        <v>289</v>
      </c>
      <c r="G66" s="119"/>
      <c r="H66" s="119"/>
      <c r="I66" s="119"/>
      <c r="J66" s="121"/>
      <c r="K66" s="113"/>
    </row>
    <row r="67" spans="1:11">
      <c r="A67" s="113"/>
      <c r="B67" s="116"/>
      <c r="C67" s="115"/>
      <c r="D67" s="119"/>
      <c r="E67" s="119"/>
      <c r="F67" s="113"/>
      <c r="G67" s="119"/>
      <c r="H67" s="119"/>
      <c r="I67" s="119"/>
      <c r="J67" s="121"/>
      <c r="K67" s="113"/>
    </row>
    <row r="68" spans="1:11">
      <c r="A68" s="114" t="s">
        <v>275</v>
      </c>
      <c r="B68" s="116"/>
      <c r="C68" s="115"/>
      <c r="D68" s="119"/>
      <c r="E68" s="119"/>
      <c r="F68" s="122"/>
      <c r="G68" s="118"/>
      <c r="H68" s="119"/>
      <c r="I68" s="119"/>
      <c r="J68" s="121"/>
      <c r="K68" s="113"/>
    </row>
    <row r="69" spans="1:11">
      <c r="A69" s="113" t="s">
        <v>251</v>
      </c>
      <c r="B69" s="116">
        <v>5</v>
      </c>
      <c r="C69" s="115">
        <v>120.06</v>
      </c>
      <c r="D69" s="119">
        <f>ROUND('DF Calculation'!L50,2)</f>
        <v>8.19</v>
      </c>
      <c r="E69" s="119">
        <f t="shared" si="11"/>
        <v>128.25</v>
      </c>
      <c r="F69" s="113" t="s">
        <v>289</v>
      </c>
      <c r="G69" s="118"/>
      <c r="H69" s="119"/>
      <c r="I69" s="119"/>
      <c r="J69" s="121"/>
      <c r="K69" s="113"/>
    </row>
    <row r="70" spans="1:11">
      <c r="A70" s="113"/>
      <c r="B70" s="113"/>
      <c r="C70" s="120"/>
      <c r="D70" s="113"/>
      <c r="E70" s="122"/>
      <c r="F70" s="122"/>
      <c r="G70" s="122"/>
      <c r="H70" s="119"/>
      <c r="I70" s="119"/>
      <c r="J70" s="113"/>
      <c r="K70" s="113"/>
    </row>
    <row r="71" spans="1:11">
      <c r="A71" s="113"/>
      <c r="B71" s="113"/>
      <c r="C71" s="115"/>
      <c r="D71" s="113"/>
      <c r="E71" s="122"/>
      <c r="F71" s="122"/>
      <c r="G71" s="122"/>
      <c r="H71" s="119"/>
      <c r="I71" s="119"/>
      <c r="J71" s="113"/>
      <c r="K71" s="113"/>
    </row>
    <row r="72" spans="1:11">
      <c r="A72" s="113"/>
      <c r="B72" s="116"/>
      <c r="C72" s="115"/>
      <c r="D72" s="118"/>
      <c r="E72" s="119"/>
      <c r="F72" s="122"/>
      <c r="G72" s="118"/>
      <c r="H72" s="119"/>
      <c r="I72" s="119"/>
      <c r="J72" s="121"/>
      <c r="K72" s="113"/>
    </row>
    <row r="73" spans="1:11">
      <c r="A73" s="113"/>
      <c r="B73" s="116"/>
      <c r="C73" s="115"/>
      <c r="D73" s="118"/>
      <c r="E73" s="119"/>
      <c r="F73" s="122"/>
      <c r="G73" s="118"/>
      <c r="H73" s="119"/>
      <c r="I73" s="119"/>
      <c r="J73" s="121"/>
      <c r="K73" s="113"/>
    </row>
    <row r="74" spans="1:11">
      <c r="A74" s="113"/>
      <c r="B74" s="116"/>
      <c r="C74" s="115"/>
      <c r="D74" s="118"/>
      <c r="E74" s="119"/>
      <c r="F74" s="122"/>
      <c r="G74" s="118"/>
      <c r="H74" s="119"/>
      <c r="I74" s="119"/>
      <c r="J74" s="121"/>
      <c r="K74" s="113"/>
    </row>
    <row r="75" spans="1:11">
      <c r="A75" s="113"/>
      <c r="B75" s="116"/>
      <c r="C75" s="115"/>
      <c r="D75" s="118"/>
      <c r="E75" s="119"/>
      <c r="F75" s="122"/>
      <c r="G75" s="118"/>
      <c r="H75" s="119"/>
      <c r="I75" s="119"/>
      <c r="J75" s="121"/>
      <c r="K75" s="113"/>
    </row>
    <row r="76" spans="1:11">
      <c r="A76" s="114"/>
      <c r="B76" s="116"/>
      <c r="C76" s="115"/>
      <c r="D76" s="119"/>
      <c r="E76" s="122"/>
      <c r="F76" s="122"/>
      <c r="G76" s="122"/>
      <c r="H76" s="119"/>
      <c r="I76" s="119"/>
      <c r="J76" s="121"/>
      <c r="K76" s="113"/>
    </row>
    <row r="77" spans="1:11">
      <c r="A77" s="113"/>
      <c r="B77" s="116"/>
      <c r="C77" s="115"/>
      <c r="D77" s="119"/>
      <c r="E77" s="119"/>
      <c r="F77" s="122"/>
      <c r="G77" s="118"/>
      <c r="H77" s="119"/>
      <c r="I77" s="119"/>
      <c r="J77" s="121"/>
      <c r="K77" s="113"/>
    </row>
    <row r="78" spans="1:11">
      <c r="A78" s="113"/>
      <c r="B78" s="116"/>
      <c r="C78" s="115"/>
      <c r="D78" s="119"/>
      <c r="E78" s="119"/>
      <c r="F78" s="122"/>
      <c r="G78" s="118"/>
      <c r="H78" s="119"/>
      <c r="I78" s="119"/>
      <c r="J78" s="121"/>
      <c r="K78" s="113"/>
    </row>
    <row r="79" spans="1:11">
      <c r="A79" s="113"/>
      <c r="B79" s="116"/>
      <c r="C79" s="115"/>
      <c r="D79" s="119"/>
      <c r="E79" s="119"/>
      <c r="F79" s="122"/>
      <c r="G79" s="118"/>
      <c r="H79" s="119"/>
      <c r="I79" s="119"/>
      <c r="J79" s="121"/>
      <c r="K79" s="113"/>
    </row>
    <row r="80" spans="1:11">
      <c r="A80" s="113"/>
      <c r="B80" s="116"/>
      <c r="C80" s="115"/>
      <c r="D80" s="119"/>
      <c r="E80" s="119"/>
      <c r="F80" s="122"/>
      <c r="G80" s="118"/>
      <c r="H80" s="119"/>
      <c r="I80" s="119"/>
      <c r="J80" s="121"/>
      <c r="K80" s="113"/>
    </row>
    <row r="81" spans="1:11">
      <c r="A81" s="113"/>
      <c r="B81" s="113"/>
      <c r="C81" s="120"/>
      <c r="D81" s="113"/>
      <c r="E81" s="122"/>
      <c r="F81" s="122"/>
      <c r="G81" s="122"/>
      <c r="H81" s="119"/>
      <c r="I81" s="119"/>
      <c r="J81" s="113"/>
      <c r="K81" s="113"/>
    </row>
    <row r="82" spans="1:11">
      <c r="A82" s="114"/>
      <c r="B82" s="113"/>
      <c r="C82" s="115"/>
      <c r="D82" s="113"/>
      <c r="E82" s="122"/>
      <c r="F82" s="122"/>
      <c r="G82" s="122"/>
      <c r="H82" s="119"/>
      <c r="I82" s="119"/>
      <c r="J82" s="113"/>
      <c r="K82" s="113"/>
    </row>
    <row r="83" spans="1:11">
      <c r="A83" s="113"/>
      <c r="B83" s="116"/>
      <c r="C83" s="115"/>
      <c r="D83" s="119"/>
      <c r="E83" s="119"/>
      <c r="F83" s="122"/>
      <c r="G83" s="118"/>
      <c r="H83" s="119"/>
      <c r="I83" s="119"/>
      <c r="J83" s="121"/>
      <c r="K83" s="113"/>
    </row>
    <row r="84" spans="1:11">
      <c r="A84" s="113"/>
      <c r="B84" s="116"/>
      <c r="C84" s="115"/>
      <c r="D84" s="119"/>
      <c r="E84" s="119"/>
      <c r="F84" s="118"/>
      <c r="G84" s="118"/>
      <c r="H84" s="119"/>
      <c r="I84" s="119"/>
      <c r="J84" s="121"/>
      <c r="K84" s="113"/>
    </row>
    <row r="85" spans="1:11">
      <c r="A85" s="113"/>
      <c r="B85" s="116"/>
      <c r="C85" s="115"/>
      <c r="D85" s="118"/>
      <c r="E85" s="119"/>
      <c r="F85" s="122"/>
      <c r="G85" s="118"/>
      <c r="H85" s="119"/>
      <c r="I85" s="119"/>
      <c r="J85" s="121"/>
      <c r="K85" s="113"/>
    </row>
    <row r="86" spans="1:11">
      <c r="A86" s="113"/>
      <c r="B86" s="116"/>
      <c r="C86" s="115"/>
      <c r="D86" s="119"/>
      <c r="E86" s="122"/>
      <c r="F86" s="122"/>
      <c r="G86" s="122"/>
      <c r="H86" s="119"/>
      <c r="I86" s="119"/>
      <c r="J86" s="121"/>
      <c r="K86" s="113"/>
    </row>
    <row r="87" spans="1:11">
      <c r="A87" s="113"/>
      <c r="B87" s="116"/>
      <c r="C87" s="115"/>
      <c r="D87" s="119"/>
      <c r="E87" s="119"/>
      <c r="F87" s="122"/>
      <c r="G87" s="118"/>
      <c r="H87" s="119"/>
      <c r="I87" s="119"/>
      <c r="J87" s="121"/>
      <c r="K87" s="113"/>
    </row>
    <row r="88" spans="1:11">
      <c r="A88" s="113"/>
      <c r="B88" s="116"/>
      <c r="C88" s="115"/>
      <c r="D88" s="119"/>
      <c r="E88" s="119"/>
      <c r="F88" s="122"/>
      <c r="G88" s="118"/>
      <c r="H88" s="119"/>
      <c r="I88" s="119"/>
      <c r="J88" s="121"/>
      <c r="K88" s="113"/>
    </row>
    <row r="89" spans="1:11">
      <c r="A89" s="113"/>
      <c r="B89" s="116"/>
      <c r="C89" s="115"/>
      <c r="D89" s="118"/>
      <c r="E89" s="119"/>
      <c r="F89" s="122"/>
      <c r="G89" s="118"/>
      <c r="H89" s="119"/>
      <c r="I89" s="119"/>
      <c r="J89" s="121"/>
      <c r="K89" s="113"/>
    </row>
    <row r="90" spans="1:11">
      <c r="A90" s="113"/>
      <c r="B90" s="113"/>
      <c r="C90" s="120"/>
      <c r="D90" s="113"/>
      <c r="E90" s="122"/>
      <c r="F90" s="122"/>
      <c r="G90" s="122"/>
      <c r="H90" s="119"/>
      <c r="I90" s="119"/>
      <c r="J90" s="113"/>
      <c r="K90" s="113"/>
    </row>
    <row r="91" spans="1:11">
      <c r="A91" s="114"/>
      <c r="B91" s="113"/>
      <c r="C91" s="115"/>
      <c r="D91" s="113"/>
      <c r="E91" s="122"/>
      <c r="F91" s="122"/>
      <c r="G91" s="122"/>
      <c r="H91" s="119"/>
      <c r="I91" s="119"/>
      <c r="J91" s="113"/>
      <c r="K91" s="113"/>
    </row>
    <row r="92" spans="1:11">
      <c r="A92" s="113"/>
      <c r="B92" s="116"/>
      <c r="C92" s="115"/>
      <c r="D92" s="119"/>
      <c r="E92" s="119"/>
      <c r="F92" s="122"/>
      <c r="G92" s="118"/>
      <c r="H92" s="119"/>
      <c r="I92" s="119"/>
      <c r="J92" s="121"/>
      <c r="K92" s="113"/>
    </row>
    <row r="93" spans="1:11">
      <c r="A93" s="113"/>
      <c r="B93" s="116"/>
      <c r="C93" s="115"/>
      <c r="D93" s="118"/>
      <c r="E93" s="119"/>
      <c r="F93" s="122"/>
      <c r="G93" s="118"/>
      <c r="H93" s="119"/>
      <c r="I93" s="119"/>
      <c r="J93" s="121"/>
      <c r="K93" s="113"/>
    </row>
    <row r="94" spans="1:11">
      <c r="A94" s="113"/>
      <c r="B94" s="116"/>
      <c r="C94" s="115"/>
      <c r="D94" s="119"/>
      <c r="E94" s="122"/>
      <c r="F94" s="122"/>
      <c r="G94" s="122"/>
      <c r="H94" s="119"/>
      <c r="I94" s="119"/>
      <c r="J94" s="121"/>
      <c r="K94" s="113"/>
    </row>
    <row r="95" spans="1:11">
      <c r="A95" s="113"/>
      <c r="B95" s="116"/>
      <c r="C95" s="115"/>
      <c r="D95" s="119"/>
      <c r="E95" s="119"/>
      <c r="F95" s="122"/>
      <c r="G95" s="118"/>
      <c r="H95" s="119"/>
      <c r="I95" s="119"/>
      <c r="J95" s="121"/>
      <c r="K95" s="113"/>
    </row>
    <row r="96" spans="1:11">
      <c r="A96" s="113"/>
      <c r="B96" s="116"/>
      <c r="C96" s="115"/>
      <c r="D96" s="119"/>
      <c r="E96" s="119"/>
      <c r="F96" s="122"/>
      <c r="G96" s="118"/>
      <c r="H96" s="119"/>
      <c r="I96" s="119"/>
      <c r="J96" s="121"/>
      <c r="K96" s="113"/>
    </row>
    <row r="97" spans="1:11">
      <c r="A97" s="113"/>
      <c r="B97" s="113"/>
      <c r="C97" s="120"/>
      <c r="D97" s="113"/>
      <c r="E97" s="122"/>
      <c r="F97" s="122"/>
      <c r="G97" s="122"/>
      <c r="H97" s="119"/>
      <c r="I97" s="119"/>
      <c r="J97" s="113"/>
      <c r="K97" s="113"/>
    </row>
    <row r="98" spans="1:11">
      <c r="A98" s="114"/>
      <c r="B98" s="113"/>
      <c r="C98" s="115"/>
      <c r="D98" s="113"/>
      <c r="E98" s="122"/>
      <c r="F98" s="122"/>
      <c r="G98" s="122"/>
      <c r="H98" s="119"/>
      <c r="I98" s="119"/>
      <c r="J98" s="113"/>
      <c r="K98" s="113"/>
    </row>
    <row r="99" spans="1:11">
      <c r="A99" s="113"/>
      <c r="B99" s="116"/>
      <c r="C99" s="115"/>
      <c r="D99" s="119"/>
      <c r="E99" s="119"/>
      <c r="F99" s="122"/>
      <c r="G99" s="118"/>
      <c r="H99" s="119"/>
      <c r="I99" s="119"/>
      <c r="J99" s="119"/>
      <c r="K99" s="119"/>
    </row>
    <row r="100" spans="1:11">
      <c r="A100" s="113"/>
      <c r="B100" s="116"/>
      <c r="C100" s="115"/>
      <c r="D100" s="119"/>
      <c r="E100" s="119"/>
      <c r="F100" s="122"/>
      <c r="G100" s="118"/>
      <c r="H100" s="119"/>
      <c r="I100" s="119"/>
      <c r="J100" s="119"/>
      <c r="K100" s="119"/>
    </row>
    <row r="101" spans="1:11">
      <c r="A101" s="113"/>
      <c r="B101" s="116"/>
      <c r="C101" s="115"/>
      <c r="D101" s="119"/>
      <c r="E101" s="119"/>
      <c r="F101" s="122"/>
      <c r="G101" s="118"/>
      <c r="H101" s="119"/>
      <c r="I101" s="119"/>
      <c r="J101" s="119"/>
      <c r="K101" s="119"/>
    </row>
    <row r="102" spans="1:11">
      <c r="A102" s="113"/>
      <c r="B102" s="116"/>
      <c r="C102" s="115"/>
      <c r="D102" s="119"/>
      <c r="E102" s="122"/>
      <c r="F102" s="122"/>
      <c r="G102" s="122"/>
      <c r="H102" s="119"/>
      <c r="I102" s="119"/>
      <c r="J102" s="113"/>
      <c r="K102" s="113"/>
    </row>
    <row r="103" spans="1:11">
      <c r="A103" s="113"/>
      <c r="B103" s="116"/>
      <c r="C103" s="115"/>
      <c r="D103" s="119"/>
      <c r="E103" s="119"/>
      <c r="F103" s="122"/>
      <c r="G103" s="118"/>
      <c r="H103" s="119"/>
      <c r="I103" s="119"/>
      <c r="J103" s="119"/>
      <c r="K103" s="119"/>
    </row>
    <row r="104" spans="1:11">
      <c r="A104" s="113"/>
      <c r="B104" s="116"/>
      <c r="C104" s="115"/>
      <c r="D104" s="119"/>
      <c r="E104" s="119"/>
      <c r="F104" s="122"/>
      <c r="G104" s="118"/>
      <c r="H104" s="119"/>
      <c r="I104" s="119"/>
      <c r="J104" s="119"/>
      <c r="K104" s="119"/>
    </row>
    <row r="105" spans="1:11">
      <c r="A105" s="113"/>
      <c r="B105" s="116"/>
      <c r="C105" s="115"/>
      <c r="D105" s="119"/>
      <c r="E105" s="119"/>
      <c r="F105" s="122"/>
      <c r="G105" s="118"/>
      <c r="H105" s="119"/>
      <c r="I105" s="119"/>
      <c r="J105" s="119"/>
      <c r="K105" s="119"/>
    </row>
    <row r="106" spans="1:11">
      <c r="A106" s="113"/>
      <c r="B106" s="113"/>
      <c r="C106" s="120"/>
      <c r="D106" s="113"/>
      <c r="E106" s="122"/>
      <c r="F106" s="122"/>
      <c r="G106" s="122"/>
      <c r="H106" s="119"/>
      <c r="I106" s="119"/>
      <c r="J106" s="113"/>
      <c r="K106" s="113"/>
    </row>
    <row r="107" spans="1:11">
      <c r="A107" s="114"/>
      <c r="B107" s="113"/>
      <c r="C107" s="115"/>
      <c r="D107" s="113"/>
      <c r="E107" s="122"/>
      <c r="F107" s="122"/>
      <c r="G107" s="122"/>
      <c r="H107" s="119"/>
      <c r="I107" s="119"/>
      <c r="J107" s="113"/>
      <c r="K107" s="113"/>
    </row>
    <row r="108" spans="1:11">
      <c r="A108" s="113"/>
      <c r="B108" s="116"/>
      <c r="C108" s="115"/>
      <c r="D108" s="119"/>
      <c r="E108" s="119"/>
      <c r="F108" s="122"/>
      <c r="G108" s="118"/>
      <c r="H108" s="119"/>
      <c r="I108" s="119"/>
      <c r="J108" s="119"/>
      <c r="K108" s="119"/>
    </row>
    <row r="109" spans="1:11">
      <c r="A109" s="113"/>
      <c r="B109" s="116"/>
      <c r="C109" s="115"/>
      <c r="D109" s="119"/>
      <c r="E109" s="119"/>
      <c r="F109" s="122"/>
      <c r="G109" s="118"/>
      <c r="H109" s="119"/>
      <c r="I109" s="119"/>
      <c r="J109" s="119"/>
      <c r="K109" s="119"/>
    </row>
    <row r="110" spans="1:11">
      <c r="A110" s="113"/>
      <c r="B110" s="116"/>
      <c r="C110" s="115"/>
      <c r="D110" s="119"/>
      <c r="E110" s="119"/>
      <c r="F110" s="122"/>
      <c r="G110" s="118"/>
      <c r="H110" s="119"/>
      <c r="I110" s="119"/>
      <c r="J110" s="119"/>
      <c r="K110" s="119"/>
    </row>
    <row r="111" spans="1:11">
      <c r="A111" s="113"/>
      <c r="B111" s="116"/>
      <c r="C111" s="115"/>
      <c r="D111" s="119"/>
      <c r="E111" s="119"/>
      <c r="F111" s="122"/>
      <c r="G111" s="118"/>
      <c r="H111" s="119"/>
      <c r="I111" s="119"/>
      <c r="J111" s="119"/>
      <c r="K111" s="119"/>
    </row>
    <row r="112" spans="1:11">
      <c r="A112" s="114"/>
      <c r="B112" s="116"/>
      <c r="C112" s="115"/>
      <c r="D112" s="119"/>
      <c r="E112" s="122"/>
      <c r="F112" s="122"/>
      <c r="G112" s="122"/>
      <c r="H112" s="119"/>
      <c r="I112" s="119"/>
      <c r="J112" s="113"/>
      <c r="K112" s="113"/>
    </row>
    <row r="113" spans="1:11">
      <c r="A113" s="113"/>
      <c r="B113" s="116"/>
      <c r="C113" s="115"/>
      <c r="D113" s="119"/>
      <c r="E113" s="119"/>
      <c r="F113" s="122"/>
      <c r="G113" s="118"/>
      <c r="H113" s="119"/>
      <c r="I113" s="119"/>
      <c r="J113" s="113"/>
      <c r="K113" s="113"/>
    </row>
    <row r="114" spans="1:11">
      <c r="A114" s="113"/>
      <c r="B114" s="116"/>
      <c r="C114" s="115"/>
      <c r="D114" s="119"/>
      <c r="E114" s="119"/>
      <c r="F114" s="122"/>
      <c r="G114" s="118"/>
      <c r="H114" s="119"/>
      <c r="I114" s="119"/>
      <c r="J114" s="113"/>
      <c r="K114" s="113"/>
    </row>
    <row r="115" spans="1:11">
      <c r="A115" s="113"/>
      <c r="B115" s="116"/>
      <c r="C115" s="115"/>
      <c r="D115" s="119"/>
      <c r="E115" s="119"/>
      <c r="F115" s="122"/>
      <c r="G115" s="118"/>
      <c r="H115" s="119"/>
      <c r="I115" s="119"/>
      <c r="J115" s="113"/>
      <c r="K115" s="113"/>
    </row>
    <row r="116" spans="1:11">
      <c r="A116" s="113"/>
      <c r="B116" s="116"/>
      <c r="C116" s="115"/>
      <c r="D116" s="119"/>
      <c r="E116" s="119"/>
      <c r="F116" s="122"/>
      <c r="G116" s="118"/>
      <c r="H116" s="119"/>
      <c r="I116" s="119"/>
      <c r="J116" s="113"/>
      <c r="K116" s="113"/>
    </row>
    <row r="117" spans="1:11">
      <c r="A117" s="113"/>
      <c r="B117" s="113"/>
      <c r="C117" s="120"/>
      <c r="D117" s="113"/>
      <c r="E117" s="122"/>
      <c r="F117" s="122"/>
      <c r="G117" s="122"/>
      <c r="H117" s="119"/>
      <c r="I117" s="119"/>
      <c r="J117" s="113"/>
      <c r="K117" s="113"/>
    </row>
    <row r="118" spans="1:11">
      <c r="A118" s="114"/>
      <c r="B118" s="113"/>
      <c r="C118" s="115"/>
      <c r="D118" s="113"/>
      <c r="E118" s="122"/>
      <c r="F118" s="122"/>
      <c r="G118" s="122"/>
      <c r="H118" s="119"/>
      <c r="I118" s="119"/>
      <c r="J118" s="113"/>
      <c r="K118" s="113"/>
    </row>
    <row r="119" spans="1:11">
      <c r="A119" s="113"/>
      <c r="B119" s="116"/>
      <c r="C119" s="115"/>
      <c r="D119" s="118"/>
      <c r="E119" s="119"/>
      <c r="F119" s="122"/>
      <c r="G119" s="118"/>
      <c r="H119" s="119"/>
      <c r="I119" s="119"/>
      <c r="J119" s="113"/>
      <c r="K119" s="113"/>
    </row>
    <row r="120" spans="1:11">
      <c r="A120" s="113"/>
      <c r="B120" s="116"/>
      <c r="C120" s="115"/>
      <c r="D120" s="118"/>
      <c r="E120" s="119"/>
      <c r="F120" s="122"/>
      <c r="G120" s="118"/>
      <c r="H120" s="119"/>
      <c r="I120" s="119"/>
      <c r="J120" s="113"/>
      <c r="K120" s="113"/>
    </row>
    <row r="121" spans="1:11">
      <c r="A121" s="113"/>
      <c r="B121" s="116"/>
      <c r="C121" s="115"/>
      <c r="D121" s="118"/>
      <c r="E121" s="119"/>
      <c r="F121" s="122"/>
      <c r="G121" s="118"/>
      <c r="H121" s="119"/>
      <c r="I121" s="119"/>
      <c r="J121" s="113"/>
      <c r="K121" s="113"/>
    </row>
    <row r="122" spans="1:11">
      <c r="A122" s="113"/>
      <c r="B122" s="116"/>
      <c r="C122" s="115"/>
      <c r="D122" s="118"/>
      <c r="E122" s="118"/>
      <c r="F122" s="122"/>
      <c r="G122" s="118"/>
      <c r="H122" s="119"/>
      <c r="I122" s="119"/>
      <c r="J122" s="113"/>
      <c r="K122" s="113"/>
    </row>
    <row r="123" spans="1:11">
      <c r="A123" s="113"/>
      <c r="B123" s="116"/>
      <c r="C123" s="115"/>
      <c r="D123" s="118"/>
      <c r="E123" s="119"/>
      <c r="F123" s="122"/>
      <c r="G123" s="118"/>
      <c r="H123" s="119"/>
      <c r="I123" s="119"/>
      <c r="J123" s="113"/>
      <c r="K123" s="113"/>
    </row>
    <row r="124" spans="1:11">
      <c r="A124" s="113"/>
      <c r="B124" s="116"/>
      <c r="C124" s="115"/>
      <c r="D124" s="118"/>
      <c r="E124" s="119"/>
      <c r="F124" s="122"/>
      <c r="G124" s="118"/>
      <c r="H124" s="119"/>
      <c r="I124" s="119"/>
      <c r="J124" s="113"/>
      <c r="K124" s="113"/>
    </row>
    <row r="125" spans="1:11">
      <c r="A125" s="113"/>
      <c r="B125" s="116"/>
      <c r="C125" s="115"/>
      <c r="D125" s="118"/>
      <c r="E125" s="119"/>
      <c r="F125" s="122"/>
      <c r="G125" s="118"/>
      <c r="H125" s="119"/>
      <c r="I125" s="119"/>
      <c r="J125" s="113"/>
      <c r="K125" s="113"/>
    </row>
    <row r="126" spans="1:11">
      <c r="A126" s="113"/>
      <c r="B126" s="113"/>
      <c r="C126" s="120"/>
      <c r="D126" s="113"/>
      <c r="E126" s="118"/>
      <c r="F126" s="122"/>
      <c r="G126" s="118"/>
      <c r="H126" s="119"/>
      <c r="I126" s="119"/>
      <c r="J126" s="113"/>
      <c r="K126" s="113"/>
    </row>
    <row r="127" spans="1:11">
      <c r="A127" s="114"/>
      <c r="B127" s="113"/>
      <c r="C127" s="115"/>
      <c r="D127" s="113"/>
      <c r="E127" s="118"/>
      <c r="F127" s="122"/>
      <c r="G127" s="118"/>
      <c r="H127" s="119"/>
      <c r="I127" s="119"/>
      <c r="J127" s="113"/>
      <c r="K127" s="113"/>
    </row>
    <row r="128" spans="1:11">
      <c r="A128" s="113"/>
      <c r="B128" s="116"/>
      <c r="C128" s="115"/>
      <c r="D128" s="119"/>
      <c r="E128" s="119"/>
      <c r="F128" s="122"/>
      <c r="G128" s="118"/>
      <c r="H128" s="119"/>
      <c r="I128" s="119"/>
      <c r="J128" s="113"/>
      <c r="K128" s="113"/>
    </row>
    <row r="129" spans="1:11">
      <c r="A129" s="113"/>
      <c r="B129" s="116"/>
      <c r="C129" s="115"/>
      <c r="D129" s="119"/>
      <c r="E129" s="119"/>
      <c r="F129" s="122"/>
      <c r="G129" s="118"/>
      <c r="H129" s="119"/>
      <c r="I129" s="119"/>
      <c r="J129" s="113"/>
      <c r="K129" s="113"/>
    </row>
    <row r="130" spans="1:11">
      <c r="A130" s="113"/>
      <c r="B130" s="116"/>
      <c r="C130" s="115"/>
      <c r="D130" s="119"/>
      <c r="E130" s="118"/>
      <c r="F130" s="122"/>
      <c r="G130" s="118"/>
      <c r="H130" s="119"/>
      <c r="I130" s="119"/>
      <c r="J130" s="113"/>
      <c r="K130" s="113"/>
    </row>
    <row r="131" spans="1:11">
      <c r="A131" s="113"/>
      <c r="B131" s="116"/>
      <c r="C131" s="115"/>
      <c r="D131" s="119"/>
      <c r="E131" s="119"/>
      <c r="F131" s="122"/>
      <c r="G131" s="118"/>
      <c r="H131" s="119"/>
      <c r="I131" s="119"/>
      <c r="J131" s="113"/>
      <c r="K131" s="113"/>
    </row>
    <row r="132" spans="1:11">
      <c r="A132" s="113"/>
      <c r="B132" s="116"/>
      <c r="C132" s="115"/>
      <c r="D132" s="119"/>
      <c r="E132" s="119"/>
      <c r="F132" s="122"/>
      <c r="G132" s="118"/>
      <c r="H132" s="119"/>
      <c r="I132" s="119"/>
      <c r="J132" s="113"/>
      <c r="K132" s="113"/>
    </row>
    <row r="133" spans="1:11">
      <c r="A133" s="113"/>
      <c r="B133" s="113"/>
      <c r="C133" s="120"/>
      <c r="D133" s="113"/>
      <c r="E133" s="122"/>
      <c r="F133" s="122"/>
      <c r="G133" s="122"/>
      <c r="H133" s="113"/>
      <c r="I133" s="119"/>
      <c r="J133" s="113"/>
      <c r="K133" s="113"/>
    </row>
    <row r="134" spans="1:11">
      <c r="A134" s="113"/>
      <c r="B134" s="113"/>
      <c r="C134" s="115"/>
      <c r="D134" s="113"/>
      <c r="E134" s="122"/>
      <c r="F134" s="122"/>
      <c r="G134" s="122"/>
      <c r="H134" s="113"/>
      <c r="I134" s="119"/>
      <c r="J134" s="113"/>
      <c r="K134" s="113"/>
    </row>
    <row r="135" spans="1:11">
      <c r="A135" s="113"/>
      <c r="B135" s="113"/>
      <c r="C135" s="115"/>
      <c r="D135" s="113"/>
      <c r="E135" s="122"/>
      <c r="F135" s="122"/>
      <c r="G135" s="122"/>
      <c r="H135" s="113"/>
      <c r="I135" s="119"/>
      <c r="J135" s="113"/>
      <c r="K135" s="113"/>
    </row>
    <row r="136" spans="1:11">
      <c r="A136" s="113"/>
      <c r="B136" s="113"/>
      <c r="C136" s="120"/>
      <c r="D136" s="113"/>
      <c r="E136" s="122"/>
      <c r="F136" s="122"/>
      <c r="G136" s="122"/>
      <c r="H136" s="113"/>
      <c r="I136" s="119"/>
      <c r="J136" s="113"/>
      <c r="K136" s="113"/>
    </row>
    <row r="137" spans="1:11">
      <c r="A137" s="122"/>
      <c r="B137" s="122"/>
      <c r="C137" s="120"/>
      <c r="D137" s="113"/>
      <c r="E137" s="122"/>
      <c r="F137" s="122"/>
      <c r="G137" s="122"/>
      <c r="H137" s="113"/>
      <c r="I137" s="119"/>
      <c r="J137" s="113"/>
      <c r="K137" s="113"/>
    </row>
    <row r="138" spans="1:11">
      <c r="A138" s="113"/>
      <c r="B138" s="113"/>
      <c r="C138" s="120"/>
      <c r="D138" s="113"/>
      <c r="E138" s="122"/>
      <c r="F138" s="122"/>
      <c r="G138" s="122"/>
      <c r="H138" s="113"/>
      <c r="I138" s="119"/>
      <c r="J138" s="113"/>
      <c r="K138" s="113"/>
    </row>
    <row r="139" spans="1:11">
      <c r="A139" s="114"/>
      <c r="B139" s="113"/>
      <c r="C139" s="120"/>
      <c r="D139" s="113"/>
      <c r="E139" s="122"/>
      <c r="F139" s="122"/>
      <c r="G139" s="122"/>
      <c r="H139" s="113"/>
      <c r="I139" s="119"/>
      <c r="J139" s="113"/>
      <c r="K139" s="113"/>
    </row>
    <row r="140" spans="1:11">
      <c r="A140" s="114"/>
      <c r="B140" s="113"/>
      <c r="C140" s="120"/>
      <c r="D140" s="113"/>
      <c r="E140" s="122"/>
      <c r="F140" s="122"/>
      <c r="G140" s="122"/>
      <c r="H140" s="113"/>
      <c r="I140" s="119"/>
      <c r="J140" s="113"/>
      <c r="K140" s="113"/>
    </row>
  </sheetData>
  <pageMargins left="0.7" right="0.7" top="0.75" bottom="0.75" header="0.3" footer="0.3"/>
  <pageSetup scale="85" orientation="portrait" r:id="rId1"/>
  <headerFooter>
    <oddFooter>&amp;L&amp;F - &amp;A&amp;C&amp;D&amp;R&amp;P of &amp;N</oddFooter>
  </headerFooter>
  <rowBreaks count="2" manualBreakCount="2">
    <brk id="51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5" zoomScaleNormal="85" workbookViewId="0">
      <selection activeCell="A2" sqref="A2"/>
    </sheetView>
  </sheetViews>
  <sheetFormatPr defaultRowHeight="15"/>
  <cols>
    <col min="1" max="1" width="19.140625" style="102" customWidth="1"/>
    <col min="2" max="2" width="2.42578125" style="102" customWidth="1"/>
    <col min="3" max="3" width="14.140625" style="102" customWidth="1"/>
    <col min="4" max="4" width="13.42578125" style="102" customWidth="1"/>
    <col min="5" max="5" width="2" style="102" customWidth="1"/>
    <col min="6" max="6" width="12.140625" style="102" customWidth="1"/>
    <col min="7" max="7" width="11.85546875" style="102" customWidth="1"/>
    <col min="8" max="16384" width="9.140625" style="102"/>
  </cols>
  <sheetData>
    <row r="1" spans="1:7">
      <c r="A1" s="111" t="s">
        <v>235</v>
      </c>
    </row>
    <row r="2" spans="1:7">
      <c r="A2" s="111" t="s">
        <v>276</v>
      </c>
      <c r="B2" s="107"/>
      <c r="C2" s="107"/>
    </row>
    <row r="3" spans="1:7">
      <c r="A3" s="107" t="s">
        <v>298</v>
      </c>
      <c r="B3" s="107"/>
      <c r="C3" s="107"/>
    </row>
    <row r="4" spans="1:7">
      <c r="A4" s="107"/>
      <c r="B4" s="107"/>
      <c r="C4" s="107"/>
    </row>
    <row r="5" spans="1:7">
      <c r="A5" s="107" t="s">
        <v>338</v>
      </c>
      <c r="B5" s="107"/>
      <c r="C5" s="107"/>
    </row>
    <row r="6" spans="1:7">
      <c r="A6" s="107" t="s">
        <v>339</v>
      </c>
      <c r="C6" s="107">
        <v>120.17</v>
      </c>
    </row>
    <row r="7" spans="1:7">
      <c r="A7" s="107" t="s">
        <v>311</v>
      </c>
      <c r="C7" s="107">
        <v>134.59</v>
      </c>
    </row>
    <row r="9" spans="1:7">
      <c r="C9" s="201" t="s">
        <v>310</v>
      </c>
      <c r="D9" s="201" t="s">
        <v>297</v>
      </c>
      <c r="F9" s="201" t="s">
        <v>328</v>
      </c>
      <c r="G9" s="201" t="s">
        <v>297</v>
      </c>
    </row>
    <row r="10" spans="1:7">
      <c r="A10" s="108" t="s">
        <v>73</v>
      </c>
      <c r="C10" s="187">
        <v>1058</v>
      </c>
      <c r="D10" s="187">
        <f>C10/$C$6</f>
        <v>8.8041940584172416</v>
      </c>
      <c r="E10" s="187"/>
      <c r="F10" s="187">
        <v>23053</v>
      </c>
      <c r="G10" s="187">
        <f>F10/$C$6</f>
        <v>191.8365648664392</v>
      </c>
    </row>
    <row r="11" spans="1:7">
      <c r="A11" s="102" t="s">
        <v>299</v>
      </c>
      <c r="C11" s="187">
        <v>2615</v>
      </c>
      <c r="D11" s="187">
        <f>C11/$C$6</f>
        <v>21.760838811683449</v>
      </c>
      <c r="E11" s="187"/>
      <c r="F11" s="187">
        <v>21318</v>
      </c>
      <c r="G11" s="187">
        <f>F11/$C$6</f>
        <v>177.39868519597238</v>
      </c>
    </row>
    <row r="12" spans="1:7">
      <c r="A12" s="102" t="s">
        <v>300</v>
      </c>
      <c r="C12" s="187">
        <v>2408</v>
      </c>
      <c r="D12" s="187">
        <f>C12/$C$6</f>
        <v>20.038279104601813</v>
      </c>
      <c r="E12" s="187"/>
      <c r="F12" s="187">
        <v>25671</v>
      </c>
      <c r="G12" s="187">
        <f>F12/$C$6</f>
        <v>213.62236831155863</v>
      </c>
    </row>
    <row r="13" spans="1:7">
      <c r="A13" s="109" t="s">
        <v>301</v>
      </c>
      <c r="C13" s="187">
        <v>1116</v>
      </c>
      <c r="D13" s="187">
        <f>C13/$C$6</f>
        <v>9.2868436381792456</v>
      </c>
      <c r="E13" s="187"/>
      <c r="F13" s="187">
        <v>22817</v>
      </c>
      <c r="G13" s="187">
        <f>F13/$C$6</f>
        <v>189.87268036947657</v>
      </c>
    </row>
    <row r="14" spans="1:7">
      <c r="A14" s="102" t="s">
        <v>302</v>
      </c>
      <c r="C14" s="187">
        <v>2542</v>
      </c>
      <c r="D14" s="187">
        <f>C14/$C$6</f>
        <v>21.153366064741615</v>
      </c>
      <c r="E14" s="187"/>
      <c r="F14" s="187">
        <v>21202</v>
      </c>
      <c r="G14" s="187">
        <f>F14/$C$6</f>
        <v>176.43338603644835</v>
      </c>
    </row>
    <row r="15" spans="1:7">
      <c r="A15" s="102" t="s">
        <v>303</v>
      </c>
      <c r="C15" s="187">
        <v>2981</v>
      </c>
      <c r="D15" s="187">
        <f>C15/$C$6</f>
        <v>24.806524090871264</v>
      </c>
      <c r="E15" s="187"/>
      <c r="F15" s="187">
        <v>22015</v>
      </c>
      <c r="G15" s="187">
        <f>F15/$C$6</f>
        <v>183.19880169759506</v>
      </c>
    </row>
    <row r="16" spans="1:7">
      <c r="A16" s="102" t="s">
        <v>304</v>
      </c>
      <c r="C16" s="187">
        <v>3932</v>
      </c>
      <c r="D16" s="187">
        <f>C16/$C$6</f>
        <v>32.7203128900724</v>
      </c>
      <c r="E16" s="187"/>
      <c r="F16" s="187">
        <v>18906</v>
      </c>
      <c r="G16" s="187">
        <f>F16/$C$6</f>
        <v>157.32711991345593</v>
      </c>
    </row>
    <row r="17" spans="1:9">
      <c r="A17" s="102" t="s">
        <v>305</v>
      </c>
      <c r="C17" s="187">
        <v>1175</v>
      </c>
      <c r="D17" s="187">
        <f>C17/$C$6</f>
        <v>9.7778147624199043</v>
      </c>
      <c r="E17" s="187"/>
      <c r="F17" s="187">
        <v>25744</v>
      </c>
      <c r="G17" s="187">
        <f>F17/$C$6</f>
        <v>214.22984105850045</v>
      </c>
    </row>
    <row r="18" spans="1:9">
      <c r="A18" s="102" t="s">
        <v>306</v>
      </c>
      <c r="C18" s="187">
        <v>2619</v>
      </c>
      <c r="D18" s="187">
        <f>C18/$C$6</f>
        <v>21.794124989598068</v>
      </c>
      <c r="E18" s="187"/>
      <c r="F18" s="187">
        <v>21757</v>
      </c>
      <c r="G18" s="187">
        <f>F18/$C$6</f>
        <v>181.05184322210201</v>
      </c>
    </row>
    <row r="19" spans="1:9">
      <c r="A19" s="102" t="s">
        <v>307</v>
      </c>
      <c r="C19" s="187">
        <v>1537</v>
      </c>
      <c r="D19" s="187">
        <f>C19/$C$6</f>
        <v>12.790213863693101</v>
      </c>
      <c r="E19" s="187"/>
      <c r="F19" s="187">
        <v>25199</v>
      </c>
      <c r="G19" s="187">
        <f>F19/$C$6</f>
        <v>209.69459931763336</v>
      </c>
    </row>
    <row r="20" spans="1:9">
      <c r="A20" s="102" t="s">
        <v>308</v>
      </c>
      <c r="C20" s="187">
        <v>824</v>
      </c>
      <c r="D20" s="187">
        <f>C20/$C$6</f>
        <v>6.856952650411916</v>
      </c>
      <c r="E20" s="187"/>
      <c r="F20" s="187">
        <v>19193</v>
      </c>
      <c r="G20" s="187">
        <f>F20/$C$6</f>
        <v>159.71540317883</v>
      </c>
    </row>
    <row r="21" spans="1:9">
      <c r="A21" s="102" t="s">
        <v>309</v>
      </c>
      <c r="C21" s="187">
        <v>1722</v>
      </c>
      <c r="D21" s="187">
        <f>C21/$C$6</f>
        <v>14.329699592244321</v>
      </c>
      <c r="E21" s="187"/>
      <c r="F21" s="187">
        <v>25436</v>
      </c>
      <c r="G21" s="187">
        <f>F21/$C$6</f>
        <v>211.66680535907463</v>
      </c>
    </row>
    <row r="22" spans="1:9">
      <c r="A22" s="107" t="s">
        <v>23</v>
      </c>
      <c r="C22" s="185">
        <f>SUM(C10:C21)</f>
        <v>24529</v>
      </c>
      <c r="D22" s="185">
        <f>SUM(D10:D21)</f>
        <v>204.11916451693435</v>
      </c>
      <c r="E22" s="187"/>
      <c r="F22" s="185">
        <f>SUM(F10:F21)</f>
        <v>272311</v>
      </c>
      <c r="G22" s="185">
        <f>SUM(G10:G21)</f>
        <v>2266.0480985270869</v>
      </c>
      <c r="I22" s="110"/>
    </row>
    <row r="24" spans="1:9">
      <c r="A24" s="107" t="s">
        <v>312</v>
      </c>
      <c r="B24" s="107"/>
      <c r="C24" s="188">
        <f>D22*C7</f>
        <v>27472.398352334196</v>
      </c>
      <c r="D24" s="107"/>
      <c r="E24" s="107"/>
      <c r="F24" s="188">
        <f>G22*C7</f>
        <v>304987.41358076065</v>
      </c>
      <c r="G24" s="110"/>
    </row>
    <row r="25" spans="1:9">
      <c r="A25" s="107"/>
      <c r="B25" s="107"/>
      <c r="C25" s="107"/>
      <c r="D25" s="107"/>
      <c r="E25" s="107"/>
      <c r="F25" s="107"/>
    </row>
    <row r="26" spans="1:9">
      <c r="A26" s="107" t="s">
        <v>184</v>
      </c>
      <c r="B26" s="107"/>
      <c r="C26" s="188">
        <f>C24-C22</f>
        <v>2943.3983523341958</v>
      </c>
      <c r="D26" s="107"/>
      <c r="E26" s="107"/>
      <c r="F26" s="188">
        <f>F24-F22</f>
        <v>32676.413580760651</v>
      </c>
      <c r="G26" s="110"/>
    </row>
    <row r="27" spans="1:9">
      <c r="A27" s="107"/>
      <c r="B27" s="107"/>
      <c r="C27" s="107"/>
      <c r="D27" s="107"/>
      <c r="E27" s="107"/>
      <c r="F27" s="107"/>
    </row>
    <row r="28" spans="1:9">
      <c r="A28" s="107" t="s">
        <v>204</v>
      </c>
      <c r="B28" s="107"/>
      <c r="C28" s="107"/>
      <c r="D28" s="107"/>
      <c r="E28" s="107"/>
      <c r="F28" s="188">
        <f>F26/References!H67</f>
        <v>33318.630177430627</v>
      </c>
    </row>
    <row r="30" spans="1:9">
      <c r="D30" s="10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zoomScale="85" zoomScaleNormal="85" workbookViewId="0">
      <pane ySplit="4" topLeftCell="A5" activePane="bottomLeft" state="frozen"/>
      <selection activeCell="A2" sqref="A2"/>
      <selection pane="bottomLeft" activeCell="A2" sqref="A2"/>
    </sheetView>
  </sheetViews>
  <sheetFormatPr defaultRowHeight="15"/>
  <cols>
    <col min="1" max="1" width="20" style="106" customWidth="1"/>
    <col min="2" max="2" width="21.5703125" style="106" customWidth="1"/>
    <col min="3" max="3" width="8" style="106" bestFit="1" customWidth="1"/>
    <col min="4" max="4" width="11.5703125" style="106" bestFit="1" customWidth="1"/>
    <col min="5" max="6" width="12" style="106" bestFit="1" customWidth="1"/>
    <col min="7" max="7" width="13.5703125" style="106" customWidth="1"/>
    <col min="8" max="9" width="11.28515625" style="106" bestFit="1" customWidth="1"/>
    <col min="10" max="10" width="10.28515625" style="106" bestFit="1" customWidth="1"/>
    <col min="11" max="16384" width="9.140625" style="106"/>
  </cols>
  <sheetData>
    <row r="1" spans="1:10">
      <c r="A1" s="162" t="s">
        <v>324</v>
      </c>
      <c r="B1" s="162"/>
      <c r="C1" s="163"/>
      <c r="E1" s="164"/>
    </row>
    <row r="2" spans="1:10">
      <c r="A2" s="162" t="s">
        <v>319</v>
      </c>
    </row>
    <row r="3" spans="1:10">
      <c r="A3" s="167" t="s">
        <v>325</v>
      </c>
      <c r="B3" s="163"/>
      <c r="C3" s="163"/>
      <c r="E3" s="165"/>
      <c r="F3" s="166"/>
    </row>
    <row r="4" spans="1:10" ht="30">
      <c r="C4" s="204" t="s">
        <v>0</v>
      </c>
      <c r="D4" s="204" t="s">
        <v>1</v>
      </c>
      <c r="E4" s="205" t="s">
        <v>332</v>
      </c>
      <c r="F4" s="205" t="s">
        <v>333</v>
      </c>
    </row>
    <row r="5" spans="1:10">
      <c r="A5" s="162" t="s">
        <v>72</v>
      </c>
      <c r="B5" s="162"/>
      <c r="D5" s="105"/>
      <c r="E5" s="168"/>
    </row>
    <row r="6" spans="1:10">
      <c r="A6" s="106" t="s">
        <v>14</v>
      </c>
      <c r="B6" s="106" t="s">
        <v>90</v>
      </c>
      <c r="C6" s="105">
        <v>3.65</v>
      </c>
      <c r="D6" s="105">
        <v>28246.339999999997</v>
      </c>
      <c r="E6" s="168">
        <f>D6/C6</f>
        <v>7738.7232876712324</v>
      </c>
      <c r="F6" s="169">
        <f>D6/C6/12</f>
        <v>644.89360730593603</v>
      </c>
      <c r="J6" s="170"/>
    </row>
    <row r="7" spans="1:10">
      <c r="A7" s="106" t="s">
        <v>11</v>
      </c>
      <c r="B7" s="106" t="s">
        <v>91</v>
      </c>
      <c r="C7" s="105">
        <v>2.66</v>
      </c>
      <c r="D7" s="105">
        <v>85.12</v>
      </c>
      <c r="E7" s="168">
        <f t="shared" ref="E7:E16" si="0">D7/C7</f>
        <v>32</v>
      </c>
      <c r="F7" s="169">
        <f t="shared" ref="F7:F16" si="1">D7/C7/12</f>
        <v>2.6666666666666665</v>
      </c>
    </row>
    <row r="8" spans="1:10">
      <c r="A8" s="106" t="s">
        <v>47</v>
      </c>
      <c r="B8" s="106" t="s">
        <v>75</v>
      </c>
      <c r="C8" s="105">
        <v>2.66</v>
      </c>
      <c r="D8" s="105">
        <v>626.81999999999994</v>
      </c>
      <c r="E8" s="168">
        <f t="shared" si="0"/>
        <v>235.64661654135335</v>
      </c>
      <c r="F8" s="169">
        <f t="shared" si="1"/>
        <v>19.637218045112778</v>
      </c>
      <c r="H8" s="170"/>
    </row>
    <row r="9" spans="1:10">
      <c r="A9" s="106" t="s">
        <v>15</v>
      </c>
      <c r="B9" s="106" t="s">
        <v>74</v>
      </c>
      <c r="C9" s="105">
        <v>2.66</v>
      </c>
      <c r="D9" s="105">
        <v>1946.99</v>
      </c>
      <c r="E9" s="168">
        <f t="shared" si="0"/>
        <v>731.95112781954879</v>
      </c>
      <c r="F9" s="169">
        <f t="shared" si="1"/>
        <v>60.995927318295735</v>
      </c>
      <c r="H9" s="171"/>
    </row>
    <row r="10" spans="1:10">
      <c r="A10" s="172" t="s">
        <v>48</v>
      </c>
      <c r="B10" s="106" t="s">
        <v>96</v>
      </c>
      <c r="C10" s="105">
        <v>5.32</v>
      </c>
      <c r="D10" s="105">
        <v>189.52000000000004</v>
      </c>
      <c r="E10" s="168">
        <f t="shared" si="0"/>
        <v>35.624060150375946</v>
      </c>
      <c r="F10" s="169">
        <f t="shared" si="1"/>
        <v>2.9686716791979957</v>
      </c>
    </row>
    <row r="11" spans="1:10">
      <c r="A11" s="106" t="s">
        <v>16</v>
      </c>
      <c r="B11" s="106" t="s">
        <v>76</v>
      </c>
      <c r="C11" s="105">
        <v>0.53</v>
      </c>
      <c r="D11" s="105">
        <v>946.3</v>
      </c>
      <c r="E11" s="168">
        <f t="shared" si="0"/>
        <v>1785.4716981132074</v>
      </c>
      <c r="F11" s="169">
        <f t="shared" si="1"/>
        <v>148.7893081761006</v>
      </c>
      <c r="H11" s="171"/>
    </row>
    <row r="12" spans="1:10">
      <c r="A12" s="106" t="s">
        <v>57</v>
      </c>
      <c r="B12" s="106" t="s">
        <v>77</v>
      </c>
      <c r="C12" s="105">
        <v>1.06</v>
      </c>
      <c r="D12" s="105">
        <v>52.400000000000006</v>
      </c>
      <c r="E12" s="168">
        <f t="shared" si="0"/>
        <v>49.433962264150949</v>
      </c>
      <c r="F12" s="169">
        <f t="shared" si="1"/>
        <v>4.1194968553459121</v>
      </c>
    </row>
    <row r="13" spans="1:10">
      <c r="A13" s="106" t="s">
        <v>58</v>
      </c>
      <c r="B13" s="106" t="s">
        <v>78</v>
      </c>
      <c r="C13" s="105">
        <v>0.21</v>
      </c>
      <c r="D13" s="105">
        <v>13.74</v>
      </c>
      <c r="E13" s="168">
        <f t="shared" si="0"/>
        <v>65.428571428571431</v>
      </c>
      <c r="F13" s="169">
        <f t="shared" si="1"/>
        <v>5.4523809523809526</v>
      </c>
    </row>
    <row r="14" spans="1:10">
      <c r="A14" s="106" t="s">
        <v>61</v>
      </c>
      <c r="B14" s="106" t="s">
        <v>79</v>
      </c>
      <c r="C14" s="105">
        <v>15</v>
      </c>
      <c r="D14" s="105">
        <v>960</v>
      </c>
      <c r="E14" s="168">
        <f t="shared" si="0"/>
        <v>64</v>
      </c>
      <c r="F14" s="169">
        <f t="shared" si="1"/>
        <v>5.333333333333333</v>
      </c>
    </row>
    <row r="15" spans="1:10">
      <c r="A15" s="106" t="s">
        <v>13</v>
      </c>
      <c r="B15" s="106" t="s">
        <v>80</v>
      </c>
      <c r="C15" s="105">
        <v>9.74</v>
      </c>
      <c r="D15" s="105">
        <v>56321.979999999996</v>
      </c>
      <c r="E15" s="168">
        <f t="shared" si="0"/>
        <v>5782.5441478439416</v>
      </c>
      <c r="F15" s="169">
        <f t="shared" si="1"/>
        <v>481.87867898699511</v>
      </c>
    </row>
    <row r="16" spans="1:10">
      <c r="A16" s="106" t="s">
        <v>12</v>
      </c>
      <c r="B16" s="106" t="s">
        <v>81</v>
      </c>
      <c r="C16" s="105">
        <v>11.24</v>
      </c>
      <c r="D16" s="105">
        <v>348.44</v>
      </c>
      <c r="E16" s="168">
        <f t="shared" si="0"/>
        <v>31</v>
      </c>
      <c r="F16" s="169">
        <f t="shared" si="1"/>
        <v>2.5833333333333335</v>
      </c>
    </row>
    <row r="17" spans="1:8">
      <c r="C17" s="105"/>
      <c r="D17" s="105"/>
      <c r="E17" s="168"/>
    </row>
    <row r="18" spans="1:8">
      <c r="A18" s="106" t="s">
        <v>17</v>
      </c>
      <c r="B18" s="106" t="s">
        <v>82</v>
      </c>
      <c r="C18" s="105">
        <v>12.05</v>
      </c>
      <c r="D18" s="105">
        <v>13650.36</v>
      </c>
      <c r="E18" s="168">
        <f t="shared" ref="E18:E24" si="2">D18/C18</f>
        <v>1132.8099585062241</v>
      </c>
      <c r="F18" s="169">
        <f t="shared" ref="F18:F24" si="3">D18/C18/12</f>
        <v>94.400829875518681</v>
      </c>
    </row>
    <row r="19" spans="1:8">
      <c r="A19" s="106" t="s">
        <v>49</v>
      </c>
      <c r="B19" s="106" t="s">
        <v>83</v>
      </c>
      <c r="C19" s="105">
        <v>13.59</v>
      </c>
      <c r="D19" s="105">
        <v>36446.000000000007</v>
      </c>
      <c r="E19" s="168">
        <f t="shared" si="2"/>
        <v>2681.8248712288455</v>
      </c>
      <c r="F19" s="169">
        <f t="shared" si="3"/>
        <v>223.48540593573713</v>
      </c>
    </row>
    <row r="20" spans="1:8">
      <c r="A20" s="106" t="s">
        <v>18</v>
      </c>
      <c r="B20" s="106" t="s">
        <v>84</v>
      </c>
      <c r="C20" s="105">
        <v>5.46</v>
      </c>
      <c r="D20" s="105">
        <v>5816</v>
      </c>
      <c r="E20" s="168">
        <f t="shared" si="2"/>
        <v>1065.2014652014652</v>
      </c>
      <c r="F20" s="169">
        <f t="shared" si="3"/>
        <v>88.766788766788764</v>
      </c>
    </row>
    <row r="21" spans="1:8">
      <c r="A21" s="106" t="s">
        <v>19</v>
      </c>
      <c r="B21" s="106" t="s">
        <v>88</v>
      </c>
      <c r="C21" s="105">
        <v>16.89</v>
      </c>
      <c r="D21" s="105">
        <v>250232.43</v>
      </c>
      <c r="E21" s="168">
        <f t="shared" si="2"/>
        <v>14815.41918294849</v>
      </c>
      <c r="F21" s="169">
        <f t="shared" si="3"/>
        <v>1234.6182652457076</v>
      </c>
    </row>
    <row r="22" spans="1:8">
      <c r="A22" s="106" t="s">
        <v>20</v>
      </c>
      <c r="B22" s="106" t="s">
        <v>85</v>
      </c>
      <c r="C22" s="105">
        <v>23.53</v>
      </c>
      <c r="D22" s="105">
        <v>69831.069999999992</v>
      </c>
      <c r="E22" s="168">
        <f t="shared" si="2"/>
        <v>2967.7462813429661</v>
      </c>
      <c r="F22" s="169">
        <f t="shared" si="3"/>
        <v>247.31219011191385</v>
      </c>
    </row>
    <row r="23" spans="1:8">
      <c r="A23" s="106" t="s">
        <v>21</v>
      </c>
      <c r="B23" s="106" t="s">
        <v>86</v>
      </c>
      <c r="C23" s="105">
        <v>31.54</v>
      </c>
      <c r="D23" s="105">
        <v>7255.4000000000005</v>
      </c>
      <c r="E23" s="168">
        <f t="shared" si="2"/>
        <v>230.03804692454028</v>
      </c>
      <c r="F23" s="169">
        <f t="shared" si="3"/>
        <v>19.16983724371169</v>
      </c>
    </row>
    <row r="24" spans="1:8">
      <c r="A24" s="106" t="s">
        <v>22</v>
      </c>
      <c r="B24" s="106" t="s">
        <v>87</v>
      </c>
      <c r="C24" s="105">
        <v>39.46</v>
      </c>
      <c r="D24" s="105">
        <v>1657.3200000000002</v>
      </c>
      <c r="E24" s="168">
        <f t="shared" si="2"/>
        <v>42</v>
      </c>
      <c r="F24" s="169">
        <f t="shared" si="3"/>
        <v>3.5</v>
      </c>
    </row>
    <row r="25" spans="1:8">
      <c r="A25" s="162" t="s">
        <v>322</v>
      </c>
      <c r="C25" s="105"/>
      <c r="D25" s="185">
        <f>SUM(D6:D24)</f>
        <v>474626.23000000004</v>
      </c>
      <c r="E25" s="173"/>
      <c r="F25" s="104"/>
      <c r="G25" s="170"/>
    </row>
    <row r="26" spans="1:8">
      <c r="C26" s="105"/>
      <c r="D26" s="105"/>
      <c r="E26" s="173"/>
      <c r="G26" s="170"/>
    </row>
    <row r="27" spans="1:8">
      <c r="A27" s="162" t="s">
        <v>24</v>
      </c>
      <c r="B27" s="162"/>
      <c r="C27" s="105"/>
      <c r="D27" s="105"/>
      <c r="E27" s="173"/>
    </row>
    <row r="28" spans="1:8">
      <c r="A28" s="106" t="s">
        <v>62</v>
      </c>
      <c r="B28" s="106" t="s">
        <v>88</v>
      </c>
      <c r="C28" s="105">
        <v>14.07</v>
      </c>
      <c r="D28" s="105">
        <v>1997.9399999999998</v>
      </c>
      <c r="E28" s="169">
        <f>D28/C28</f>
        <v>141.99999999999997</v>
      </c>
      <c r="F28" s="169">
        <f t="shared" ref="F28:F57" si="4">D28/C28/12</f>
        <v>11.83333333333333</v>
      </c>
    </row>
    <row r="29" spans="1:8">
      <c r="A29" s="106" t="s">
        <v>63</v>
      </c>
      <c r="B29" s="106" t="s">
        <v>85</v>
      </c>
      <c r="C29" s="105">
        <v>28.15</v>
      </c>
      <c r="D29" s="105">
        <v>992.28000000000009</v>
      </c>
      <c r="E29" s="169">
        <f t="shared" ref="E29:E32" si="5">D29/C29</f>
        <v>35.249733570159862</v>
      </c>
      <c r="F29" s="169">
        <f t="shared" si="4"/>
        <v>2.9374777975133219</v>
      </c>
    </row>
    <row r="30" spans="1:8">
      <c r="A30" s="106" t="s">
        <v>64</v>
      </c>
      <c r="B30" s="106" t="s">
        <v>86</v>
      </c>
      <c r="C30" s="105">
        <v>42.22</v>
      </c>
      <c r="D30" s="105">
        <v>1023.8400000000004</v>
      </c>
      <c r="E30" s="169">
        <f t="shared" si="5"/>
        <v>24.250118427285656</v>
      </c>
      <c r="F30" s="169">
        <f t="shared" si="4"/>
        <v>2.0208432022738045</v>
      </c>
    </row>
    <row r="31" spans="1:8">
      <c r="A31" s="106" t="s">
        <v>65</v>
      </c>
      <c r="B31" s="106" t="s">
        <v>87</v>
      </c>
      <c r="C31" s="105">
        <v>56.29</v>
      </c>
      <c r="D31" s="105">
        <v>788.06</v>
      </c>
      <c r="E31" s="169">
        <f t="shared" si="5"/>
        <v>14</v>
      </c>
      <c r="F31" s="169">
        <f t="shared" si="4"/>
        <v>1.1666666666666667</v>
      </c>
    </row>
    <row r="32" spans="1:8">
      <c r="A32" s="106" t="s">
        <v>66</v>
      </c>
      <c r="B32" s="106" t="s">
        <v>89</v>
      </c>
      <c r="C32" s="105">
        <v>13.85</v>
      </c>
      <c r="D32" s="105">
        <v>588.62999999999988</v>
      </c>
      <c r="E32" s="169">
        <f t="shared" si="5"/>
        <v>42.500361010830318</v>
      </c>
      <c r="F32" s="169">
        <f t="shared" si="4"/>
        <v>3.5416967509025263</v>
      </c>
      <c r="H32" s="170"/>
    </row>
    <row r="33" spans="1:8">
      <c r="A33" s="106" t="s">
        <v>2</v>
      </c>
      <c r="B33" s="106" t="s">
        <v>90</v>
      </c>
      <c r="C33" s="105">
        <v>3.65</v>
      </c>
      <c r="D33" s="105">
        <v>5975.14</v>
      </c>
      <c r="E33" s="169">
        <f t="shared" ref="E33:E40" si="6">D33/C33</f>
        <v>1637.0246575342467</v>
      </c>
      <c r="F33" s="169">
        <f t="shared" si="4"/>
        <v>136.41872146118723</v>
      </c>
    </row>
    <row r="34" spans="1:8">
      <c r="A34" s="106" t="s">
        <v>3</v>
      </c>
      <c r="B34" s="106" t="s">
        <v>92</v>
      </c>
      <c r="C34" s="105">
        <v>15.78</v>
      </c>
      <c r="D34" s="105">
        <v>134.13</v>
      </c>
      <c r="E34" s="169">
        <f t="shared" si="6"/>
        <v>8.5</v>
      </c>
      <c r="F34" s="169">
        <f t="shared" si="4"/>
        <v>0.70833333333333337</v>
      </c>
    </row>
    <row r="35" spans="1:8">
      <c r="A35" s="106" t="s">
        <v>51</v>
      </c>
      <c r="B35" s="106" t="s">
        <v>93</v>
      </c>
      <c r="C35" s="105">
        <v>26.56</v>
      </c>
      <c r="D35" s="105">
        <v>345.28000000000003</v>
      </c>
      <c r="E35" s="169">
        <f t="shared" si="6"/>
        <v>13.000000000000002</v>
      </c>
      <c r="F35" s="169">
        <f t="shared" si="4"/>
        <v>1.0833333333333335</v>
      </c>
    </row>
    <row r="36" spans="1:8">
      <c r="A36" s="106" t="s">
        <v>53</v>
      </c>
      <c r="B36" s="106" t="s">
        <v>94</v>
      </c>
      <c r="C36" s="105">
        <v>5.31</v>
      </c>
      <c r="D36" s="105">
        <v>53.099999999999994</v>
      </c>
      <c r="E36" s="169">
        <f t="shared" si="6"/>
        <v>10</v>
      </c>
      <c r="F36" s="169">
        <f t="shared" si="4"/>
        <v>0.83333333333333337</v>
      </c>
    </row>
    <row r="37" spans="1:8">
      <c r="A37" s="106" t="s">
        <v>61</v>
      </c>
      <c r="B37" s="106" t="s">
        <v>79</v>
      </c>
      <c r="C37" s="105">
        <v>15</v>
      </c>
      <c r="D37" s="105">
        <v>195</v>
      </c>
      <c r="E37" s="169">
        <f t="shared" si="6"/>
        <v>13</v>
      </c>
      <c r="F37" s="169">
        <f t="shared" si="4"/>
        <v>1.0833333333333333</v>
      </c>
    </row>
    <row r="38" spans="1:8">
      <c r="A38" s="106" t="s">
        <v>69</v>
      </c>
      <c r="B38" s="106" t="s">
        <v>95</v>
      </c>
      <c r="C38" s="105">
        <v>2.77</v>
      </c>
      <c r="D38" s="105">
        <v>116.71</v>
      </c>
      <c r="E38" s="169">
        <f t="shared" si="6"/>
        <v>42.133574007220211</v>
      </c>
      <c r="F38" s="169">
        <f t="shared" si="4"/>
        <v>3.5111311672683509</v>
      </c>
    </row>
    <row r="39" spans="1:8">
      <c r="A39" s="106" t="s">
        <v>70</v>
      </c>
      <c r="B39" s="106" t="s">
        <v>96</v>
      </c>
      <c r="C39" s="105">
        <v>5.76</v>
      </c>
      <c r="D39" s="105">
        <v>51.839999999999989</v>
      </c>
      <c r="E39" s="169">
        <f t="shared" si="6"/>
        <v>8.9999999999999982</v>
      </c>
      <c r="F39" s="169">
        <f t="shared" si="4"/>
        <v>0.74999999999999989</v>
      </c>
    </row>
    <row r="40" spans="1:8">
      <c r="A40" s="106" t="s">
        <v>71</v>
      </c>
      <c r="B40" s="106" t="s">
        <v>97</v>
      </c>
      <c r="C40" s="105">
        <v>0.69</v>
      </c>
      <c r="D40" s="105">
        <v>38.64</v>
      </c>
      <c r="E40" s="169">
        <f t="shared" si="6"/>
        <v>56.000000000000007</v>
      </c>
      <c r="F40" s="169">
        <f t="shared" si="4"/>
        <v>4.666666666666667</v>
      </c>
    </row>
    <row r="41" spans="1:8">
      <c r="A41" s="106" t="s">
        <v>40</v>
      </c>
      <c r="B41" s="106" t="s">
        <v>101</v>
      </c>
      <c r="C41" s="105">
        <v>37.299999999999997</v>
      </c>
      <c r="D41" s="105">
        <v>15481.8</v>
      </c>
      <c r="E41" s="169">
        <f t="shared" ref="E41:E53" si="7">D41/C41</f>
        <v>415.06166219839145</v>
      </c>
      <c r="F41" s="169">
        <f t="shared" si="4"/>
        <v>34.588471849865954</v>
      </c>
    </row>
    <row r="42" spans="1:8">
      <c r="A42" s="106" t="s">
        <v>5</v>
      </c>
      <c r="B42" s="106" t="s">
        <v>98</v>
      </c>
      <c r="C42" s="105">
        <v>74.430000000000007</v>
      </c>
      <c r="D42" s="105">
        <v>45067.8</v>
      </c>
      <c r="E42" s="169">
        <f t="shared" si="7"/>
        <v>605.5058444175736</v>
      </c>
      <c r="F42" s="169">
        <f t="shared" si="4"/>
        <v>50.458820368131136</v>
      </c>
    </row>
    <row r="43" spans="1:8">
      <c r="A43" s="106" t="s">
        <v>59</v>
      </c>
      <c r="B43" s="106" t="s">
        <v>99</v>
      </c>
      <c r="C43" s="174">
        <v>148.86000000000001</v>
      </c>
      <c r="D43" s="105">
        <v>0</v>
      </c>
      <c r="E43" s="169">
        <f t="shared" si="7"/>
        <v>0</v>
      </c>
      <c r="F43" s="169">
        <f t="shared" si="4"/>
        <v>0</v>
      </c>
    </row>
    <row r="44" spans="1:8">
      <c r="A44" s="106" t="s">
        <v>38</v>
      </c>
      <c r="B44" s="106" t="s">
        <v>100</v>
      </c>
      <c r="C44" s="105">
        <v>46.92</v>
      </c>
      <c r="D44" s="105">
        <v>0</v>
      </c>
      <c r="E44" s="169">
        <f t="shared" si="7"/>
        <v>0</v>
      </c>
      <c r="F44" s="169">
        <f t="shared" si="4"/>
        <v>0</v>
      </c>
    </row>
    <row r="45" spans="1:8">
      <c r="A45" s="106" t="s">
        <v>52</v>
      </c>
      <c r="B45" s="106" t="s">
        <v>102</v>
      </c>
      <c r="C45" s="105">
        <v>46.92</v>
      </c>
      <c r="D45" s="105">
        <v>1126.0800000000002</v>
      </c>
      <c r="E45" s="169">
        <f t="shared" si="7"/>
        <v>24.000000000000004</v>
      </c>
      <c r="F45" s="169">
        <f t="shared" si="4"/>
        <v>2.0000000000000004</v>
      </c>
    </row>
    <row r="46" spans="1:8">
      <c r="A46" s="106" t="s">
        <v>39</v>
      </c>
      <c r="B46" s="106" t="s">
        <v>103</v>
      </c>
      <c r="C46" s="105">
        <v>93.61</v>
      </c>
      <c r="D46" s="105">
        <v>15977.420000000002</v>
      </c>
      <c r="E46" s="169">
        <f t="shared" si="7"/>
        <v>170.68069650678348</v>
      </c>
      <c r="F46" s="169">
        <f t="shared" si="4"/>
        <v>14.22339137556529</v>
      </c>
    </row>
    <row r="47" spans="1:8">
      <c r="A47" s="106" t="s">
        <v>4</v>
      </c>
      <c r="B47" s="106" t="s">
        <v>104</v>
      </c>
      <c r="C47" s="105">
        <v>187.22</v>
      </c>
      <c r="D47" s="105">
        <v>6693.119999999999</v>
      </c>
      <c r="E47" s="169">
        <f t="shared" si="7"/>
        <v>35.750026706548439</v>
      </c>
      <c r="F47" s="169">
        <f t="shared" si="4"/>
        <v>2.9791688922123698</v>
      </c>
    </row>
    <row r="48" spans="1:8">
      <c r="A48" s="106" t="s">
        <v>6</v>
      </c>
      <c r="B48" s="106" t="s">
        <v>105</v>
      </c>
      <c r="C48" s="105">
        <v>130.68</v>
      </c>
      <c r="D48" s="105">
        <v>83961.900000000009</v>
      </c>
      <c r="E48" s="169">
        <f t="shared" si="7"/>
        <v>642.5</v>
      </c>
      <c r="F48" s="169">
        <f t="shared" si="4"/>
        <v>53.541666666666664</v>
      </c>
      <c r="H48" s="170"/>
    </row>
    <row r="49" spans="1:9">
      <c r="A49" s="106" t="s">
        <v>7</v>
      </c>
      <c r="B49" s="106" t="s">
        <v>106</v>
      </c>
      <c r="C49" s="105">
        <v>261.36</v>
      </c>
      <c r="D49" s="105">
        <v>63902.51999999999</v>
      </c>
      <c r="E49" s="169">
        <f t="shared" si="7"/>
        <v>244.49999999999994</v>
      </c>
      <c r="F49" s="169">
        <f t="shared" si="4"/>
        <v>20.374999999999996</v>
      </c>
      <c r="G49" s="170"/>
    </row>
    <row r="50" spans="1:9">
      <c r="A50" s="106" t="s">
        <v>8</v>
      </c>
      <c r="B50" s="106" t="s">
        <v>107</v>
      </c>
      <c r="C50" s="105">
        <v>392.04</v>
      </c>
      <c r="D50" s="105">
        <v>28684.259999999995</v>
      </c>
      <c r="E50" s="169">
        <f t="shared" si="7"/>
        <v>73.166666666666643</v>
      </c>
      <c r="F50" s="169">
        <f t="shared" si="4"/>
        <v>6.0972222222222205</v>
      </c>
      <c r="H50" s="170"/>
    </row>
    <row r="51" spans="1:9">
      <c r="A51" s="106" t="s">
        <v>25</v>
      </c>
      <c r="B51" s="106" t="s">
        <v>108</v>
      </c>
      <c r="C51" s="105">
        <v>522.72</v>
      </c>
      <c r="D51" s="105">
        <v>12545.280000000004</v>
      </c>
      <c r="E51" s="169">
        <f t="shared" si="7"/>
        <v>24.000000000000007</v>
      </c>
      <c r="F51" s="169">
        <f t="shared" si="4"/>
        <v>2.0000000000000004</v>
      </c>
    </row>
    <row r="52" spans="1:9">
      <c r="A52" s="106" t="s">
        <v>68</v>
      </c>
      <c r="B52" s="170" t="s">
        <v>113</v>
      </c>
      <c r="C52" s="105">
        <v>76.760000000000005</v>
      </c>
      <c r="D52" s="105">
        <v>211.09</v>
      </c>
      <c r="E52" s="169">
        <f t="shared" si="7"/>
        <v>2.75</v>
      </c>
      <c r="F52" s="169">
        <f t="shared" si="4"/>
        <v>0.22916666666666666</v>
      </c>
    </row>
    <row r="53" spans="1:9">
      <c r="A53" s="106" t="s">
        <v>60</v>
      </c>
      <c r="B53" s="170" t="s">
        <v>114</v>
      </c>
      <c r="C53" s="105">
        <v>128.72</v>
      </c>
      <c r="D53" s="105">
        <v>707.95999999999992</v>
      </c>
      <c r="E53" s="169">
        <f t="shared" si="7"/>
        <v>5.4999999999999991</v>
      </c>
      <c r="F53" s="169">
        <f t="shared" si="4"/>
        <v>0.45833333333333326</v>
      </c>
    </row>
    <row r="54" spans="1:9">
      <c r="A54" s="106" t="s">
        <v>26</v>
      </c>
      <c r="B54" s="106" t="s">
        <v>109</v>
      </c>
      <c r="C54" s="105">
        <v>17.190000000000001</v>
      </c>
      <c r="D54" s="105">
        <v>326.61</v>
      </c>
      <c r="E54" s="169">
        <f>D54/C54</f>
        <v>19</v>
      </c>
      <c r="F54" s="169">
        <f t="shared" si="4"/>
        <v>1.5833333333333333</v>
      </c>
    </row>
    <row r="55" spans="1:9">
      <c r="A55" s="106" t="s">
        <v>9</v>
      </c>
      <c r="B55" s="106" t="s">
        <v>110</v>
      </c>
      <c r="C55" s="105">
        <v>21.62</v>
      </c>
      <c r="D55" s="105">
        <v>43.24</v>
      </c>
      <c r="E55" s="169">
        <f>D55/C55</f>
        <v>2</v>
      </c>
      <c r="F55" s="169">
        <f t="shared" si="4"/>
        <v>0.16666666666666666</v>
      </c>
    </row>
    <row r="56" spans="1:9">
      <c r="A56" s="106" t="s">
        <v>10</v>
      </c>
      <c r="B56" s="106" t="s">
        <v>111</v>
      </c>
      <c r="C56" s="105">
        <v>30.18</v>
      </c>
      <c r="D56" s="105">
        <v>875.21999999999991</v>
      </c>
      <c r="E56" s="169">
        <f>D56/C56</f>
        <v>28.999999999999996</v>
      </c>
      <c r="F56" s="169">
        <f t="shared" si="4"/>
        <v>2.4166666666666665</v>
      </c>
    </row>
    <row r="57" spans="1:9">
      <c r="A57" s="106" t="s">
        <v>67</v>
      </c>
      <c r="B57" s="106" t="s">
        <v>112</v>
      </c>
      <c r="C57" s="105">
        <v>65.489999999999995</v>
      </c>
      <c r="D57" s="105">
        <v>1604.51</v>
      </c>
      <c r="E57" s="169">
        <f>D57/C57</f>
        <v>24.500076347533977</v>
      </c>
      <c r="F57" s="169">
        <f t="shared" si="4"/>
        <v>2.0416730289611649</v>
      </c>
    </row>
    <row r="58" spans="1:9">
      <c r="A58" s="162" t="s">
        <v>323</v>
      </c>
      <c r="B58" s="162"/>
      <c r="C58" s="105"/>
      <c r="D58" s="185">
        <f>SUM(D28:D57)</f>
        <v>289509.40000000002</v>
      </c>
      <c r="E58" s="169"/>
      <c r="G58" s="169"/>
      <c r="I58" s="170"/>
    </row>
    <row r="59" spans="1:9">
      <c r="C59" s="105"/>
      <c r="D59" s="105"/>
      <c r="E59" s="169"/>
      <c r="G59" s="170"/>
    </row>
    <row r="60" spans="1:9">
      <c r="A60" s="175" t="s">
        <v>27</v>
      </c>
      <c r="B60" s="175"/>
      <c r="C60" s="176"/>
      <c r="D60" s="105"/>
      <c r="E60" s="169"/>
      <c r="G60" s="170"/>
      <c r="I60" s="170"/>
    </row>
    <row r="61" spans="1:9">
      <c r="A61" s="175" t="s">
        <v>28</v>
      </c>
      <c r="B61" s="175"/>
      <c r="C61" s="178"/>
      <c r="D61" s="105"/>
      <c r="E61" s="166"/>
      <c r="I61" s="179"/>
    </row>
    <row r="62" spans="1:9">
      <c r="A62" s="177" t="s">
        <v>29</v>
      </c>
      <c r="B62" s="177"/>
      <c r="C62" s="176">
        <v>137.58000000000001</v>
      </c>
      <c r="D62" s="105">
        <v>0</v>
      </c>
      <c r="E62" s="169">
        <f>D62/C62</f>
        <v>0</v>
      </c>
      <c r="G62" s="170"/>
    </row>
    <row r="63" spans="1:9">
      <c r="A63" s="177" t="s">
        <v>30</v>
      </c>
      <c r="B63" s="177"/>
      <c r="C63" s="176">
        <v>137.58000000000001</v>
      </c>
      <c r="D63" s="105">
        <v>0</v>
      </c>
      <c r="E63" s="169">
        <f>D63/C63</f>
        <v>0</v>
      </c>
    </row>
    <row r="64" spans="1:9">
      <c r="A64" s="177" t="s">
        <v>31</v>
      </c>
      <c r="B64" s="177"/>
      <c r="C64" s="176">
        <v>137.58000000000001</v>
      </c>
      <c r="D64" s="105">
        <v>137.58000000000001</v>
      </c>
      <c r="E64" s="169">
        <f>D64/C64</f>
        <v>1</v>
      </c>
    </row>
    <row r="65" spans="1:5">
      <c r="A65" s="177"/>
      <c r="B65" s="177"/>
      <c r="C65" s="176"/>
      <c r="D65" s="105"/>
      <c r="E65" s="180"/>
    </row>
    <row r="66" spans="1:5">
      <c r="A66" s="175" t="s">
        <v>32</v>
      </c>
      <c r="B66" s="175"/>
      <c r="C66" s="181"/>
      <c r="D66" s="105"/>
      <c r="E66" s="180"/>
    </row>
    <row r="67" spans="1:5">
      <c r="A67" s="177" t="s">
        <v>29</v>
      </c>
      <c r="B67" s="177"/>
      <c r="C67" s="176">
        <v>114.65</v>
      </c>
      <c r="D67" s="105">
        <v>573.25</v>
      </c>
      <c r="E67" s="169">
        <f>D67/C67</f>
        <v>5</v>
      </c>
    </row>
    <row r="68" spans="1:5">
      <c r="A68" s="177" t="s">
        <v>30</v>
      </c>
      <c r="B68" s="177"/>
      <c r="C68" s="176">
        <v>114.65</v>
      </c>
      <c r="D68" s="105">
        <v>3210.2000000000003</v>
      </c>
      <c r="E68" s="169">
        <f>D68/C68</f>
        <v>28</v>
      </c>
    </row>
    <row r="69" spans="1:5">
      <c r="A69" s="177" t="s">
        <v>31</v>
      </c>
      <c r="B69" s="177"/>
      <c r="C69" s="176">
        <v>114.65</v>
      </c>
      <c r="D69" s="105">
        <v>2866.2500000000005</v>
      </c>
      <c r="E69" s="169">
        <f>D69/C69</f>
        <v>25.000000000000004</v>
      </c>
    </row>
    <row r="70" spans="1:5">
      <c r="A70" s="177"/>
      <c r="B70" s="177"/>
      <c r="C70" s="176"/>
      <c r="D70" s="105"/>
      <c r="E70" s="180"/>
    </row>
    <row r="71" spans="1:5">
      <c r="A71" s="175" t="s">
        <v>33</v>
      </c>
      <c r="B71" s="175"/>
      <c r="C71" s="181"/>
      <c r="D71" s="105"/>
      <c r="E71" s="180"/>
    </row>
    <row r="72" spans="1:5">
      <c r="A72" s="177" t="s">
        <v>41</v>
      </c>
      <c r="B72" s="177"/>
      <c r="C72" s="176">
        <v>11.47</v>
      </c>
      <c r="D72" s="105">
        <v>156.76</v>
      </c>
      <c r="E72" s="169">
        <f t="shared" ref="E72:E77" si="8">D72/C72</f>
        <v>13.666957279860505</v>
      </c>
    </row>
    <row r="73" spans="1:5">
      <c r="A73" s="177" t="s">
        <v>42</v>
      </c>
      <c r="B73" s="177"/>
      <c r="C73" s="176">
        <v>114.7</v>
      </c>
      <c r="D73" s="105">
        <v>573.5</v>
      </c>
      <c r="E73" s="169">
        <f t="shared" si="8"/>
        <v>5</v>
      </c>
    </row>
    <row r="74" spans="1:5">
      <c r="A74" s="177" t="s">
        <v>43</v>
      </c>
      <c r="B74" s="177"/>
      <c r="C74" s="176">
        <v>14.33</v>
      </c>
      <c r="D74" s="105">
        <v>243.67000000000002</v>
      </c>
      <c r="E74" s="169">
        <f t="shared" si="8"/>
        <v>17.004187020237264</v>
      </c>
    </row>
    <row r="75" spans="1:5">
      <c r="A75" s="177" t="s">
        <v>44</v>
      </c>
      <c r="B75" s="177"/>
      <c r="C75" s="176">
        <v>114.7</v>
      </c>
      <c r="D75" s="105">
        <v>1430.71</v>
      </c>
      <c r="E75" s="169">
        <f t="shared" si="8"/>
        <v>12.473496076721883</v>
      </c>
    </row>
    <row r="76" spans="1:5">
      <c r="A76" s="177" t="s">
        <v>46</v>
      </c>
      <c r="B76" s="177"/>
      <c r="C76" s="176">
        <v>17.2</v>
      </c>
      <c r="D76" s="105">
        <v>120.4</v>
      </c>
      <c r="E76" s="169">
        <f t="shared" si="8"/>
        <v>7.0000000000000009</v>
      </c>
    </row>
    <row r="77" spans="1:5">
      <c r="A77" s="177" t="s">
        <v>45</v>
      </c>
      <c r="B77" s="177"/>
      <c r="C77" s="176">
        <v>114.7</v>
      </c>
      <c r="D77" s="105">
        <v>2221.3200000000006</v>
      </c>
      <c r="E77" s="169">
        <f t="shared" si="8"/>
        <v>19.366346992153449</v>
      </c>
    </row>
    <row r="78" spans="1:5">
      <c r="A78" s="177"/>
      <c r="B78" s="177"/>
      <c r="C78" s="176"/>
      <c r="D78" s="105"/>
      <c r="E78" s="180"/>
    </row>
    <row r="79" spans="1:5">
      <c r="A79" s="175" t="s">
        <v>34</v>
      </c>
      <c r="B79" s="175"/>
      <c r="C79" s="181"/>
      <c r="D79" s="105"/>
      <c r="E79" s="180"/>
    </row>
    <row r="80" spans="1:5">
      <c r="A80" s="177" t="s">
        <v>35</v>
      </c>
      <c r="B80" s="177"/>
      <c r="C80" s="176">
        <v>77.39</v>
      </c>
      <c r="D80" s="105">
        <v>2476.4800000000005</v>
      </c>
      <c r="E80" s="169">
        <f t="shared" ref="E80:E85" si="9">D80/C80</f>
        <v>32.000000000000007</v>
      </c>
    </row>
    <row r="81" spans="1:7">
      <c r="A81" s="177" t="s">
        <v>36</v>
      </c>
      <c r="B81" s="177"/>
      <c r="C81" s="176">
        <v>17.66</v>
      </c>
      <c r="D81" s="105">
        <v>247.23999999999998</v>
      </c>
      <c r="E81" s="169">
        <f t="shared" si="9"/>
        <v>13.999999999999998</v>
      </c>
    </row>
    <row r="82" spans="1:7">
      <c r="A82" s="177" t="s">
        <v>37</v>
      </c>
      <c r="B82" s="177"/>
      <c r="C82" s="176">
        <v>120.17</v>
      </c>
      <c r="D82" s="105">
        <v>24529.110000000004</v>
      </c>
      <c r="E82" s="169">
        <f t="shared" si="9"/>
        <v>204.12007988682703</v>
      </c>
    </row>
    <row r="83" spans="1:7">
      <c r="A83" s="177" t="s">
        <v>56</v>
      </c>
      <c r="B83" s="177"/>
      <c r="C83" s="176">
        <v>120.17</v>
      </c>
      <c r="D83" s="105">
        <v>0</v>
      </c>
      <c r="E83" s="169">
        <f t="shared" si="9"/>
        <v>0</v>
      </c>
    </row>
    <row r="84" spans="1:7">
      <c r="A84" s="177" t="s">
        <v>50</v>
      </c>
      <c r="B84" s="177"/>
      <c r="C84" s="176">
        <v>75</v>
      </c>
      <c r="D84" s="105">
        <v>0</v>
      </c>
      <c r="E84" s="169">
        <f t="shared" si="9"/>
        <v>0</v>
      </c>
    </row>
    <row r="85" spans="1:7">
      <c r="A85" s="177" t="s">
        <v>55</v>
      </c>
      <c r="B85" s="177"/>
      <c r="C85" s="176">
        <v>150</v>
      </c>
      <c r="D85" s="105">
        <v>150</v>
      </c>
      <c r="E85" s="169">
        <f t="shared" si="9"/>
        <v>1</v>
      </c>
      <c r="G85" s="182"/>
    </row>
    <row r="86" spans="1:7">
      <c r="A86" s="177" t="s">
        <v>54</v>
      </c>
      <c r="B86" s="177"/>
      <c r="C86" s="105"/>
      <c r="D86" s="105">
        <v>0</v>
      </c>
      <c r="E86" s="168"/>
    </row>
    <row r="87" spans="1:7">
      <c r="A87" s="162" t="s">
        <v>327</v>
      </c>
      <c r="B87" s="162"/>
      <c r="C87" s="105"/>
      <c r="D87" s="185">
        <f>SUM(D62:D86)</f>
        <v>38936.470000000008</v>
      </c>
      <c r="G87" s="169"/>
    </row>
    <row r="88" spans="1:7">
      <c r="A88" s="162"/>
      <c r="B88" s="162"/>
      <c r="C88" s="105"/>
      <c r="D88" s="104"/>
      <c r="G88" s="169"/>
    </row>
    <row r="89" spans="1:7" ht="15.75" thickBot="1">
      <c r="C89" s="105"/>
      <c r="D89" s="186">
        <f>D25+D58+D87</f>
        <v>803072.10000000009</v>
      </c>
    </row>
    <row r="90" spans="1:7" ht="15.75" thickTop="1"/>
    <row r="91" spans="1:7">
      <c r="C91" s="105"/>
      <c r="D91" s="104"/>
    </row>
    <row r="92" spans="1:7">
      <c r="C92" s="105"/>
    </row>
    <row r="93" spans="1:7">
      <c r="B93" s="162" t="s">
        <v>318</v>
      </c>
    </row>
    <row r="94" spans="1:7">
      <c r="B94" s="106" t="s">
        <v>115</v>
      </c>
      <c r="D94" s="105">
        <f>D25-D15-D16</f>
        <v>417955.81000000006</v>
      </c>
    </row>
    <row r="95" spans="1:7">
      <c r="B95" s="106" t="s">
        <v>116</v>
      </c>
      <c r="D95" s="105">
        <f>D58</f>
        <v>289509.40000000002</v>
      </c>
    </row>
    <row r="96" spans="1:7">
      <c r="B96" s="106" t="s">
        <v>117</v>
      </c>
      <c r="D96" s="105">
        <f>D87-D82</f>
        <v>14407.360000000004</v>
      </c>
    </row>
    <row r="97" spans="2:5">
      <c r="B97" s="106" t="s">
        <v>118</v>
      </c>
      <c r="D97" s="105">
        <f>D82</f>
        <v>24529.110000000004</v>
      </c>
    </row>
    <row r="98" spans="2:5">
      <c r="B98" s="106" t="s">
        <v>80</v>
      </c>
      <c r="D98" s="105">
        <f>D15+D16</f>
        <v>56670.42</v>
      </c>
    </row>
    <row r="99" spans="2:5">
      <c r="B99" s="162" t="s">
        <v>119</v>
      </c>
      <c r="D99" s="185">
        <f>SUM(D94:D98)</f>
        <v>803072.10000000009</v>
      </c>
      <c r="E99" s="170">
        <f>D99-D89</f>
        <v>0</v>
      </c>
    </row>
    <row r="101" spans="2:5">
      <c r="B101" s="162" t="s">
        <v>317</v>
      </c>
    </row>
    <row r="102" spans="2:5">
      <c r="B102" s="106" t="s">
        <v>72</v>
      </c>
      <c r="D102" s="105">
        <f>446756+27295</f>
        <v>474051</v>
      </c>
    </row>
    <row r="103" spans="2:5">
      <c r="B103" s="106" t="s">
        <v>24</v>
      </c>
      <c r="D103" s="105">
        <f>283202+5907</f>
        <v>289109</v>
      </c>
    </row>
    <row r="104" spans="2:5">
      <c r="B104" s="106" t="s">
        <v>315</v>
      </c>
      <c r="D104" s="105">
        <f>11534+2874</f>
        <v>14408</v>
      </c>
    </row>
    <row r="105" spans="2:5">
      <c r="B105" s="106" t="s">
        <v>316</v>
      </c>
      <c r="D105" s="105">
        <v>24529</v>
      </c>
    </row>
    <row r="106" spans="2:5">
      <c r="B106" s="162" t="s">
        <v>119</v>
      </c>
      <c r="D106" s="185">
        <f>SUM(D102:D105)</f>
        <v>802097</v>
      </c>
    </row>
    <row r="108" spans="2:5">
      <c r="B108" s="162" t="s">
        <v>196</v>
      </c>
      <c r="D108" s="184">
        <f>(D99-D106)/D99</f>
        <v>1.2142122730948977E-3</v>
      </c>
      <c r="E108" s="183"/>
    </row>
    <row r="111" spans="2:5">
      <c r="D111" s="183"/>
    </row>
  </sheetData>
  <phoneticPr fontId="0" type="noConversion"/>
  <pageMargins left="0.75" right="0.75" top="1" bottom="1" header="0.5" footer="0.5"/>
  <pageSetup scale="73" orientation="portrait" r:id="rId1"/>
  <headerFooter alignWithMargins="0"/>
  <rowBreaks count="1" manualBreakCount="1">
    <brk id="5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AF7BDACA9506458C6B83BDE3D4E24A" ma:contentTypeVersion="104" ma:contentTypeDescription="" ma:contentTypeScope="" ma:versionID="1a158722ae354e325a62970b8ddfacd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2016-11-03T07:00:00+00:00</OpenedDate>
    <Date1 xmlns="dc463f71-b30c-4ab2-9473-d307f9d35888">2016-11-03T07:00:00+00:00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161184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33E42D6-2A17-46AB-B0E9-C72E2135A73A}"/>
</file>

<file path=customXml/itemProps2.xml><?xml version="1.0" encoding="utf-8"?>
<ds:datastoreItem xmlns:ds="http://schemas.openxmlformats.org/officeDocument/2006/customXml" ds:itemID="{83DDF665-5FFC-4981-A7C8-16B1DE32FFE9}"/>
</file>

<file path=customXml/itemProps3.xml><?xml version="1.0" encoding="utf-8"?>
<ds:datastoreItem xmlns:ds="http://schemas.openxmlformats.org/officeDocument/2006/customXml" ds:itemID="{EB44F651-819F-4826-8C71-96A82D7ADAE2}"/>
</file>

<file path=customXml/itemProps4.xml><?xml version="1.0" encoding="utf-8"?>
<ds:datastoreItem xmlns:ds="http://schemas.openxmlformats.org/officeDocument/2006/customXml" ds:itemID="{CB7C9EB3-8EB2-48B9-9277-D7133E760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References</vt:lpstr>
      <vt:lpstr>DF Calculation</vt:lpstr>
      <vt:lpstr>Proposed Rates</vt:lpstr>
      <vt:lpstr>DF Tons</vt:lpstr>
      <vt:lpstr>Vashon Total 16</vt:lpstr>
      <vt:lpstr>'DF Calculation'!Print_Area</vt:lpstr>
      <vt:lpstr>'Proposed Rates'!Print_Area</vt:lpstr>
      <vt:lpstr>'Vashon Total 16'!Print_Area</vt:lpstr>
      <vt:lpstr>'DF Calculation'!Print_Titles</vt:lpstr>
      <vt:lpstr>'Proposed Rates'!Print_Titles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2016-11-02T23:59:34Z</cp:lastPrinted>
  <dcterms:created xsi:type="dcterms:W3CDTF">2006-01-10T22:58:30Z</dcterms:created>
  <dcterms:modified xsi:type="dcterms:W3CDTF">2016-11-03T00:00:11Z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0x0101006E56B4D1795A2E4DB2F0B01679ED314A0075AF7BDACA9506458C6B83BDE3D4E24A</vt:lpwstr>
  </property>
  <property fmtid="{D5CDD505-2E9C-101B-9397-08002B2CF9AE}" pid="3" name="_docset_NoMedatataSyncRequired">
    <vt:lpwstr>False</vt:lpwstr>
  </property>
</Properties>
</file>